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24226"/>
  <mc:AlternateContent xmlns:mc="http://schemas.openxmlformats.org/markup-compatibility/2006">
    <mc:Choice Requires="x15">
      <x15ac:absPath xmlns:x15ac="http://schemas.microsoft.com/office/spreadsheetml/2010/11/ac" url="\\server\Hivatal\Pénzügy\2023\Előirányzat módosítások\december\"/>
    </mc:Choice>
  </mc:AlternateContent>
  <xr:revisionPtr revIDLastSave="0" documentId="13_ncr:1_{060601EA-247E-47EF-B005-2CC93A7C42F2}" xr6:coauthVersionLast="47" xr6:coauthVersionMax="47" xr10:uidLastSave="{00000000-0000-0000-0000-000000000000}"/>
  <bookViews>
    <workbookView xWindow="-120" yWindow="-120" windowWidth="29040" windowHeight="15840" tabRatio="598" firstSheet="13" activeTab="17" xr2:uid="{00000000-000D-0000-FFFF-FFFF00000000}"/>
  </bookViews>
  <sheets>
    <sheet name="1.a sz. Önkormányzat  " sheetId="23" r:id="rId1"/>
    <sheet name="1.b sz. Önkormányzat  " sheetId="128" r:id="rId2"/>
    <sheet name="2.1. sz. PMH" sheetId="34" r:id="rId3"/>
    <sheet name="2.2. sz. Hétszínvirág Óvoda" sheetId="37" r:id="rId4"/>
    <sheet name="2.3. sz. Mese Óvoda" sheetId="38" r:id="rId5"/>
    <sheet name="2.4. sz. Bölcsőde" sheetId="36" r:id="rId6"/>
    <sheet name="2.5. sz. Gyermekjóléti" sheetId="39" r:id="rId7"/>
    <sheet name="2.6 sz. Területi" sheetId="40" r:id="rId8"/>
    <sheet name="2.7. sz. Könyvtár" sheetId="35" r:id="rId9"/>
    <sheet name="2.8. sz. Műv.Ház" sheetId="73" r:id="rId10"/>
    <sheet name="2.9. sz. Szivárvány Ó." sheetId="74" r:id="rId11"/>
    <sheet name="2.10. sz. Intézmények összesen" sheetId="41" r:id="rId12"/>
    <sheet name="3. sz.Városi szintű összesen" sheetId="43" r:id="rId13"/>
    <sheet name="4.sz.Felhalm.c.pe.átadás" sheetId="26" r:id="rId14"/>
    <sheet name="5.sz.Műk.c.pe.átadás" sheetId="27" r:id="rId15"/>
    <sheet name="6.sz. Beruházások" sheetId="31" r:id="rId16"/>
    <sheet name="7. sz. Felújítások" sheetId="24" r:id="rId17"/>
    <sheet name="8.sz.Tartalékok" sheetId="25" r:id="rId18"/>
    <sheet name="9.sz. Szociális" sheetId="28" r:id="rId19"/>
    <sheet name="10.sz.Intézményfinanszírozás" sheetId="29" r:id="rId20"/>
    <sheet name="11.a.sz. Műk.célú tám.ÁHbelül" sheetId="113" r:id="rId21"/>
    <sheet name="11.b.sz.Állami támogatás" sheetId="118" r:id="rId22"/>
    <sheet name="12.sz. Felh.célú tám.ÁHbelül" sheetId="114" r:id="rId23"/>
    <sheet name="13.sz. Közhatalmi bevételek" sheetId="115" r:id="rId24"/>
    <sheet name="14.sz. Felhalm. bevételek" sheetId="116" r:id="rId25"/>
    <sheet name="15.sz.mell. Létszámtábla" sheetId="100" r:id="rId26"/>
    <sheet name="1.sz.tájék.tábla Közvetett tám" sheetId="89" r:id="rId27"/>
    <sheet name="2.sz.tájék.táblaMérlegszerű" sheetId="119" r:id="rId28"/>
    <sheet name="3.sz.tájék.táblaGördülő" sheetId="120" r:id="rId29"/>
    <sheet name="4.sz.tájék.táb. Többéves " sheetId="121" r:id="rId30"/>
    <sheet name="5.sz.tájék.táb Adósságszolg" sheetId="122" r:id="rId31"/>
    <sheet name="6.sz.tájék.tábla Hitelképes" sheetId="123" r:id="rId32"/>
    <sheet name="7.sztájék.táblaLikviditási terv" sheetId="142" r:id="rId33"/>
    <sheet name="8.sztájék.tábla Ütemterv" sheetId="125" r:id="rId34"/>
    <sheet name="9.sz.tájék.EU-s pály." sheetId="126" r:id="rId35"/>
    <sheet name="10. sz.tájék.Nem EU-s pály." sheetId="127" r:id="rId36"/>
    <sheet name="1.sz.függ.Önkormány bev-kiad" sheetId="129" r:id="rId37"/>
    <sheet name="2.sz.függ.PMH bev-kiad" sheetId="130" r:id="rId38"/>
    <sheet name="3.sz.függ.Ter.Gond" sheetId="131" r:id="rId39"/>
    <sheet name="4.sz.függ.Könyvtár" sheetId="132" r:id="rId40"/>
    <sheet name="5.sz.függ.Hétszínvirág Ó." sheetId="133" r:id="rId41"/>
    <sheet name="6.sz.függ.Mese Ó." sheetId="134" r:id="rId42"/>
    <sheet name="7.sz.függ.Bölcsőde" sheetId="135" r:id="rId43"/>
    <sheet name="8.sz.függ.Gyermekjóléti" sheetId="136" r:id="rId44"/>
    <sheet name="9.sz.függ.Szivárvány Ó." sheetId="137" r:id="rId45"/>
    <sheet name="10.sz.függ.József A. MűvHáz" sheetId="138" r:id="rId46"/>
    <sheet name="11.sz.függ.Mindösszesen" sheetId="139" r:id="rId47"/>
    <sheet name="12.sz.függ.Tartalékok vált." sheetId="140" r:id="rId48"/>
    <sheet name="2.sz.tájék.tábla Mérlegszerű" sheetId="90" state="hidden" r:id="rId49"/>
    <sheet name="3.sz.tájék.tábla Gördülő" sheetId="91" state="hidden" r:id="rId50"/>
    <sheet name="4.sz.tájék.táb. Többéves" sheetId="92" state="hidden" r:id="rId51"/>
    <sheet name="5.sz.tájék.táb Adósságszolgálat" sheetId="93" state="hidden" r:id="rId52"/>
    <sheet name="6.sz.tájék.tábla Hitelképes " sheetId="94" state="hidden" r:id="rId53"/>
    <sheet name="7.sz.tájék.táb.Likviditási terv" sheetId="95" state="hidden" r:id="rId54"/>
    <sheet name="8.sz.tájék.tábla Ütemterv" sheetId="96" state="hidden" r:id="rId55"/>
    <sheet name="9. sz. tájék.tábla EU-s pály." sheetId="97" state="hidden" r:id="rId56"/>
    <sheet name="10. sz.tájék.Nem EU-s pály. " sheetId="98" state="hidden" r:id="rId57"/>
  </sheets>
  <externalReferences>
    <externalReference r:id="rId58"/>
    <externalReference r:id="rId59"/>
    <externalReference r:id="rId60"/>
    <externalReference r:id="rId61"/>
    <externalReference r:id="rId62"/>
  </externalReferences>
  <definedNames>
    <definedName name="felev" localSheetId="0">#REF!</definedName>
    <definedName name="felev" localSheetId="1">#REF!</definedName>
    <definedName name="felev" localSheetId="35">#REF!</definedName>
    <definedName name="felev" localSheetId="56">#REF!</definedName>
    <definedName name="felev" localSheetId="21">#REF!</definedName>
    <definedName name="felev" localSheetId="25">#REF!</definedName>
    <definedName name="felev" localSheetId="2">#REF!</definedName>
    <definedName name="felev" localSheetId="11">#REF!</definedName>
    <definedName name="felev" localSheetId="3">#REF!</definedName>
    <definedName name="felev" localSheetId="4">#REF!</definedName>
    <definedName name="felev" localSheetId="5">#REF!</definedName>
    <definedName name="felev" localSheetId="6">#REF!</definedName>
    <definedName name="felev" localSheetId="7">#REF!</definedName>
    <definedName name="felev" localSheetId="8">#REF!</definedName>
    <definedName name="felev" localSheetId="12">#REF!</definedName>
    <definedName name="felev" localSheetId="49">#REF!</definedName>
    <definedName name="felev" localSheetId="28">#REF!</definedName>
    <definedName name="felev" localSheetId="15">#REF!</definedName>
    <definedName name="felev" localSheetId="32">#REF!</definedName>
    <definedName name="felev">#REF!</definedName>
    <definedName name="funkcio" localSheetId="0">#REF!</definedName>
    <definedName name="funkcio" localSheetId="1">#REF!</definedName>
    <definedName name="funkcio" localSheetId="35">#REF!</definedName>
    <definedName name="funkcio" localSheetId="56">#REF!</definedName>
    <definedName name="funkcio" localSheetId="21">#REF!</definedName>
    <definedName name="funkcio" localSheetId="25">#REF!</definedName>
    <definedName name="funkcio" localSheetId="2">#REF!</definedName>
    <definedName name="funkcio" localSheetId="11">#REF!</definedName>
    <definedName name="funkcio" localSheetId="3">#REF!</definedName>
    <definedName name="funkcio" localSheetId="4">#REF!</definedName>
    <definedName name="funkcio" localSheetId="5">#REF!</definedName>
    <definedName name="funkcio" localSheetId="6">#REF!</definedName>
    <definedName name="funkcio" localSheetId="7">#REF!</definedName>
    <definedName name="funkcio" localSheetId="8">#REF!</definedName>
    <definedName name="funkcio" localSheetId="12">#REF!</definedName>
    <definedName name="funkcio" localSheetId="49">#REF!</definedName>
    <definedName name="funkcio" localSheetId="28">#REF!</definedName>
    <definedName name="funkcio" localSheetId="15">#REF!</definedName>
    <definedName name="funkcio" localSheetId="32">#REF!</definedName>
    <definedName name="funkcio">#REF!</definedName>
    <definedName name="hjkhjh" localSheetId="21">#REF!</definedName>
    <definedName name="hjkhjh" localSheetId="25">#REF!</definedName>
    <definedName name="hjkhjh" localSheetId="32">#REF!</definedName>
    <definedName name="hjkhjh">#REF!</definedName>
    <definedName name="igenyles_1" localSheetId="32">#REF!</definedName>
    <definedName name="igenyles_1">#REF!</definedName>
    <definedName name="Igenyles_elszamolas_tip" localSheetId="0">#REF!</definedName>
    <definedName name="Igenyles_elszamolas_tip" localSheetId="1">#REF!</definedName>
    <definedName name="Igenyles_elszamolas_tip" localSheetId="35">#REF!</definedName>
    <definedName name="Igenyles_elszamolas_tip" localSheetId="56">#REF!</definedName>
    <definedName name="Igenyles_elszamolas_tip" localSheetId="2">#REF!</definedName>
    <definedName name="Igenyles_elszamolas_tip" localSheetId="11">#REF!</definedName>
    <definedName name="Igenyles_elszamolas_tip" localSheetId="3">#REF!</definedName>
    <definedName name="Igenyles_elszamolas_tip" localSheetId="4">#REF!</definedName>
    <definedName name="Igenyles_elszamolas_tip" localSheetId="5">#REF!</definedName>
    <definedName name="Igenyles_elszamolas_tip" localSheetId="6">#REF!</definedName>
    <definedName name="Igenyles_elszamolas_tip" localSheetId="7">#REF!</definedName>
    <definedName name="Igenyles_elszamolas_tip" localSheetId="8">#REF!</definedName>
    <definedName name="Igenyles_elszamolas_tip" localSheetId="12">#REF!</definedName>
    <definedName name="Igenyles_elszamolas_tip" localSheetId="49">#REF!</definedName>
    <definedName name="Igenyles_elszamolas_tip" localSheetId="28">#REF!</definedName>
    <definedName name="Igenyles_elszamolas_tip" localSheetId="15">#REF!</definedName>
    <definedName name="Igenyles_elszamolas_tip" localSheetId="32">#REF!</definedName>
    <definedName name="Igenyles_elszamolas_tip">#REF!</definedName>
    <definedName name="iiiiii" localSheetId="35">#REF!</definedName>
    <definedName name="iiiiii" localSheetId="56">#REF!</definedName>
    <definedName name="iiiiii" localSheetId="32">#REF!</definedName>
    <definedName name="iiiiii">#REF!</definedName>
    <definedName name="jjj" localSheetId="35">#REF!</definedName>
    <definedName name="jjj" localSheetId="56">#REF!</definedName>
    <definedName name="jjj" localSheetId="32">#REF!</definedName>
    <definedName name="jjj">#REF!</definedName>
    <definedName name="kkkk" localSheetId="35">#REF!</definedName>
    <definedName name="kkkk" localSheetId="56">#REF!</definedName>
    <definedName name="kkkk" localSheetId="32">#REF!</definedName>
    <definedName name="kkkk">#REF!</definedName>
    <definedName name="koltseg_k" localSheetId="0">#REF!</definedName>
    <definedName name="koltseg_k" localSheetId="1">#REF!</definedName>
    <definedName name="koltseg_k" localSheetId="35">#REF!</definedName>
    <definedName name="koltseg_k" localSheetId="56">#REF!</definedName>
    <definedName name="koltseg_k" localSheetId="2">#REF!</definedName>
    <definedName name="koltseg_k" localSheetId="11">#REF!</definedName>
    <definedName name="koltseg_k" localSheetId="3">#REF!</definedName>
    <definedName name="koltseg_k" localSheetId="4">#REF!</definedName>
    <definedName name="koltseg_k" localSheetId="5">#REF!</definedName>
    <definedName name="koltseg_k" localSheetId="6">#REF!</definedName>
    <definedName name="koltseg_k" localSheetId="7">#REF!</definedName>
    <definedName name="koltseg_k" localSheetId="8">#REF!</definedName>
    <definedName name="koltseg_k" localSheetId="12">#REF!</definedName>
    <definedName name="koltseg_k" localSheetId="49">#REF!</definedName>
    <definedName name="koltseg_k" localSheetId="28">#REF!</definedName>
    <definedName name="koltseg_k" localSheetId="15">#REF!</definedName>
    <definedName name="koltseg_k" localSheetId="32">#REF!</definedName>
    <definedName name="koltseg_k">#REF!</definedName>
    <definedName name="Koltseg_kat" localSheetId="0">#REF!</definedName>
    <definedName name="Koltseg_kat" localSheetId="1">#REF!</definedName>
    <definedName name="Koltseg_kat" localSheetId="35">#REF!</definedName>
    <definedName name="Koltseg_kat" localSheetId="56">#REF!</definedName>
    <definedName name="Koltseg_kat" localSheetId="2">#REF!</definedName>
    <definedName name="Koltseg_kat" localSheetId="11">#REF!</definedName>
    <definedName name="Koltseg_kat" localSheetId="3">#REF!</definedName>
    <definedName name="Koltseg_kat" localSheetId="4">#REF!</definedName>
    <definedName name="Koltseg_kat" localSheetId="5">#REF!</definedName>
    <definedName name="Koltseg_kat" localSheetId="6">#REF!</definedName>
    <definedName name="Koltseg_kat" localSheetId="7">#REF!</definedName>
    <definedName name="Koltseg_kat" localSheetId="8">#REF!</definedName>
    <definedName name="Koltseg_kat" localSheetId="12">#REF!</definedName>
    <definedName name="Koltseg_kat" localSheetId="49">#REF!</definedName>
    <definedName name="Koltseg_kat" localSheetId="28">#REF!</definedName>
    <definedName name="Koltseg_kat" localSheetId="15">#REF!</definedName>
    <definedName name="Koltseg_kat" localSheetId="32">#REF!</definedName>
    <definedName name="Koltseg_kat">#REF!</definedName>
    <definedName name="nem" localSheetId="32">#REF!</definedName>
    <definedName name="nem">#REF!</definedName>
    <definedName name="_xlnm.Print_Titles" localSheetId="0">'1.a sz. Önkormányzat  '!$A:$C,'1.a sz. Önkormányzat  '!$1:$6</definedName>
    <definedName name="_xlnm.Print_Titles" localSheetId="1">'1.b sz. Önkormányzat  '!$A:$C,'1.b sz. Önkormányzat  '!$1:$6</definedName>
    <definedName name="_xlnm.Print_Titles" localSheetId="47">'12.sz.függ.Tartalékok vált.'!$A:$C,'12.sz.függ.Tartalékok vált.'!$1:$3</definedName>
    <definedName name="_xlnm.Print_Titles" localSheetId="25">'15.sz.mell. Létszámtábla'!$2:$2</definedName>
    <definedName name="_xlnm.Print_Titles" localSheetId="2">'2.1. sz. PMH'!$A:$C</definedName>
    <definedName name="_xlnm.Print_Titles" localSheetId="11">'2.10. sz. Intézmények összesen'!$A:$C</definedName>
    <definedName name="_xlnm.Print_Titles" localSheetId="3">'2.2. sz. Hétszínvirág Óvoda'!$A:$C</definedName>
    <definedName name="_xlnm.Print_Titles" localSheetId="4">'2.3. sz. Mese Óvoda'!$A:$C</definedName>
    <definedName name="_xlnm.Print_Titles" localSheetId="5">'2.4. sz. Bölcsőde'!$A:$C</definedName>
    <definedName name="_xlnm.Print_Titles" localSheetId="6">'2.5. sz. Gyermekjóléti'!$A:$C</definedName>
    <definedName name="_xlnm.Print_Titles" localSheetId="7">'2.6 sz. Területi'!$A:$C</definedName>
    <definedName name="_xlnm.Print_Titles" localSheetId="8">'2.7. sz. Könyvtár'!$A:$C</definedName>
    <definedName name="_xlnm.Print_Titles" localSheetId="9">'2.8. sz. Műv.Ház'!$A:$C</definedName>
    <definedName name="_xlnm.Print_Titles" localSheetId="10">'2.9. sz. Szivárvány Ó.'!$A:$C</definedName>
    <definedName name="_xlnm.Print_Titles" localSheetId="12">'3. sz.Városi szintű összesen'!$A:$C,'3. sz.Városi szintű összesen'!$1:$6</definedName>
    <definedName name="_xlnm.Print_Titles" localSheetId="13">'4.sz.Felhalm.c.pe.átadás'!$A:$D</definedName>
    <definedName name="_xlnm.Print_Titles" localSheetId="15">'6.sz. Beruházások'!$A:$C,'6.sz. Beruházások'!$2:$6</definedName>
    <definedName name="_xlnm.Print_Titles" localSheetId="31">'6.sz.tájék.tábla Hitelképes'!$A:$B</definedName>
    <definedName name="_xlnm.Print_Titles" localSheetId="52">'6.sz.tájék.tábla Hitelképes '!$A:$B</definedName>
    <definedName name="_xlnm.Print_Titles" localSheetId="16">'7. sz. Felújítások'!$A:$C,'7. sz. Felújítások'!$4:$6</definedName>
    <definedName name="_xlnm.Print_Titles" localSheetId="17">'8.sz.Tartalékok'!$1:$4</definedName>
    <definedName name="_xlnm.Print_Area" localSheetId="0">'1.a sz. Önkormányzat  '!$A$1:$IC$50</definedName>
    <definedName name="_xlnm.Print_Area" localSheetId="1">'1.b sz. Önkormányzat  '!$A$1:$CG$50</definedName>
    <definedName name="_xlnm.Print_Area" localSheetId="36">'1.sz.függ.Önkormány bev-kiad'!$A$1:$X$1275</definedName>
    <definedName name="_xlnm.Print_Area" localSheetId="26">'1.sz.tájék.tábla Közvetett tám'!$A$1:$J$30</definedName>
    <definedName name="_xlnm.Print_Area" localSheetId="45">'10.sz.függ.József A. MűvHáz'!$A$1:$X$122</definedName>
    <definedName name="_xlnm.Print_Area" localSheetId="19">'10.sz.Intézményfinanszírozás'!$A$1:$H$16</definedName>
    <definedName name="_xlnm.Print_Area" localSheetId="20">'11.a.sz. Műk.célú tám.ÁHbelül'!$A$1:$L$30</definedName>
    <definedName name="_xlnm.Print_Area" localSheetId="21">'11.b.sz.Állami támogatás'!$A$1:$G$83</definedName>
    <definedName name="_xlnm.Print_Area" localSheetId="46">'11.sz.függ.Mindösszesen'!$A$1:$S$99</definedName>
    <definedName name="_xlnm.Print_Area" localSheetId="22">'12.sz. Felh.célú tám.ÁHbelül'!$A$1:$J$29</definedName>
    <definedName name="_xlnm.Print_Area" localSheetId="47">'12.sz.függ.Tartalékok vált.'!$A$1:$AU$364</definedName>
    <definedName name="_xlnm.Print_Area" localSheetId="23">'13.sz. Közhatalmi bevételek'!$A$1:$N$22</definedName>
    <definedName name="_xlnm.Print_Area" localSheetId="24">'14.sz. Felhalm. bevételek'!$A$1:$J$19</definedName>
    <definedName name="_xlnm.Print_Area" localSheetId="2">'2.1. sz. PMH'!$A$1:$W$51</definedName>
    <definedName name="_xlnm.Print_Area" localSheetId="11">'2.10. sz. Intézmények összesen'!$A$1:$K$50</definedName>
    <definedName name="_xlnm.Print_Area" localSheetId="3">'2.2. sz. Hétszínvirág Óvoda'!$A$1:$U$51</definedName>
    <definedName name="_xlnm.Print_Area" localSheetId="4">'2.3. sz. Mese Óvoda'!$A$1:$Q$51</definedName>
    <definedName name="_xlnm.Print_Area" localSheetId="5">'2.4. sz. Bölcsőde'!$A$1:$O$51</definedName>
    <definedName name="_xlnm.Print_Area" localSheetId="6">'2.5. sz. Gyermekjóléti'!$A$1:$S$51</definedName>
    <definedName name="_xlnm.Print_Area" localSheetId="7">'2.6 sz. Területi'!$A$1:$AS$51</definedName>
    <definedName name="_xlnm.Print_Area" localSheetId="8">'2.7. sz. Könyvtár'!$A$1:$W$51</definedName>
    <definedName name="_xlnm.Print_Area" localSheetId="9">'2.8. sz. Műv.Ház'!$A$1:$S$51</definedName>
    <definedName name="_xlnm.Print_Area" localSheetId="10">'2.9. sz. Szivárvány Ó.'!$A$1:$Q$51</definedName>
    <definedName name="_xlnm.Print_Area" localSheetId="37">'2.sz.függ.PMH bev-kiad'!$A$1:$X$167</definedName>
    <definedName name="_xlnm.Print_Area" localSheetId="48">'2.sz.tájék.tábla Mérlegszerű'!$A$1:$H$40</definedName>
    <definedName name="_xlnm.Print_Area" localSheetId="27">'2.sz.tájék.táblaMérlegszerű'!$A$1:$J$40</definedName>
    <definedName name="_xlnm.Print_Area" localSheetId="12">'3. sz.Városi szintű összesen'!$A$1:$M$50</definedName>
    <definedName name="_xlnm.Print_Area" localSheetId="38">'3.sz.függ.Ter.Gond'!$A$1:$X$324</definedName>
    <definedName name="_xlnm.Print_Area" localSheetId="49">'3.sz.tájék.tábla Gördülő'!$A$1:$I$70</definedName>
    <definedName name="_xlnm.Print_Area" localSheetId="28">'3.sz.tájék.táblaGördülő'!$A$1:$J$68</definedName>
    <definedName name="_xlnm.Print_Area" localSheetId="13">'4.sz.Felhalm.c.pe.átadás'!$A$1:$L$22</definedName>
    <definedName name="_xlnm.Print_Area" localSheetId="39">'4.sz.függ.Könyvtár'!$A$1:$X$94</definedName>
    <definedName name="_xlnm.Print_Area" localSheetId="50">'4.sz.tájék.táb. Többéves'!$A$1:$I$15</definedName>
    <definedName name="_xlnm.Print_Area" localSheetId="29">'4.sz.tájék.táb. Többéves '!$A$1:$I$18</definedName>
    <definedName name="_xlnm.Print_Area" localSheetId="40">'5.sz.függ.Hétszínvirág Ó.'!$A$1:$X$133</definedName>
    <definedName name="_xlnm.Print_Area" localSheetId="14">'5.sz.Műk.c.pe.átadás'!$A$1:$L$144</definedName>
    <definedName name="_xlnm.Print_Area" localSheetId="30">'5.sz.tájék.táb Adósságszolg'!$A$1:$E$47</definedName>
    <definedName name="_xlnm.Print_Area" localSheetId="51">'5.sz.tájék.táb Adósságszolgálat'!$A$1:$E$47</definedName>
    <definedName name="_xlnm.Print_Area" localSheetId="15">'6.sz. Beruházások'!$A$1:$Y$185</definedName>
    <definedName name="_xlnm.Print_Area" localSheetId="41">'6.sz.függ.Mese Ó.'!$A$1:$X$143</definedName>
    <definedName name="_xlnm.Print_Area" localSheetId="31">'6.sz.tájék.tábla Hitelképes'!$A$1:$S$47</definedName>
    <definedName name="_xlnm.Print_Area" localSheetId="52">'6.sz.tájék.tábla Hitelképes '!$A$1:$U$47</definedName>
    <definedName name="_xlnm.Print_Area" localSheetId="16">'7. sz. Felújítások'!$A$1:$S$30</definedName>
    <definedName name="_xlnm.Print_Area" localSheetId="42">'7.sz.függ.Bölcsőde'!$A$1:$X$136</definedName>
    <definedName name="_xlnm.Print_Area" localSheetId="53">'7.sz.tájék.táb.Likviditási terv'!$A$1:$P$29</definedName>
    <definedName name="_xlnm.Print_Area" localSheetId="32">'7.sztájék.táblaLikviditási terv'!$A$1:$P$30</definedName>
    <definedName name="_xlnm.Print_Area" localSheetId="43">'8.sz.függ.Gyermekjóléti'!$A$1:$X$96</definedName>
    <definedName name="_xlnm.Print_Area" localSheetId="54">'8.sz.tájék.tábla Ütemterv'!$A$1:$P$29</definedName>
    <definedName name="_xlnm.Print_Area" localSheetId="17">'8.sz.Tartalékok'!$A$1:$H$70</definedName>
    <definedName name="_xlnm.Print_Area" localSheetId="33">'8.sztájék.tábla Ütemterv'!$A$1:$P$29</definedName>
    <definedName name="_xlnm.Print_Area" localSheetId="55">'9. sz. tájék.tábla EU-s pály.'!$A$1:$E$21</definedName>
    <definedName name="_xlnm.Print_Area" localSheetId="18">'9.sz. Szociális'!$A$1:$F$21</definedName>
    <definedName name="_xlnm.Print_Area" localSheetId="44">'9.sz.függ.Szivárvány Ó.'!$A$1:$X$117</definedName>
    <definedName name="_xlnm.Print_Area" localSheetId="34">'9.sz.tájék.EU-s pály.'!$A$1:$E$43</definedName>
    <definedName name="oooooooooooo" localSheetId="35">#REF!</definedName>
    <definedName name="oooooooooooo" localSheetId="56">#REF!</definedName>
    <definedName name="oooooooooooo" localSheetId="21">#REF!</definedName>
    <definedName name="oooooooooooo" localSheetId="25">#REF!</definedName>
    <definedName name="oooooooooooo" localSheetId="32">#REF!</definedName>
    <definedName name="oooooooooooo">#REF!</definedName>
    <definedName name="pppppp" localSheetId="35">#REF!</definedName>
    <definedName name="pppppp" localSheetId="56">#REF!</definedName>
    <definedName name="pppppp" localSheetId="21">#REF!</definedName>
    <definedName name="pppppp" localSheetId="25">#REF!</definedName>
    <definedName name="pppppp" localSheetId="32">#REF!</definedName>
    <definedName name="pppppp">#REF!</definedName>
    <definedName name="qqqqq" localSheetId="35">#REF!</definedName>
    <definedName name="qqqqq" localSheetId="56">#REF!</definedName>
    <definedName name="qqqqq" localSheetId="21">#REF!</definedName>
    <definedName name="qqqqq" localSheetId="25">#REF!</definedName>
    <definedName name="qqqqq" localSheetId="32">#REF!</definedName>
    <definedName name="qqqqq">#REF!</definedName>
    <definedName name="rrrrrrrrrrr" localSheetId="35">#REF!</definedName>
    <definedName name="rrrrrrrrrrr" localSheetId="56">#REF!</definedName>
    <definedName name="rrrrrrrrrrr" localSheetId="32">#REF!</definedName>
    <definedName name="rrrrrrrrrrr">#REF!</definedName>
    <definedName name="Szamviteli_kat" localSheetId="0">#REF!</definedName>
    <definedName name="Szamviteli_kat" localSheetId="1">#REF!</definedName>
    <definedName name="Szamviteli_kat" localSheetId="35">#REF!</definedName>
    <definedName name="Szamviteli_kat" localSheetId="56">#REF!</definedName>
    <definedName name="Szamviteli_kat" localSheetId="2">#REF!</definedName>
    <definedName name="Szamviteli_kat" localSheetId="11">#REF!</definedName>
    <definedName name="Szamviteli_kat" localSheetId="3">#REF!</definedName>
    <definedName name="Szamviteli_kat" localSheetId="4">#REF!</definedName>
    <definedName name="Szamviteli_kat" localSheetId="5">#REF!</definedName>
    <definedName name="Szamviteli_kat" localSheetId="6">#REF!</definedName>
    <definedName name="Szamviteli_kat" localSheetId="7">#REF!</definedName>
    <definedName name="Szamviteli_kat" localSheetId="8">#REF!</definedName>
    <definedName name="Szamviteli_kat" localSheetId="12">#REF!</definedName>
    <definedName name="Szamviteli_kat" localSheetId="49">#REF!</definedName>
    <definedName name="Szamviteli_kat" localSheetId="28">#REF!</definedName>
    <definedName name="Szamviteli_kat" localSheetId="15">#REF!</definedName>
    <definedName name="Szamviteli_kat" localSheetId="32">#REF!</definedName>
    <definedName name="Szamviteli_kat">#REF!</definedName>
  </definedNames>
  <calcPr calcId="191029"/>
</workbook>
</file>

<file path=xl/calcChain.xml><?xml version="1.0" encoding="utf-8"?>
<calcChain xmlns="http://schemas.openxmlformats.org/spreadsheetml/2006/main">
  <c r="D25" i="126" l="1"/>
  <c r="D31" i="126"/>
  <c r="D38" i="126"/>
  <c r="D36" i="126"/>
  <c r="D35" i="126"/>
  <c r="C27" i="126"/>
  <c r="B27" i="126"/>
  <c r="D27" i="126"/>
  <c r="D6" i="126"/>
  <c r="D12" i="126"/>
  <c r="D8" i="126"/>
  <c r="C6" i="126"/>
  <c r="K29" i="126"/>
  <c r="K27" i="126"/>
  <c r="K10" i="126"/>
  <c r="K8" i="126"/>
  <c r="B8" i="126"/>
  <c r="D19" i="126"/>
  <c r="D17" i="126"/>
  <c r="C15" i="126"/>
  <c r="D4" i="127"/>
  <c r="F9" i="127"/>
  <c r="D13" i="121"/>
  <c r="F14" i="121"/>
  <c r="F12" i="121"/>
  <c r="O27" i="125" l="1"/>
  <c r="N27" i="125"/>
  <c r="M27" i="125"/>
  <c r="L27" i="125"/>
  <c r="K27" i="125"/>
  <c r="I27" i="125"/>
  <c r="H27" i="125"/>
  <c r="G27" i="125"/>
  <c r="F27" i="125"/>
  <c r="E27" i="125"/>
  <c r="D27" i="125"/>
  <c r="O15" i="125"/>
  <c r="N15" i="125"/>
  <c r="M15" i="125"/>
  <c r="L15" i="125"/>
  <c r="K15" i="125"/>
  <c r="J15" i="125"/>
  <c r="I15" i="125"/>
  <c r="H15" i="125"/>
  <c r="G15" i="125"/>
  <c r="F15" i="125"/>
  <c r="E15" i="125"/>
  <c r="D15" i="125"/>
  <c r="K54" i="142" l="1"/>
  <c r="L48" i="142"/>
  <c r="L47" i="142"/>
  <c r="K47" i="142"/>
  <c r="K50" i="142" s="1"/>
  <c r="O41" i="142" s="1"/>
  <c r="O45" i="142" s="1"/>
  <c r="L46" i="142"/>
  <c r="L44" i="142"/>
  <c r="L43" i="142"/>
  <c r="L42" i="142"/>
  <c r="L41" i="142"/>
  <c r="L40" i="142"/>
  <c r="L39" i="142"/>
  <c r="L50" i="142" s="1"/>
  <c r="O51" i="142" s="1"/>
  <c r="O52" i="142" s="1"/>
  <c r="P51" i="142" s="1"/>
  <c r="O36" i="142"/>
  <c r="K35" i="142"/>
  <c r="S30" i="142"/>
  <c r="Q30" i="142"/>
  <c r="S28" i="142"/>
  <c r="J27" i="142"/>
  <c r="I27" i="142"/>
  <c r="F27" i="142"/>
  <c r="E27" i="142"/>
  <c r="Q26" i="142"/>
  <c r="O26" i="142"/>
  <c r="N26" i="142"/>
  <c r="N27" i="142" s="1"/>
  <c r="M26" i="142"/>
  <c r="M27" i="142" s="1"/>
  <c r="L26" i="142"/>
  <c r="K26" i="142"/>
  <c r="I26" i="142"/>
  <c r="H26" i="142"/>
  <c r="G26" i="142"/>
  <c r="F26" i="142"/>
  <c r="E26" i="142"/>
  <c r="D26" i="142"/>
  <c r="P26" i="142" s="1"/>
  <c r="R26" i="142" s="1"/>
  <c r="S26" i="142" s="1"/>
  <c r="O25" i="142"/>
  <c r="O27" i="142" s="1"/>
  <c r="N25" i="142"/>
  <c r="M25" i="142"/>
  <c r="L25" i="142"/>
  <c r="L27" i="142" s="1"/>
  <c r="K25" i="142"/>
  <c r="K27" i="142" s="1"/>
  <c r="J25" i="142"/>
  <c r="I25" i="142"/>
  <c r="H25" i="142"/>
  <c r="H27" i="142" s="1"/>
  <c r="G25" i="142"/>
  <c r="G27" i="142" s="1"/>
  <c r="F25" i="142"/>
  <c r="E25" i="142"/>
  <c r="D25" i="142"/>
  <c r="D27" i="142" s="1"/>
  <c r="Q24" i="142"/>
  <c r="P24" i="142"/>
  <c r="R24" i="142" s="1"/>
  <c r="S24" i="142" s="1"/>
  <c r="Q23" i="142"/>
  <c r="P23" i="142"/>
  <c r="R23" i="142" s="1"/>
  <c r="S23" i="142" s="1"/>
  <c r="Q22" i="142"/>
  <c r="P22" i="142"/>
  <c r="R22" i="142" s="1"/>
  <c r="S22" i="142" s="1"/>
  <c r="Q21" i="142"/>
  <c r="P21" i="142"/>
  <c r="R21" i="142" s="1"/>
  <c r="S21" i="142" s="1"/>
  <c r="Q20" i="142"/>
  <c r="P20" i="142"/>
  <c r="R20" i="142" s="1"/>
  <c r="S20" i="142" s="1"/>
  <c r="Q19" i="142"/>
  <c r="P19" i="142"/>
  <c r="R19" i="142" s="1"/>
  <c r="S19" i="142" s="1"/>
  <c r="Q18" i="142"/>
  <c r="P18" i="142"/>
  <c r="R18" i="142" s="1"/>
  <c r="S18" i="142" s="1"/>
  <c r="Q17" i="142"/>
  <c r="Q25" i="142" s="1"/>
  <c r="Q27" i="142" s="1"/>
  <c r="P17" i="142"/>
  <c r="P25" i="142" s="1"/>
  <c r="R16" i="142"/>
  <c r="S16" i="142" s="1"/>
  <c r="Q14" i="142"/>
  <c r="O14" i="142"/>
  <c r="N14" i="142"/>
  <c r="M14" i="142"/>
  <c r="L14" i="142"/>
  <c r="K14" i="142"/>
  <c r="J14" i="142"/>
  <c r="I14" i="142"/>
  <c r="H14" i="142"/>
  <c r="G14" i="142"/>
  <c r="F14" i="142"/>
  <c r="E14" i="142"/>
  <c r="D14" i="142"/>
  <c r="P14" i="142" s="1"/>
  <c r="R14" i="142" s="1"/>
  <c r="S14" i="142" s="1"/>
  <c r="O13" i="142"/>
  <c r="O15" i="142" s="1"/>
  <c r="N13" i="142"/>
  <c r="N15" i="142" s="1"/>
  <c r="N28" i="142" s="1"/>
  <c r="M13" i="142"/>
  <c r="M15" i="142" s="1"/>
  <c r="M28" i="142" s="1"/>
  <c r="L13" i="142"/>
  <c r="L15" i="142" s="1"/>
  <c r="K13" i="142"/>
  <c r="K15" i="142" s="1"/>
  <c r="J13" i="142"/>
  <c r="J15" i="142" s="1"/>
  <c r="J28" i="142" s="1"/>
  <c r="I13" i="142"/>
  <c r="I15" i="142" s="1"/>
  <c r="I28" i="142" s="1"/>
  <c r="H13" i="142"/>
  <c r="H15" i="142" s="1"/>
  <c r="G13" i="142"/>
  <c r="G15" i="142" s="1"/>
  <c r="F13" i="142"/>
  <c r="F15" i="142" s="1"/>
  <c r="F28" i="142" s="1"/>
  <c r="E13" i="142"/>
  <c r="E15" i="142" s="1"/>
  <c r="E28" i="142" s="1"/>
  <c r="D13" i="142"/>
  <c r="D15" i="142" s="1"/>
  <c r="R12" i="142"/>
  <c r="S12" i="142" s="1"/>
  <c r="Q12" i="142"/>
  <c r="P12" i="142"/>
  <c r="R11" i="142"/>
  <c r="S11" i="142" s="1"/>
  <c r="Q11" i="142"/>
  <c r="P11" i="142"/>
  <c r="R10" i="142"/>
  <c r="S10" i="142" s="1"/>
  <c r="Q10" i="142"/>
  <c r="P10" i="142"/>
  <c r="R9" i="142"/>
  <c r="S9" i="142" s="1"/>
  <c r="Q9" i="142"/>
  <c r="P9" i="142"/>
  <c r="R8" i="142"/>
  <c r="S8" i="142" s="1"/>
  <c r="Q8" i="142"/>
  <c r="P8" i="142"/>
  <c r="R7" i="142"/>
  <c r="S7" i="142" s="1"/>
  <c r="Q7" i="142"/>
  <c r="P7" i="142"/>
  <c r="V6" i="142"/>
  <c r="Q6" i="142"/>
  <c r="Q13" i="142" s="1"/>
  <c r="Q15" i="142" s="1"/>
  <c r="P6" i="142"/>
  <c r="R6" i="142" s="1"/>
  <c r="S6" i="142" s="1"/>
  <c r="K64" i="43"/>
  <c r="K62" i="43"/>
  <c r="D101" i="139"/>
  <c r="E101" i="139"/>
  <c r="F101" i="139"/>
  <c r="G101" i="139"/>
  <c r="H101" i="139"/>
  <c r="I101" i="139"/>
  <c r="J101" i="139"/>
  <c r="K101" i="139"/>
  <c r="L101" i="139"/>
  <c r="M101" i="139"/>
  <c r="N101" i="139"/>
  <c r="O101" i="139"/>
  <c r="P101" i="139"/>
  <c r="Q101" i="139"/>
  <c r="R101" i="139"/>
  <c r="S101" i="139"/>
  <c r="C101" i="139"/>
  <c r="H100" i="139"/>
  <c r="M34" i="40"/>
  <c r="AQ34" i="40"/>
  <c r="AO34" i="40"/>
  <c r="AM34" i="40"/>
  <c r="AI34" i="40"/>
  <c r="AG34" i="40"/>
  <c r="AE34" i="40"/>
  <c r="AC34" i="40"/>
  <c r="O34" i="40"/>
  <c r="K34" i="40"/>
  <c r="I34" i="40"/>
  <c r="G34" i="40"/>
  <c r="J313" i="131"/>
  <c r="T313" i="131"/>
  <c r="T311" i="131"/>
  <c r="T310" i="131"/>
  <c r="T309" i="131"/>
  <c r="T308" i="131"/>
  <c r="T307" i="131"/>
  <c r="T306" i="131"/>
  <c r="T303" i="131"/>
  <c r="T302" i="131"/>
  <c r="P27" i="142" l="1"/>
  <c r="R27" i="142" s="1"/>
  <c r="S27" i="142" s="1"/>
  <c r="R25" i="142"/>
  <c r="S25" i="142" s="1"/>
  <c r="G28" i="142"/>
  <c r="K28" i="142"/>
  <c r="O28" i="142"/>
  <c r="Q51" i="142"/>
  <c r="D28" i="142"/>
  <c r="D30" i="142"/>
  <c r="E5" i="142" s="1"/>
  <c r="E30" i="142" s="1"/>
  <c r="F5" i="142" s="1"/>
  <c r="F30" i="142" s="1"/>
  <c r="G5" i="142" s="1"/>
  <c r="G30" i="142" s="1"/>
  <c r="H5" i="142" s="1"/>
  <c r="H30" i="142" s="1"/>
  <c r="I5" i="142" s="1"/>
  <c r="I30" i="142" s="1"/>
  <c r="J5" i="142" s="1"/>
  <c r="J30" i="142" s="1"/>
  <c r="K5" i="142" s="1"/>
  <c r="K30" i="142" s="1"/>
  <c r="L5" i="142" s="1"/>
  <c r="L30" i="142" s="1"/>
  <c r="M5" i="142" s="1"/>
  <c r="M30" i="142" s="1"/>
  <c r="N5" i="142" s="1"/>
  <c r="N30" i="142" s="1"/>
  <c r="O5" i="142" s="1"/>
  <c r="O30" i="142" s="1"/>
  <c r="Q32" i="142" s="1"/>
  <c r="H28" i="142"/>
  <c r="L28" i="142"/>
  <c r="P13" i="142"/>
  <c r="R17" i="142"/>
  <c r="S17" i="142" s="1"/>
  <c r="L21" i="115"/>
  <c r="L18" i="115"/>
  <c r="L20" i="115"/>
  <c r="R13" i="142" l="1"/>
  <c r="S13" i="142" s="1"/>
  <c r="P15" i="142"/>
  <c r="P28" i="142" l="1"/>
  <c r="R15" i="142"/>
  <c r="S15" i="142" s="1"/>
  <c r="U34" i="34"/>
  <c r="T156" i="130"/>
  <c r="T152" i="130"/>
  <c r="M34" i="34"/>
  <c r="M33" i="34"/>
  <c r="G34" i="34"/>
  <c r="U11" i="34"/>
  <c r="J156" i="130"/>
  <c r="G34" i="74" l="1"/>
  <c r="T109" i="137"/>
  <c r="Q11" i="73"/>
  <c r="Q34" i="73"/>
  <c r="I34" i="73"/>
  <c r="G34" i="73"/>
  <c r="J114" i="138"/>
  <c r="J113" i="138"/>
  <c r="T114" i="138"/>
  <c r="T113" i="138"/>
  <c r="T112" i="138"/>
  <c r="G34" i="37"/>
  <c r="T121" i="133"/>
  <c r="Q34" i="39"/>
  <c r="G34" i="39"/>
  <c r="J85" i="136"/>
  <c r="T84" i="136"/>
  <c r="K34" i="36"/>
  <c r="I34" i="36"/>
  <c r="G34" i="36"/>
  <c r="J126" i="135"/>
  <c r="T128" i="135"/>
  <c r="T127" i="135"/>
  <c r="T126" i="135"/>
  <c r="U11" i="35"/>
  <c r="U34" i="35"/>
  <c r="K34" i="35"/>
  <c r="J83" i="132"/>
  <c r="J82" i="132"/>
  <c r="T83" i="132"/>
  <c r="T82" i="132"/>
  <c r="G34" i="38"/>
  <c r="T135" i="134"/>
  <c r="L13" i="115"/>
  <c r="D59" i="25"/>
  <c r="AC33" i="23"/>
  <c r="W33" i="23"/>
  <c r="J1263" i="129" l="1"/>
  <c r="T1263" i="129"/>
  <c r="DG10" i="23"/>
  <c r="DG33" i="23"/>
  <c r="J1262" i="129"/>
  <c r="T1262" i="129"/>
  <c r="DC33" i="23"/>
  <c r="DA10" i="23"/>
  <c r="DA33" i="23"/>
  <c r="J1261" i="129"/>
  <c r="T1261" i="129"/>
  <c r="J1260" i="129"/>
  <c r="T1260" i="129"/>
  <c r="CU33" i="23"/>
  <c r="J1259" i="129"/>
  <c r="T1259" i="129"/>
  <c r="CC33" i="23"/>
  <c r="F8" i="116" l="1"/>
  <c r="CA33" i="23"/>
  <c r="J1254" i="129"/>
  <c r="T1254" i="129"/>
  <c r="S97" i="31" l="1"/>
  <c r="M1253" i="129"/>
  <c r="J1252" i="129"/>
  <c r="D53" i="31"/>
  <c r="E53" i="31"/>
  <c r="T53" i="31" s="1"/>
  <c r="M46" i="31"/>
  <c r="S46" i="31"/>
  <c r="I46" i="31"/>
  <c r="EC16" i="23"/>
  <c r="M1251" i="129"/>
  <c r="M1250" i="129"/>
  <c r="S57" i="31" l="1"/>
  <c r="I57" i="31"/>
  <c r="S48" i="31"/>
  <c r="I48" i="31"/>
  <c r="O16" i="23"/>
  <c r="M1249" i="129"/>
  <c r="M1248" i="129"/>
  <c r="S51" i="31" l="1"/>
  <c r="I51" i="31"/>
  <c r="M1247" i="129"/>
  <c r="M1246" i="129"/>
  <c r="D60" i="25" l="1"/>
  <c r="EA36" i="23"/>
  <c r="H11" i="115" l="1"/>
  <c r="J12" i="115"/>
  <c r="F9" i="115"/>
  <c r="F8" i="115"/>
  <c r="F10" i="115"/>
  <c r="S1242" i="129"/>
  <c r="M9" i="34" l="1"/>
  <c r="H151" i="130"/>
  <c r="I9" i="38"/>
  <c r="G9" i="38"/>
  <c r="H134" i="134"/>
  <c r="H133" i="134"/>
  <c r="M9" i="40"/>
  <c r="K9" i="40"/>
  <c r="I9" i="40"/>
  <c r="G9" i="40"/>
  <c r="H301" i="131"/>
  <c r="H300" i="131"/>
  <c r="H298" i="131"/>
  <c r="I9" i="37"/>
  <c r="G9" i="37"/>
  <c r="H120" i="133"/>
  <c r="H119" i="133"/>
  <c r="K9" i="36"/>
  <c r="I9" i="36"/>
  <c r="H125" i="135"/>
  <c r="H124" i="135"/>
  <c r="D64" i="25" l="1"/>
  <c r="GQ10" i="23"/>
  <c r="J1241" i="129"/>
  <c r="IA10" i="23" l="1"/>
  <c r="J1239" i="129"/>
  <c r="M1237" i="129"/>
  <c r="M11" i="37"/>
  <c r="J118" i="133"/>
  <c r="I24" i="31"/>
  <c r="I8" i="31"/>
  <c r="HG16" i="23"/>
  <c r="M1235" i="129"/>
  <c r="M1234" i="129"/>
  <c r="M110" i="138"/>
  <c r="J110" i="138"/>
  <c r="K177" i="31"/>
  <c r="M177" i="31"/>
  <c r="AO13" i="128" l="1"/>
  <c r="L18" i="26"/>
  <c r="G7" i="26"/>
  <c r="I7" i="26"/>
  <c r="E7" i="26"/>
  <c r="K7" i="26" s="1"/>
  <c r="K18" i="26"/>
  <c r="J53" i="27"/>
  <c r="P1231" i="129" l="1"/>
  <c r="K176" i="31"/>
  <c r="Q11" i="35"/>
  <c r="M81" i="132"/>
  <c r="O11" i="38"/>
  <c r="J132" i="134"/>
  <c r="J150" i="130"/>
  <c r="J83" i="136"/>
  <c r="D85" i="31" l="1"/>
  <c r="E85" i="31"/>
  <c r="T85" i="31" s="1"/>
  <c r="S16" i="23"/>
  <c r="M1230" i="129"/>
  <c r="K149" i="31" l="1"/>
  <c r="M149" i="31"/>
  <c r="M122" i="135"/>
  <c r="J121" i="135"/>
  <c r="H131" i="134"/>
  <c r="J108" i="137"/>
  <c r="J295" i="131"/>
  <c r="J294" i="131"/>
  <c r="J293" i="131"/>
  <c r="T294" i="131"/>
  <c r="T293" i="131"/>
  <c r="D62" i="25"/>
  <c r="BO33" i="128"/>
  <c r="S124" i="31"/>
  <c r="M124" i="31"/>
  <c r="GI16" i="23"/>
  <c r="GI10" i="23"/>
  <c r="GI8" i="23"/>
  <c r="M1222" i="129"/>
  <c r="J1221" i="129"/>
  <c r="S111" i="31" l="1"/>
  <c r="M111" i="31"/>
  <c r="M1220" i="129"/>
  <c r="J1219" i="129"/>
  <c r="J1218" i="129"/>
  <c r="BS22" i="128"/>
  <c r="BS39" i="128"/>
  <c r="DM33" i="23"/>
  <c r="J1215" i="129"/>
  <c r="T1215" i="129"/>
  <c r="J1214" i="129"/>
  <c r="P1212" i="129"/>
  <c r="S150" i="31"/>
  <c r="M150" i="31"/>
  <c r="M117" i="133"/>
  <c r="J117" i="133"/>
  <c r="DI8" i="23"/>
  <c r="J1211" i="129"/>
  <c r="D25" i="25"/>
  <c r="GO10" i="23"/>
  <c r="J1210" i="129"/>
  <c r="D76" i="31" l="1"/>
  <c r="E76" i="31"/>
  <c r="T76" i="31" s="1"/>
  <c r="M1208" i="129"/>
  <c r="S45" i="31"/>
  <c r="I45" i="31"/>
  <c r="M1206" i="129"/>
  <c r="J1204" i="129"/>
  <c r="S119" i="31" l="1"/>
  <c r="I119" i="31"/>
  <c r="GA16" i="23"/>
  <c r="M1202" i="129"/>
  <c r="M23" i="24"/>
  <c r="G23" i="24"/>
  <c r="M21" i="24"/>
  <c r="G21" i="24"/>
  <c r="EM33" i="23"/>
  <c r="EG33" i="23"/>
  <c r="N1199" i="129"/>
  <c r="N1200" i="129"/>
  <c r="T1198" i="129"/>
  <c r="T1197" i="129"/>
  <c r="G58" i="118" l="1"/>
  <c r="G54" i="118"/>
  <c r="D58" i="25"/>
  <c r="Q1193" i="129"/>
  <c r="G69" i="118"/>
  <c r="D35" i="25"/>
  <c r="J109" i="138"/>
  <c r="J108" i="138"/>
  <c r="G11" i="35" l="1"/>
  <c r="J80" i="132"/>
  <c r="J1190" i="129"/>
  <c r="J28" i="113"/>
  <c r="M168" i="31"/>
  <c r="K168" i="31"/>
  <c r="M291" i="131"/>
  <c r="J1187" i="129"/>
  <c r="J1185" i="129"/>
  <c r="J1184" i="129"/>
  <c r="T1184" i="129"/>
  <c r="J1183" i="129"/>
  <c r="T1183" i="129"/>
  <c r="J290" i="131"/>
  <c r="J289" i="131"/>
  <c r="J288" i="131"/>
  <c r="J287" i="131"/>
  <c r="H7" i="114"/>
  <c r="M1180" i="129"/>
  <c r="J1178" i="129"/>
  <c r="CO10" i="23" l="1"/>
  <c r="J1175" i="129"/>
  <c r="AA10" i="23"/>
  <c r="J1174" i="129"/>
  <c r="D53" i="25" l="1"/>
  <c r="J1172" i="129"/>
  <c r="W62" i="31"/>
  <c r="W7" i="31"/>
  <c r="S78" i="31"/>
  <c r="I78" i="31"/>
  <c r="F62" i="31"/>
  <c r="G62" i="31"/>
  <c r="J62" i="31"/>
  <c r="K62" i="31"/>
  <c r="L62" i="31"/>
  <c r="M62" i="31"/>
  <c r="N62" i="31"/>
  <c r="O62" i="31"/>
  <c r="P62" i="31"/>
  <c r="Q62" i="31"/>
  <c r="U62" i="31"/>
  <c r="V62" i="31"/>
  <c r="X62" i="31"/>
  <c r="E78" i="31"/>
  <c r="T78" i="31" s="1"/>
  <c r="D78" i="31"/>
  <c r="FC16" i="23"/>
  <c r="M1170" i="129"/>
  <c r="J149" i="130"/>
  <c r="F19" i="28"/>
  <c r="F8" i="28"/>
  <c r="H79" i="132"/>
  <c r="H120" i="135"/>
  <c r="H119" i="135"/>
  <c r="H118" i="135"/>
  <c r="H107" i="138"/>
  <c r="H106" i="138"/>
  <c r="H104" i="138"/>
  <c r="H103" i="138"/>
  <c r="I10" i="37"/>
  <c r="H116" i="133"/>
  <c r="H115" i="133"/>
  <c r="G9" i="39"/>
  <c r="H82" i="136"/>
  <c r="K9" i="34" l="1"/>
  <c r="I9" i="34"/>
  <c r="H147" i="130"/>
  <c r="H146" i="130"/>
  <c r="H145" i="130"/>
  <c r="H144" i="130"/>
  <c r="AE9" i="40"/>
  <c r="AA9" i="40"/>
  <c r="U9" i="40"/>
  <c r="S9" i="40"/>
  <c r="K10" i="40"/>
  <c r="I10" i="40"/>
  <c r="H286" i="131"/>
  <c r="H285" i="131"/>
  <c r="H284" i="131"/>
  <c r="H283" i="131"/>
  <c r="H282" i="131"/>
  <c r="H281" i="131"/>
  <c r="H280" i="131"/>
  <c r="H279" i="131"/>
  <c r="DM9" i="23" l="1"/>
  <c r="DA9" i="23"/>
  <c r="DC9" i="23"/>
  <c r="DC8" i="23"/>
  <c r="DA8" i="23"/>
  <c r="CA8" i="23"/>
  <c r="AM8" i="23"/>
  <c r="CQ9" i="23"/>
  <c r="CO8" i="23"/>
  <c r="CQ8" i="23"/>
  <c r="H1159" i="129" l="1"/>
  <c r="H1158" i="129"/>
  <c r="H1157" i="129"/>
  <c r="H1156" i="129"/>
  <c r="H130" i="134"/>
  <c r="H129" i="134"/>
  <c r="I9" i="74"/>
  <c r="G9" i="74"/>
  <c r="H107" i="137"/>
  <c r="H106" i="137"/>
  <c r="M1153" i="129"/>
  <c r="D61" i="31"/>
  <c r="E60" i="31"/>
  <c r="T60" i="31" s="1"/>
  <c r="D60" i="31"/>
  <c r="BQ16" i="23"/>
  <c r="M1151" i="129"/>
  <c r="S99" i="31"/>
  <c r="M1149" i="129"/>
  <c r="J1148" i="129"/>
  <c r="CM10" i="23"/>
  <c r="J1147" i="129"/>
  <c r="J81" i="136"/>
  <c r="J128" i="134"/>
  <c r="J1139" i="129"/>
  <c r="D73" i="31"/>
  <c r="E73" i="31"/>
  <c r="T73" i="31" s="1"/>
  <c r="M1137" i="129"/>
  <c r="M1135" i="129"/>
  <c r="J1133" i="129"/>
  <c r="J1131" i="129"/>
  <c r="J126" i="134" l="1"/>
  <c r="M160" i="31"/>
  <c r="K160" i="31"/>
  <c r="M278" i="131"/>
  <c r="J105" i="137"/>
  <c r="J276" i="131"/>
  <c r="J114" i="133"/>
  <c r="J100" i="138"/>
  <c r="P1129" i="129"/>
  <c r="S149" i="31"/>
  <c r="M117" i="135"/>
  <c r="T115" i="135"/>
  <c r="P1128" i="129"/>
  <c r="S158" i="31"/>
  <c r="M158" i="31"/>
  <c r="M125" i="134"/>
  <c r="J275" i="131"/>
  <c r="J274" i="131"/>
  <c r="J273" i="131"/>
  <c r="E11" i="41"/>
  <c r="E13" i="41"/>
  <c r="E14" i="41"/>
  <c r="E15" i="41"/>
  <c r="E17" i="41"/>
  <c r="E22" i="41"/>
  <c r="E23" i="41"/>
  <c r="E24" i="41"/>
  <c r="E25" i="41"/>
  <c r="E26" i="41"/>
  <c r="E31" i="41"/>
  <c r="E34" i="41"/>
  <c r="E35" i="41"/>
  <c r="E39" i="41"/>
  <c r="E44" i="41"/>
  <c r="E45" i="41"/>
  <c r="E50" i="41"/>
  <c r="AR9" i="40"/>
  <c r="AS12" i="40"/>
  <c r="AS14" i="40"/>
  <c r="AS15" i="40"/>
  <c r="AS16" i="40"/>
  <c r="AS18" i="40"/>
  <c r="AS19" i="40"/>
  <c r="AS20" i="40"/>
  <c r="AS23" i="40"/>
  <c r="AS24" i="40"/>
  <c r="AS25" i="40"/>
  <c r="AS26" i="40"/>
  <c r="AS27" i="40"/>
  <c r="AS32" i="40"/>
  <c r="AS33" i="40"/>
  <c r="AS35" i="40"/>
  <c r="AS36" i="40"/>
  <c r="AS37" i="40"/>
  <c r="AS40" i="40"/>
  <c r="AS42" i="40"/>
  <c r="AS45" i="40"/>
  <c r="AS46" i="40"/>
  <c r="AS51" i="40"/>
  <c r="AR12" i="40"/>
  <c r="AR14" i="40"/>
  <c r="AR15" i="40"/>
  <c r="AR16" i="40"/>
  <c r="AR18" i="40"/>
  <c r="AR19" i="40"/>
  <c r="AR20" i="40"/>
  <c r="AR23" i="40"/>
  <c r="AR24" i="40"/>
  <c r="AR25" i="40"/>
  <c r="AR26" i="40"/>
  <c r="AR27" i="40"/>
  <c r="AR32" i="40"/>
  <c r="AR33" i="40"/>
  <c r="AR34" i="40"/>
  <c r="AR35" i="40"/>
  <c r="AR36" i="40"/>
  <c r="AR37" i="40"/>
  <c r="AR40" i="40"/>
  <c r="AR42" i="40"/>
  <c r="AR45" i="40"/>
  <c r="AR46" i="40"/>
  <c r="AR50" i="40"/>
  <c r="AR51" i="40"/>
  <c r="AN47" i="40"/>
  <c r="AO47" i="40"/>
  <c r="AN48" i="40"/>
  <c r="AN49" i="40" s="1"/>
  <c r="AO48" i="40"/>
  <c r="AN38" i="40"/>
  <c r="AO38" i="40"/>
  <c r="AN39" i="40"/>
  <c r="AO39" i="40"/>
  <c r="AN29" i="40"/>
  <c r="AO29" i="40"/>
  <c r="AN22" i="40"/>
  <c r="AO22" i="40"/>
  <c r="AN13" i="40"/>
  <c r="AN28" i="40" s="1"/>
  <c r="AN30" i="40" s="1"/>
  <c r="AO13" i="40"/>
  <c r="AO21" i="40" s="1"/>
  <c r="J271" i="131"/>
  <c r="J270" i="131"/>
  <c r="J269" i="131"/>
  <c r="J267" i="131"/>
  <c r="T271" i="131"/>
  <c r="T270" i="131"/>
  <c r="T269" i="131"/>
  <c r="T267" i="131"/>
  <c r="T266" i="131"/>
  <c r="P1127" i="129"/>
  <c r="S178" i="31"/>
  <c r="K178" i="31"/>
  <c r="J99" i="138"/>
  <c r="M99" i="138"/>
  <c r="M1126" i="129"/>
  <c r="M1124" i="129"/>
  <c r="J1122" i="129"/>
  <c r="Q1120" i="129"/>
  <c r="AN21" i="40" l="1"/>
  <c r="AO28" i="40"/>
  <c r="AO30" i="40"/>
  <c r="AO49" i="40"/>
  <c r="T1116" i="129"/>
  <c r="S1112" i="129"/>
  <c r="J1111" i="129"/>
  <c r="J1110" i="129"/>
  <c r="J1109" i="129"/>
  <c r="S122" i="31"/>
  <c r="I122" i="31"/>
  <c r="GG16" i="23"/>
  <c r="M1108" i="129"/>
  <c r="D122" i="31"/>
  <c r="E122" i="31"/>
  <c r="T122" i="31" s="1"/>
  <c r="D45" i="25"/>
  <c r="M1106" i="129"/>
  <c r="J1104" i="129"/>
  <c r="M1102" i="129"/>
  <c r="F57" i="27"/>
  <c r="G57" i="27"/>
  <c r="H57" i="27"/>
  <c r="I57" i="27"/>
  <c r="J57" i="27"/>
  <c r="K57" i="27"/>
  <c r="E57" i="27"/>
  <c r="D48" i="25"/>
  <c r="M1098" i="129"/>
  <c r="D119" i="31"/>
  <c r="E119" i="31"/>
  <c r="T119" i="31" s="1"/>
  <c r="M1096" i="129"/>
  <c r="GG10" i="23"/>
  <c r="J1094" i="129"/>
  <c r="J1092" i="129" l="1"/>
  <c r="D94" i="31"/>
  <c r="E94" i="31"/>
  <c r="T94" i="31" s="1"/>
  <c r="BW16" i="23"/>
  <c r="M1090" i="129"/>
  <c r="J1089" i="129"/>
  <c r="S8" i="31"/>
  <c r="HG10" i="23"/>
  <c r="J1087" i="129"/>
  <c r="M1086" i="129"/>
  <c r="J1085" i="129"/>
  <c r="J1084" i="129"/>
  <c r="D15" i="25"/>
  <c r="J1081" i="129" l="1"/>
  <c r="M1079" i="129"/>
  <c r="P1077" i="129"/>
  <c r="S151" i="31"/>
  <c r="M151" i="31"/>
  <c r="I11" i="37"/>
  <c r="J112" i="133"/>
  <c r="M112" i="133"/>
  <c r="M18" i="24"/>
  <c r="G18" i="24"/>
  <c r="N1076" i="129"/>
  <c r="J1072" i="129" l="1"/>
  <c r="T1072" i="129"/>
  <c r="AA33" i="23" l="1"/>
  <c r="AN364" i="140"/>
  <c r="CY10" i="23"/>
  <c r="J1069" i="129"/>
  <c r="J1068" i="129"/>
  <c r="T1068" i="129"/>
  <c r="K89" i="31"/>
  <c r="J1065" i="129"/>
  <c r="U10" i="23"/>
  <c r="J1064" i="129"/>
  <c r="F9" i="116"/>
  <c r="D70" i="31"/>
  <c r="E70" i="31"/>
  <c r="T70" i="31" s="1"/>
  <c r="S50" i="23"/>
  <c r="GO50" i="23"/>
  <c r="X82" i="31"/>
  <c r="X127" i="31"/>
  <c r="M1059" i="129"/>
  <c r="BC10" i="23"/>
  <c r="J1056" i="129"/>
  <c r="J1057" i="129"/>
  <c r="M27" i="24"/>
  <c r="G27" i="24"/>
  <c r="N1055" i="129"/>
  <c r="M13" i="24"/>
  <c r="G13" i="24"/>
  <c r="N1053" i="129"/>
  <c r="J1051" i="129"/>
  <c r="M14" i="24"/>
  <c r="G14" i="24"/>
  <c r="N1049" i="129"/>
  <c r="M1047" i="129"/>
  <c r="J1046" i="129"/>
  <c r="S127" i="31"/>
  <c r="I127" i="31"/>
  <c r="M1045" i="129" l="1"/>
  <c r="M1044" i="129"/>
  <c r="P1043" i="129"/>
  <c r="S148" i="31"/>
  <c r="K148" i="31"/>
  <c r="M114" i="135"/>
  <c r="J114" i="135"/>
  <c r="J1042" i="129" l="1"/>
  <c r="J111" i="133"/>
  <c r="M11" i="74" l="1"/>
  <c r="J104" i="137"/>
  <c r="J124" i="134" l="1"/>
  <c r="H98" i="138" l="1"/>
  <c r="D49" i="25"/>
  <c r="J48" i="27" l="1"/>
  <c r="S91" i="31"/>
  <c r="M91" i="31"/>
  <c r="BE16" i="23" l="1"/>
  <c r="M1026" i="129"/>
  <c r="J1025" i="129"/>
  <c r="D117" i="31"/>
  <c r="E117" i="31"/>
  <c r="T117" i="31" s="1"/>
  <c r="FY16" i="23"/>
  <c r="M1023" i="129"/>
  <c r="P1021" i="129"/>
  <c r="S180" i="31"/>
  <c r="K180" i="31"/>
  <c r="M79" i="136"/>
  <c r="J79" i="136"/>
  <c r="H78" i="136"/>
  <c r="H122" i="134"/>
  <c r="H121" i="134"/>
  <c r="K11" i="37"/>
  <c r="H107" i="133"/>
  <c r="H108" i="133"/>
  <c r="H78" i="132"/>
  <c r="H113" i="135"/>
  <c r="H112" i="135"/>
  <c r="H111" i="135"/>
  <c r="H94" i="138"/>
  <c r="H95" i="138"/>
  <c r="H142" i="130"/>
  <c r="H141" i="130"/>
  <c r="H140" i="130"/>
  <c r="H139" i="130"/>
  <c r="W9" i="40"/>
  <c r="H265" i="131"/>
  <c r="H264" i="131"/>
  <c r="H263" i="131"/>
  <c r="H262" i="131"/>
  <c r="H261" i="131"/>
  <c r="H260" i="131"/>
  <c r="H259" i="131"/>
  <c r="H258" i="131"/>
  <c r="H257" i="131"/>
  <c r="H102" i="137"/>
  <c r="H101" i="137"/>
  <c r="DK9" i="23"/>
  <c r="AK9" i="23"/>
  <c r="H1019" i="129"/>
  <c r="H1017" i="129"/>
  <c r="H1016" i="129"/>
  <c r="H1015" i="129"/>
  <c r="H1014" i="129"/>
  <c r="H1013" i="129"/>
  <c r="H1012" i="129"/>
  <c r="J1010" i="129" l="1"/>
  <c r="J1008" i="129"/>
  <c r="BW10" i="128"/>
  <c r="J1006" i="129"/>
  <c r="L17" i="26"/>
  <c r="K17" i="26"/>
  <c r="D69" i="25"/>
  <c r="J256" i="131"/>
  <c r="J999" i="129"/>
  <c r="M997" i="129"/>
  <c r="J996" i="129"/>
  <c r="J77" i="132" l="1"/>
  <c r="D21" i="25"/>
  <c r="HE10" i="23"/>
  <c r="J993" i="129"/>
  <c r="M991" i="129"/>
  <c r="J989" i="129"/>
  <c r="J106" i="133"/>
  <c r="J93" i="138"/>
  <c r="T93" i="138"/>
  <c r="J92" i="138"/>
  <c r="H91" i="138"/>
  <c r="J110" i="135"/>
  <c r="J254" i="131"/>
  <c r="M10" i="23"/>
  <c r="J983" i="129"/>
  <c r="J982" i="129"/>
  <c r="J981" i="129"/>
  <c r="J980" i="129"/>
  <c r="G7" i="115"/>
  <c r="E7" i="115"/>
  <c r="S977" i="129" l="1"/>
  <c r="J976" i="129"/>
  <c r="D101" i="31"/>
  <c r="E101" i="31"/>
  <c r="T101" i="31" s="1"/>
  <c r="AW16" i="128"/>
  <c r="M975" i="129"/>
  <c r="M974" i="129"/>
  <c r="F13" i="116" l="1"/>
  <c r="J120" i="134"/>
  <c r="P972" i="129"/>
  <c r="M119" i="134"/>
  <c r="J119" i="134"/>
  <c r="J971" i="129"/>
  <c r="M21" i="115" l="1"/>
  <c r="N21" i="115"/>
  <c r="H21" i="26"/>
  <c r="J252" i="131"/>
  <c r="J251" i="131"/>
  <c r="J136" i="130"/>
  <c r="H135" i="130"/>
  <c r="H134" i="130"/>
  <c r="J76" i="132"/>
  <c r="S83" i="31"/>
  <c r="I83" i="31"/>
  <c r="M969" i="129"/>
  <c r="J968" i="129"/>
  <c r="J967" i="129"/>
  <c r="J249" i="131"/>
  <c r="J248" i="131"/>
  <c r="J246" i="131"/>
  <c r="T249" i="131"/>
  <c r="T248" i="131"/>
  <c r="T246" i="131"/>
  <c r="J245" i="131"/>
  <c r="J244" i="131"/>
  <c r="J963" i="129"/>
  <c r="T963" i="129"/>
  <c r="M960" i="129"/>
  <c r="J958" i="129"/>
  <c r="D68" i="25" l="1"/>
  <c r="S24" i="31"/>
  <c r="M953" i="129"/>
  <c r="M952" i="129"/>
  <c r="D51" i="31"/>
  <c r="E51" i="31"/>
  <c r="T51" i="31" s="1"/>
  <c r="J133" i="130"/>
  <c r="J132" i="130"/>
  <c r="J131" i="130"/>
  <c r="P946" i="129"/>
  <c r="D153" i="31"/>
  <c r="E153" i="31"/>
  <c r="T153" i="31" s="1"/>
  <c r="Q17" i="37"/>
  <c r="Q11" i="37"/>
  <c r="M105" i="133"/>
  <c r="J105" i="133"/>
  <c r="CK9" i="128" l="1"/>
  <c r="CK11" i="128"/>
  <c r="CK14" i="128"/>
  <c r="CK15" i="128"/>
  <c r="CK16" i="128"/>
  <c r="CK17" i="128"/>
  <c r="CK22" i="128"/>
  <c r="CK23" i="128"/>
  <c r="CK24" i="128"/>
  <c r="CK26" i="128"/>
  <c r="CK30" i="128"/>
  <c r="CK31" i="128"/>
  <c r="CK32" i="128"/>
  <c r="CK33" i="128"/>
  <c r="CK34" i="128"/>
  <c r="CK35" i="128"/>
  <c r="CK36" i="128"/>
  <c r="CK39" i="128"/>
  <c r="CK40" i="128"/>
  <c r="CK41" i="128"/>
  <c r="CK42" i="128"/>
  <c r="CK43" i="128"/>
  <c r="CK44" i="128"/>
  <c r="CK45" i="128"/>
  <c r="CK49" i="128"/>
  <c r="CK50" i="128"/>
  <c r="CK8" i="128"/>
  <c r="BV46" i="128"/>
  <c r="BV47" i="128"/>
  <c r="BW47" i="128"/>
  <c r="BV37" i="128"/>
  <c r="BV38" i="128"/>
  <c r="BW38" i="128"/>
  <c r="BW46" i="128"/>
  <c r="BV27" i="128"/>
  <c r="BW27" i="128"/>
  <c r="BW28" i="128"/>
  <c r="BV21" i="128"/>
  <c r="BW21" i="128"/>
  <c r="BV18" i="128"/>
  <c r="BV28" i="128" s="1"/>
  <c r="BV29" i="128" s="1"/>
  <c r="BW18" i="128"/>
  <c r="BW20" i="128" s="1"/>
  <c r="BV12" i="128"/>
  <c r="BW12" i="128"/>
  <c r="J945" i="129"/>
  <c r="J943" i="129"/>
  <c r="S95" i="31"/>
  <c r="G95" i="31"/>
  <c r="M941" i="129"/>
  <c r="J939" i="129"/>
  <c r="J936" i="129"/>
  <c r="D42" i="31"/>
  <c r="E42" i="31"/>
  <c r="T42" i="31" s="1"/>
  <c r="M934" i="129"/>
  <c r="J100" i="137"/>
  <c r="BV20" i="128" l="1"/>
  <c r="BW29" i="128"/>
  <c r="BW48" i="128"/>
  <c r="BV48" i="128"/>
  <c r="BW37" i="128"/>
  <c r="M930" i="129"/>
  <c r="J929" i="129"/>
  <c r="K16" i="26"/>
  <c r="L16" i="26"/>
  <c r="K15" i="26"/>
  <c r="J89" i="27"/>
  <c r="J100" i="27"/>
  <c r="J79" i="27"/>
  <c r="L927" i="129" l="1"/>
  <c r="J924" i="129"/>
  <c r="T924" i="129"/>
  <c r="J923" i="129"/>
  <c r="T923" i="129"/>
  <c r="DK10" i="23"/>
  <c r="DK8" i="23"/>
  <c r="J921" i="129"/>
  <c r="H921" i="129"/>
  <c r="H920" i="129"/>
  <c r="H919" i="129"/>
  <c r="H918" i="129"/>
  <c r="H129" i="130"/>
  <c r="H128" i="130"/>
  <c r="H127" i="130"/>
  <c r="H109" i="135"/>
  <c r="H108" i="135"/>
  <c r="H104" i="133" l="1"/>
  <c r="H103" i="133"/>
  <c r="H90" i="138"/>
  <c r="H89" i="138"/>
  <c r="H239" i="131"/>
  <c r="H238" i="131"/>
  <c r="H237" i="131"/>
  <c r="H236" i="131"/>
  <c r="H235" i="131"/>
  <c r="H234" i="131"/>
  <c r="H233" i="131"/>
  <c r="H118" i="134"/>
  <c r="H117" i="134"/>
  <c r="H98" i="137"/>
  <c r="H97" i="137"/>
  <c r="J912" i="129"/>
  <c r="J910" i="129"/>
  <c r="D7" i="25"/>
  <c r="J908" i="129"/>
  <c r="M906" i="129"/>
  <c r="M904" i="129"/>
  <c r="D30" i="100" l="1"/>
  <c r="D28" i="100"/>
  <c r="D27" i="100"/>
  <c r="D24" i="100"/>
  <c r="D51" i="23" l="1"/>
  <c r="U36" i="37" l="1"/>
  <c r="J213" i="131" l="1"/>
  <c r="J212" i="131"/>
  <c r="J211" i="131"/>
  <c r="AO10" i="23" l="1"/>
  <c r="J884" i="129"/>
  <c r="J883" i="129"/>
  <c r="J882" i="129" l="1"/>
  <c r="AM364" i="140" l="1"/>
  <c r="AL364" i="140"/>
  <c r="S879" i="129"/>
  <c r="D75" i="31" l="1"/>
  <c r="E75" i="31"/>
  <c r="T75" i="31" s="1"/>
  <c r="M876" i="129"/>
  <c r="J89" i="135" l="1"/>
  <c r="J88" i="135"/>
  <c r="T88" i="135"/>
  <c r="U12" i="37"/>
  <c r="U14" i="37"/>
  <c r="U15" i="37"/>
  <c r="U16" i="37"/>
  <c r="U18" i="37"/>
  <c r="U19" i="37"/>
  <c r="U20" i="37"/>
  <c r="U23" i="37"/>
  <c r="U24" i="37"/>
  <c r="U25" i="37"/>
  <c r="U26" i="37"/>
  <c r="U27" i="37"/>
  <c r="U31" i="37"/>
  <c r="U32" i="37"/>
  <c r="U33" i="37"/>
  <c r="S124" i="133" s="1"/>
  <c r="U35" i="37"/>
  <c r="U37" i="37"/>
  <c r="U40" i="37"/>
  <c r="U42" i="37"/>
  <c r="U45" i="37"/>
  <c r="U46" i="37"/>
  <c r="U51" i="37"/>
  <c r="T12" i="37"/>
  <c r="T14" i="37"/>
  <c r="T15" i="37"/>
  <c r="T16" i="37"/>
  <c r="T18" i="37"/>
  <c r="T19" i="37"/>
  <c r="T20" i="37"/>
  <c r="T23" i="37"/>
  <c r="T24" i="37"/>
  <c r="T25" i="37"/>
  <c r="T26" i="37"/>
  <c r="T27" i="37"/>
  <c r="T31" i="37"/>
  <c r="T32" i="37"/>
  <c r="T33" i="37"/>
  <c r="T34" i="37"/>
  <c r="T35" i="37"/>
  <c r="T36" i="37"/>
  <c r="V124" i="133" s="1"/>
  <c r="T37" i="37"/>
  <c r="T40" i="37"/>
  <c r="T42" i="37"/>
  <c r="T45" i="37"/>
  <c r="T46" i="37"/>
  <c r="T50" i="37"/>
  <c r="T51" i="37"/>
  <c r="T9" i="37"/>
  <c r="P47" i="37"/>
  <c r="Q47" i="37"/>
  <c r="P48" i="37"/>
  <c r="Q48" i="37"/>
  <c r="P38" i="37"/>
  <c r="Q38" i="37"/>
  <c r="P39" i="37"/>
  <c r="Q39" i="37"/>
  <c r="P29" i="37"/>
  <c r="Q29" i="37"/>
  <c r="P22" i="37"/>
  <c r="Q22" i="37"/>
  <c r="P13" i="37"/>
  <c r="P21" i="37" s="1"/>
  <c r="Q13" i="37"/>
  <c r="Q21" i="37" s="1"/>
  <c r="J83" i="133"/>
  <c r="Q28" i="37" l="1"/>
  <c r="W124" i="133"/>
  <c r="Q124" i="133"/>
  <c r="N124" i="133"/>
  <c r="K124" i="133"/>
  <c r="U124" i="133"/>
  <c r="R124" i="133"/>
  <c r="O124" i="133"/>
  <c r="P28" i="37"/>
  <c r="P30" i="37" s="1"/>
  <c r="Q49" i="37"/>
  <c r="P49" i="37"/>
  <c r="Q30" i="37"/>
  <c r="J874" i="129"/>
  <c r="J873" i="129"/>
  <c r="J55" i="132"/>
  <c r="T55" i="132"/>
  <c r="P872" i="129"/>
  <c r="S177" i="31"/>
  <c r="K143" i="31"/>
  <c r="M71" i="138"/>
  <c r="J71" i="138"/>
  <c r="G37" i="34"/>
  <c r="E36" i="41" s="1"/>
  <c r="J869" i="129"/>
  <c r="H867" i="129"/>
  <c r="D104" i="31"/>
  <c r="E104" i="31"/>
  <c r="T104" i="31" s="1"/>
  <c r="M866" i="129"/>
  <c r="J865" i="129"/>
  <c r="AW10" i="23" l="1"/>
  <c r="J859" i="129"/>
  <c r="J862" i="129" l="1"/>
  <c r="T862" i="129"/>
  <c r="J861" i="129"/>
  <c r="J210" i="131"/>
  <c r="P858" i="129"/>
  <c r="D156" i="31"/>
  <c r="E156" i="31"/>
  <c r="T156" i="31" s="1"/>
  <c r="K17" i="74"/>
  <c r="K11" i="74"/>
  <c r="M79" i="137"/>
  <c r="J79" i="137"/>
  <c r="U34" i="37"/>
  <c r="T124" i="133" s="1"/>
  <c r="J78" i="137"/>
  <c r="J98" i="134" l="1"/>
  <c r="J208" i="131"/>
  <c r="T208" i="131"/>
  <c r="J207" i="131"/>
  <c r="T207" i="131"/>
  <c r="J206" i="131"/>
  <c r="T206" i="131"/>
  <c r="J80" i="133"/>
  <c r="M205" i="131"/>
  <c r="P857" i="129"/>
  <c r="M70" i="138"/>
  <c r="J856" i="129"/>
  <c r="J854" i="129"/>
  <c r="J852" i="129"/>
  <c r="J850" i="129"/>
  <c r="D32" i="31"/>
  <c r="E32" i="31"/>
  <c r="T32" i="31" s="1"/>
  <c r="M848" i="129"/>
  <c r="M846" i="129"/>
  <c r="S168" i="31"/>
  <c r="M204" i="131"/>
  <c r="J203" i="131"/>
  <c r="F138" i="31"/>
  <c r="G138" i="31"/>
  <c r="H138" i="31"/>
  <c r="I138" i="31"/>
  <c r="J138" i="31"/>
  <c r="K138" i="31"/>
  <c r="L138" i="31"/>
  <c r="M138" i="31"/>
  <c r="N138" i="31"/>
  <c r="O138" i="31"/>
  <c r="P138" i="31"/>
  <c r="Q138" i="31"/>
  <c r="R138" i="31"/>
  <c r="S138" i="31"/>
  <c r="U138" i="31"/>
  <c r="V138" i="31"/>
  <c r="W138" i="31"/>
  <c r="X138" i="31"/>
  <c r="D140" i="31"/>
  <c r="E140" i="31"/>
  <c r="T140" i="31" s="1"/>
  <c r="T138" i="31" s="1"/>
  <c r="D139" i="31"/>
  <c r="E139" i="31"/>
  <c r="M842" i="129"/>
  <c r="E138" i="31" l="1"/>
  <c r="D138" i="31"/>
  <c r="J840" i="129"/>
  <c r="T840" i="129"/>
  <c r="S146" i="31"/>
  <c r="M146" i="31"/>
  <c r="M105" i="130"/>
  <c r="P837" i="129"/>
  <c r="S157" i="31"/>
  <c r="K157" i="31"/>
  <c r="M97" i="134"/>
  <c r="J97" i="134"/>
  <c r="F79" i="31"/>
  <c r="J79" i="31"/>
  <c r="L79" i="31"/>
  <c r="N79" i="31"/>
  <c r="O79" i="31"/>
  <c r="P79" i="31"/>
  <c r="Q79" i="31"/>
  <c r="U79" i="31"/>
  <c r="V79" i="31"/>
  <c r="W79" i="31"/>
  <c r="X79" i="31"/>
  <c r="M836" i="129"/>
  <c r="M834" i="129"/>
  <c r="J832" i="129"/>
  <c r="S84" i="31"/>
  <c r="I84" i="31"/>
  <c r="M830" i="129"/>
  <c r="J201" i="131"/>
  <c r="J826" i="129"/>
  <c r="J824" i="129"/>
  <c r="J823" i="129"/>
  <c r="T824" i="129"/>
  <c r="T823" i="129"/>
  <c r="J822" i="129"/>
  <c r="T822" i="129"/>
  <c r="J821" i="129"/>
  <c r="J820" i="129"/>
  <c r="D28" i="24"/>
  <c r="E28" i="24"/>
  <c r="N28" i="24" s="1"/>
  <c r="N819" i="129"/>
  <c r="J817" i="129"/>
  <c r="J816" i="129"/>
  <c r="J811" i="129" l="1"/>
  <c r="D50" i="31"/>
  <c r="E50" i="31"/>
  <c r="T50" i="31" s="1"/>
  <c r="D47" i="31"/>
  <c r="E47" i="31"/>
  <c r="T47" i="31" s="1"/>
  <c r="M809" i="129"/>
  <c r="M808" i="129"/>
  <c r="D18" i="24"/>
  <c r="E18" i="24"/>
  <c r="N18" i="24" s="1"/>
  <c r="N806" i="129"/>
  <c r="J87" i="135"/>
  <c r="D17" i="24"/>
  <c r="E17" i="24"/>
  <c r="N17" i="24" s="1"/>
  <c r="N800" i="129"/>
  <c r="J798" i="129"/>
  <c r="J797" i="129"/>
  <c r="J796" i="129"/>
  <c r="J795" i="129"/>
  <c r="J794" i="129"/>
  <c r="J793" i="129"/>
  <c r="J790" i="129"/>
  <c r="H199" i="131"/>
  <c r="H198" i="131"/>
  <c r="H197" i="131"/>
  <c r="H196" i="131"/>
  <c r="H195" i="131"/>
  <c r="H194" i="131"/>
  <c r="H193" i="131"/>
  <c r="H68" i="138"/>
  <c r="H79" i="133"/>
  <c r="H85" i="135"/>
  <c r="H84" i="135"/>
  <c r="H83" i="135"/>
  <c r="H54" i="132"/>
  <c r="H76" i="137"/>
  <c r="H75" i="137"/>
  <c r="H96" i="134"/>
  <c r="H95" i="134"/>
  <c r="DI9" i="23" l="1"/>
  <c r="H786" i="129"/>
  <c r="H785" i="129"/>
  <c r="H784" i="129"/>
  <c r="H783" i="129"/>
  <c r="H782" i="129"/>
  <c r="H781" i="129"/>
  <c r="H103" i="130"/>
  <c r="H102" i="130"/>
  <c r="D18" i="25" l="1"/>
  <c r="D123" i="31"/>
  <c r="E123" i="31"/>
  <c r="T123" i="31" s="1"/>
  <c r="M774" i="129"/>
  <c r="J772" i="129" l="1"/>
  <c r="J771" i="129"/>
  <c r="BA10" i="23"/>
  <c r="J769" i="129"/>
  <c r="J768" i="129"/>
  <c r="J767" i="129"/>
  <c r="J766" i="129"/>
  <c r="J765" i="129"/>
  <c r="M764" i="129"/>
  <c r="M763" i="129"/>
  <c r="J762" i="129"/>
  <c r="J760" i="129"/>
  <c r="F9" i="28"/>
  <c r="F18" i="28"/>
  <c r="D47" i="100"/>
  <c r="D12" i="100"/>
  <c r="G20" i="24" l="1"/>
  <c r="S105" i="31"/>
  <c r="M105" i="31"/>
  <c r="S106" i="31"/>
  <c r="M106" i="31"/>
  <c r="J754" i="129" l="1"/>
  <c r="J753" i="129"/>
  <c r="Q751" i="129" l="1"/>
  <c r="J94" i="134"/>
  <c r="J192" i="131"/>
  <c r="T192" i="131"/>
  <c r="J191" i="131"/>
  <c r="T191" i="131"/>
  <c r="J190" i="131"/>
  <c r="T190" i="131"/>
  <c r="J189" i="131"/>
  <c r="T189" i="131"/>
  <c r="J188" i="131"/>
  <c r="T188" i="131"/>
  <c r="J745" i="129"/>
  <c r="T745" i="129"/>
  <c r="IG11" i="23"/>
  <c r="IG13" i="23"/>
  <c r="IG14" i="23"/>
  <c r="IG15" i="23"/>
  <c r="IG22" i="23"/>
  <c r="IG23" i="23"/>
  <c r="IG24" i="23"/>
  <c r="IG25" i="23"/>
  <c r="IG26" i="23"/>
  <c r="IG30" i="23"/>
  <c r="IG31" i="23"/>
  <c r="IG32" i="23"/>
  <c r="IG35" i="23"/>
  <c r="IG39" i="23"/>
  <c r="IG40" i="23"/>
  <c r="IG41" i="23"/>
  <c r="IG42" i="23"/>
  <c r="IG43" i="23"/>
  <c r="IG44" i="23"/>
  <c r="IG45" i="23"/>
  <c r="IG50" i="23"/>
  <c r="IF9" i="23"/>
  <c r="IF11" i="23"/>
  <c r="IF13" i="23"/>
  <c r="IF14" i="23"/>
  <c r="IF15" i="23"/>
  <c r="IF17" i="23"/>
  <c r="IF22" i="23"/>
  <c r="IF23" i="23"/>
  <c r="IF24" i="23"/>
  <c r="IF25" i="23"/>
  <c r="IF26" i="23"/>
  <c r="IF30" i="23"/>
  <c r="IF31" i="23"/>
  <c r="IF32" i="23"/>
  <c r="IF33" i="23"/>
  <c r="IF35" i="23"/>
  <c r="IF36" i="23"/>
  <c r="IF39" i="23"/>
  <c r="IF40" i="23"/>
  <c r="IF41" i="23"/>
  <c r="IF42" i="23"/>
  <c r="IF43" i="23"/>
  <c r="IF44" i="23"/>
  <c r="IF45" i="23"/>
  <c r="IF49" i="23"/>
  <c r="IF50" i="23"/>
  <c r="IA27" i="23"/>
  <c r="HZ46" i="23"/>
  <c r="IA46" i="23"/>
  <c r="HZ47" i="23"/>
  <c r="IA47" i="23"/>
  <c r="HZ37" i="23"/>
  <c r="IA37" i="23"/>
  <c r="HZ38" i="23"/>
  <c r="IA38" i="23"/>
  <c r="HZ27" i="23"/>
  <c r="HZ21" i="23"/>
  <c r="IA21" i="23"/>
  <c r="HZ18" i="23"/>
  <c r="IA18" i="23"/>
  <c r="HY18" i="23"/>
  <c r="HZ12" i="23"/>
  <c r="IA12" i="23"/>
  <c r="J744" i="129"/>
  <c r="J742" i="129"/>
  <c r="J741" i="129"/>
  <c r="M740" i="129"/>
  <c r="D102" i="31"/>
  <c r="E102" i="31"/>
  <c r="T102" i="31" s="1"/>
  <c r="CS16" i="23"/>
  <c r="CS10" i="23"/>
  <c r="M739" i="129"/>
  <c r="J738" i="129"/>
  <c r="J737" i="129"/>
  <c r="J65" i="138"/>
  <c r="J64" i="138"/>
  <c r="J82" i="135"/>
  <c r="T82" i="135"/>
  <c r="HZ20" i="23" l="1"/>
  <c r="IA48" i="23"/>
  <c r="HZ28" i="23"/>
  <c r="HZ29" i="23" s="1"/>
  <c r="IA20" i="23"/>
  <c r="IA28" i="23"/>
  <c r="IA29" i="23" s="1"/>
  <c r="HZ48" i="23"/>
  <c r="J736" i="129"/>
  <c r="J735" i="129"/>
  <c r="J734" i="129"/>
  <c r="O11" i="39"/>
  <c r="O34" i="39"/>
  <c r="J53" i="132"/>
  <c r="J101" i="130"/>
  <c r="J78" i="133"/>
  <c r="CO9" i="23"/>
  <c r="E8" i="31" l="1"/>
  <c r="T8" i="31" s="1"/>
  <c r="M10" i="34"/>
  <c r="K10" i="34"/>
  <c r="I10" i="34"/>
  <c r="I10" i="74"/>
  <c r="U9" i="37"/>
  <c r="H124" i="133" s="1"/>
  <c r="I10" i="38"/>
  <c r="K10" i="36"/>
  <c r="G10" i="39"/>
  <c r="AE10" i="40" l="1"/>
  <c r="AA10" i="40"/>
  <c r="W10" i="40"/>
  <c r="U10" i="40"/>
  <c r="M10" i="40"/>
  <c r="BH21" i="128" l="1"/>
  <c r="CG14" i="128"/>
  <c r="M14" i="43" s="1"/>
  <c r="CF14" i="128"/>
  <c r="L14" i="43" s="1"/>
  <c r="CG9" i="128"/>
  <c r="M9" i="43" s="1"/>
  <c r="CG11" i="128"/>
  <c r="M11" i="43" s="1"/>
  <c r="CG13" i="128"/>
  <c r="M13" i="43" s="1"/>
  <c r="CG15" i="128"/>
  <c r="M15" i="43" s="1"/>
  <c r="CG17" i="128"/>
  <c r="M17" i="43" s="1"/>
  <c r="CG19" i="128"/>
  <c r="M19" i="43" s="1"/>
  <c r="CG22" i="128"/>
  <c r="M22" i="43" s="1"/>
  <c r="CG23" i="128"/>
  <c r="M23" i="43" s="1"/>
  <c r="CG24" i="128"/>
  <c r="M24" i="43" s="1"/>
  <c r="CG25" i="128"/>
  <c r="M25" i="43" s="1"/>
  <c r="CG26" i="128"/>
  <c r="M26" i="43" s="1"/>
  <c r="CG30" i="128"/>
  <c r="M30" i="43" s="1"/>
  <c r="CG31" i="128"/>
  <c r="M31" i="43" s="1"/>
  <c r="CG32" i="128"/>
  <c r="M32" i="43" s="1"/>
  <c r="CG33" i="128"/>
  <c r="M33" i="43" s="1"/>
  <c r="CG34" i="128"/>
  <c r="M34" i="43" s="1"/>
  <c r="CG35" i="128"/>
  <c r="M35" i="43" s="1"/>
  <c r="CG36" i="128"/>
  <c r="M36" i="43" s="1"/>
  <c r="CG39" i="128"/>
  <c r="M39" i="43" s="1"/>
  <c r="CG40" i="128"/>
  <c r="M40" i="43" s="1"/>
  <c r="CG41" i="128"/>
  <c r="M41" i="43" s="1"/>
  <c r="CG42" i="128"/>
  <c r="M42" i="43" s="1"/>
  <c r="CG43" i="128"/>
  <c r="M43" i="43" s="1"/>
  <c r="CG44" i="128"/>
  <c r="M44" i="43" s="1"/>
  <c r="CG45" i="128"/>
  <c r="M45" i="43" s="1"/>
  <c r="CG49" i="128"/>
  <c r="M49" i="43" s="1"/>
  <c r="CG50" i="128"/>
  <c r="M50" i="43" s="1"/>
  <c r="CG8" i="128"/>
  <c r="M8" i="43" s="1"/>
  <c r="CF9" i="128"/>
  <c r="L9" i="43" s="1"/>
  <c r="CF10" i="128"/>
  <c r="L10" i="43" s="1"/>
  <c r="CF11" i="128"/>
  <c r="L11" i="43" s="1"/>
  <c r="CF13" i="128"/>
  <c r="L13" i="43" s="1"/>
  <c r="CF15" i="128"/>
  <c r="L15" i="43" s="1"/>
  <c r="CF17" i="128"/>
  <c r="L17" i="43" s="1"/>
  <c r="CF19" i="128"/>
  <c r="L19" i="43" s="1"/>
  <c r="CF22" i="128"/>
  <c r="CF23" i="128"/>
  <c r="L23" i="43" s="1"/>
  <c r="CF24" i="128"/>
  <c r="L24" i="43" s="1"/>
  <c r="CF25" i="128"/>
  <c r="L25" i="43" s="1"/>
  <c r="CF26" i="128"/>
  <c r="L26" i="43" s="1"/>
  <c r="CF30" i="128"/>
  <c r="L30" i="43" s="1"/>
  <c r="CF31" i="128"/>
  <c r="L31" i="43" s="1"/>
  <c r="CF32" i="128"/>
  <c r="L32" i="43" s="1"/>
  <c r="CF33" i="128"/>
  <c r="L33" i="43" s="1"/>
  <c r="CF34" i="128"/>
  <c r="L34" i="43" s="1"/>
  <c r="CF35" i="128"/>
  <c r="L35" i="43" s="1"/>
  <c r="CF36" i="128"/>
  <c r="L36" i="43" s="1"/>
  <c r="CF39" i="128"/>
  <c r="L39" i="43" s="1"/>
  <c r="CF40" i="128"/>
  <c r="L40" i="43" s="1"/>
  <c r="CF41" i="128"/>
  <c r="L41" i="43" s="1"/>
  <c r="CF42" i="128"/>
  <c r="L42" i="43" s="1"/>
  <c r="CF43" i="128"/>
  <c r="L43" i="43" s="1"/>
  <c r="CF44" i="128"/>
  <c r="L44" i="43" s="1"/>
  <c r="CF45" i="128"/>
  <c r="L45" i="43" s="1"/>
  <c r="CF49" i="128"/>
  <c r="L49" i="43" s="1"/>
  <c r="CF50" i="128"/>
  <c r="L50" i="43" s="1"/>
  <c r="CF8" i="128"/>
  <c r="L8" i="43" s="1"/>
  <c r="CF12" i="128" l="1"/>
  <c r="L12" i="43" s="1"/>
  <c r="CG12" i="128"/>
  <c r="M12" i="43" s="1"/>
  <c r="L22" i="43"/>
  <c r="CG21" i="128"/>
  <c r="M21" i="43" s="1"/>
  <c r="CF21" i="128"/>
  <c r="L21" i="43" s="1"/>
  <c r="N704" i="129"/>
  <c r="N702" i="129"/>
  <c r="N700" i="129"/>
  <c r="M26" i="24"/>
  <c r="G26" i="24"/>
  <c r="N698" i="129"/>
  <c r="EK33" i="23"/>
  <c r="EE33" i="23"/>
  <c r="T695" i="129"/>
  <c r="T694" i="129"/>
  <c r="J71" i="137"/>
  <c r="M178" i="31"/>
  <c r="M60" i="138"/>
  <c r="CF27" i="128" l="1"/>
  <c r="L27" i="43" s="1"/>
  <c r="N691" i="129"/>
  <c r="N689" i="129"/>
  <c r="J93" i="130"/>
  <c r="J92" i="130"/>
  <c r="D84" i="31"/>
  <c r="E84" i="31"/>
  <c r="T84" i="31" s="1"/>
  <c r="M687" i="129"/>
  <c r="J686" i="129"/>
  <c r="J178" i="131"/>
  <c r="J683" i="129"/>
  <c r="N682" i="129" l="1"/>
  <c r="J176" i="131"/>
  <c r="J90" i="134" l="1"/>
  <c r="H12" i="116"/>
  <c r="H7" i="116" s="1"/>
  <c r="J678" i="129"/>
  <c r="S11" i="31"/>
  <c r="D16" i="24"/>
  <c r="E16" i="24"/>
  <c r="N16" i="24" s="1"/>
  <c r="N675" i="129"/>
  <c r="J673" i="129"/>
  <c r="J671" i="129"/>
  <c r="J670" i="129"/>
  <c r="J669" i="129"/>
  <c r="D57" i="25"/>
  <c r="J668" i="129"/>
  <c r="J666" i="129"/>
  <c r="J664" i="129"/>
  <c r="J662" i="129"/>
  <c r="J661" i="129"/>
  <c r="H59" i="138"/>
  <c r="H77" i="135"/>
  <c r="H76" i="135"/>
  <c r="H57" i="136"/>
  <c r="O10" i="39"/>
  <c r="O9" i="39"/>
  <c r="J12" i="116" l="1"/>
  <c r="H74" i="133"/>
  <c r="H91" i="130"/>
  <c r="H90" i="130"/>
  <c r="H89" i="130"/>
  <c r="H175" i="131"/>
  <c r="H174" i="131"/>
  <c r="H173" i="131"/>
  <c r="H172" i="131"/>
  <c r="H171" i="131"/>
  <c r="H170" i="131"/>
  <c r="H169" i="131"/>
  <c r="H89" i="134"/>
  <c r="H88" i="134"/>
  <c r="H69" i="137"/>
  <c r="H68" i="137"/>
  <c r="DS9" i="23"/>
  <c r="H658" i="129"/>
  <c r="H657" i="129"/>
  <c r="H656" i="129"/>
  <c r="J653" i="129" l="1"/>
  <c r="J168" i="131"/>
  <c r="T168" i="131"/>
  <c r="D48" i="31"/>
  <c r="E48" i="31"/>
  <c r="T48" i="31" s="1"/>
  <c r="M651" i="129"/>
  <c r="J650" i="129"/>
  <c r="I11" i="31" l="1"/>
  <c r="I132" i="31"/>
  <c r="M647" i="129"/>
  <c r="M646" i="129"/>
  <c r="S41" i="31"/>
  <c r="I41" i="31"/>
  <c r="E41" i="31" s="1"/>
  <c r="T41" i="31" s="1"/>
  <c r="M643" i="129"/>
  <c r="J642" i="129"/>
  <c r="S30" i="31"/>
  <c r="I30" i="31"/>
  <c r="S28" i="31"/>
  <c r="I28" i="31"/>
  <c r="S27" i="31"/>
  <c r="I27" i="31"/>
  <c r="M641" i="129"/>
  <c r="D41" i="31"/>
  <c r="D11" i="25"/>
  <c r="M640" i="129"/>
  <c r="J638" i="129"/>
  <c r="M637" i="129"/>
  <c r="J12" i="26" l="1"/>
  <c r="S118" i="31" l="1"/>
  <c r="I118" i="31"/>
  <c r="M630" i="129"/>
  <c r="M629" i="129"/>
  <c r="M628" i="129"/>
  <c r="J626" i="129"/>
  <c r="M624" i="129"/>
  <c r="N622" i="129"/>
  <c r="J56" i="133" l="1"/>
  <c r="J57" i="135"/>
  <c r="T57" i="135"/>
  <c r="AM11" i="40"/>
  <c r="J149" i="131"/>
  <c r="T149" i="131"/>
  <c r="J148" i="131"/>
  <c r="P603" i="129" l="1"/>
  <c r="M55" i="133"/>
  <c r="J55" i="133"/>
  <c r="H598" i="129"/>
  <c r="J597" i="129"/>
  <c r="T597" i="129"/>
  <c r="J594" i="129"/>
  <c r="D121" i="31" l="1"/>
  <c r="E121" i="31"/>
  <c r="T121" i="31" s="1"/>
  <c r="M593" i="129"/>
  <c r="J591" i="129"/>
  <c r="J39" i="136"/>
  <c r="J147" i="131"/>
  <c r="J146" i="131"/>
  <c r="J145" i="131"/>
  <c r="J144" i="131"/>
  <c r="J142" i="131"/>
  <c r="J140" i="131"/>
  <c r="J585" i="129"/>
  <c r="J584" i="129"/>
  <c r="S11" i="35"/>
  <c r="J33" i="132"/>
  <c r="M53" i="133"/>
  <c r="S17" i="31"/>
  <c r="I17" i="31"/>
  <c r="M581" i="129"/>
  <c r="P575" i="129" l="1"/>
  <c r="M51" i="133"/>
  <c r="J51" i="133"/>
  <c r="J56" i="135"/>
  <c r="Q571" i="129" l="1"/>
  <c r="M157" i="31" l="1"/>
  <c r="M68" i="134"/>
  <c r="M567" i="129"/>
  <c r="M566" i="129"/>
  <c r="D40" i="31"/>
  <c r="E40" i="31"/>
  <c r="T40" i="31" s="1"/>
  <c r="M565" i="129"/>
  <c r="J564" i="129"/>
  <c r="S120" i="31"/>
  <c r="I120" i="31"/>
  <c r="S72" i="31"/>
  <c r="I72" i="31"/>
  <c r="M563" i="129"/>
  <c r="M562" i="129"/>
  <c r="M561" i="129"/>
  <c r="D11" i="24"/>
  <c r="E11" i="24"/>
  <c r="N11" i="24" s="1"/>
  <c r="E17" i="23"/>
  <c r="J559" i="129"/>
  <c r="N558" i="129"/>
  <c r="S39" i="31" l="1"/>
  <c r="I39" i="31"/>
  <c r="J554" i="129"/>
  <c r="M556" i="129"/>
  <c r="M553" i="129"/>
  <c r="D39" i="31" l="1"/>
  <c r="E39" i="31"/>
  <c r="T39" i="31" s="1"/>
  <c r="M552" i="129"/>
  <c r="J551" i="129"/>
  <c r="J549" i="129"/>
  <c r="J550" i="129"/>
  <c r="J548" i="129"/>
  <c r="J546" i="129"/>
  <c r="J541" i="129" l="1"/>
  <c r="M539" i="129"/>
  <c r="M537" i="129"/>
  <c r="M535" i="129" l="1"/>
  <c r="L19" i="115"/>
  <c r="L17" i="115" s="1"/>
  <c r="L16" i="115" s="1"/>
  <c r="J533" i="129"/>
  <c r="J66" i="130"/>
  <c r="J527" i="129"/>
  <c r="J526" i="129"/>
  <c r="H54" i="135"/>
  <c r="H40" i="138"/>
  <c r="H39" i="138"/>
  <c r="Y9" i="40"/>
  <c r="AS9" i="40" s="1"/>
  <c r="H138" i="131"/>
  <c r="H137" i="131"/>
  <c r="H136" i="131"/>
  <c r="H135" i="131"/>
  <c r="H134" i="131"/>
  <c r="H133" i="131"/>
  <c r="H132" i="131"/>
  <c r="H131" i="131"/>
  <c r="H64" i="130" l="1"/>
  <c r="H63" i="130"/>
  <c r="H62" i="130"/>
  <c r="H61" i="130"/>
  <c r="DS8" i="23"/>
  <c r="DG9" i="23"/>
  <c r="DG8" i="23"/>
  <c r="H524" i="129"/>
  <c r="H521" i="129"/>
  <c r="H520" i="129"/>
  <c r="H519" i="129"/>
  <c r="H518" i="129"/>
  <c r="H517" i="129"/>
  <c r="H67" i="134"/>
  <c r="H66" i="134"/>
  <c r="H52" i="137"/>
  <c r="H51" i="137"/>
  <c r="D116" i="31" l="1"/>
  <c r="E116" i="31"/>
  <c r="T116" i="31" s="1"/>
  <c r="M514" i="129" l="1"/>
  <c r="J510" i="129"/>
  <c r="J509" i="129"/>
  <c r="J508" i="129"/>
  <c r="J507" i="129"/>
  <c r="M506" i="129"/>
  <c r="D8" i="25"/>
  <c r="M505" i="129"/>
  <c r="M503" i="129"/>
  <c r="J501" i="129"/>
  <c r="D52" i="25"/>
  <c r="J500" i="129"/>
  <c r="M50" i="133"/>
  <c r="J50" i="137" l="1"/>
  <c r="J49" i="137"/>
  <c r="M53" i="135"/>
  <c r="J51" i="135" l="1"/>
  <c r="J484" i="129"/>
  <c r="T484" i="129"/>
  <c r="D38" i="31" l="1"/>
  <c r="E38" i="31"/>
  <c r="T38" i="31" s="1"/>
  <c r="J38" i="136"/>
  <c r="J128" i="131"/>
  <c r="J127" i="131"/>
  <c r="T128" i="131"/>
  <c r="T127" i="131"/>
  <c r="J126" i="131"/>
  <c r="J47" i="137"/>
  <c r="P483" i="129"/>
  <c r="M65" i="134" l="1"/>
  <c r="J65" i="134"/>
  <c r="J58" i="130"/>
  <c r="T58" i="130"/>
  <c r="J125" i="131"/>
  <c r="J123" i="131"/>
  <c r="T123" i="131"/>
  <c r="M180" i="31"/>
  <c r="M37" i="136"/>
  <c r="N13" i="115"/>
  <c r="J471" i="129"/>
  <c r="N15" i="115"/>
  <c r="L12" i="113"/>
  <c r="G7" i="113"/>
  <c r="H7" i="113"/>
  <c r="I7" i="113"/>
  <c r="K12" i="113"/>
  <c r="AC30" i="23"/>
  <c r="G78" i="118" l="1"/>
  <c r="J460" i="129" l="1"/>
  <c r="DS10" i="23"/>
  <c r="J459" i="129"/>
  <c r="J458" i="129"/>
  <c r="D24" i="24"/>
  <c r="E24" i="24"/>
  <c r="N24" i="24" s="1"/>
  <c r="CU17" i="23"/>
  <c r="N456" i="129"/>
  <c r="D118" i="31"/>
  <c r="E118" i="31"/>
  <c r="T118" i="31" s="1"/>
  <c r="M454" i="129"/>
  <c r="D23" i="31"/>
  <c r="E23" i="31"/>
  <c r="T23" i="31" s="1"/>
  <c r="D88" i="31"/>
  <c r="E88" i="31"/>
  <c r="T88" i="31" s="1"/>
  <c r="M452" i="129"/>
  <c r="M451" i="129" l="1"/>
  <c r="J448" i="129"/>
  <c r="J446" i="129"/>
  <c r="J444" i="129"/>
  <c r="J440" i="129"/>
  <c r="J439" i="129"/>
  <c r="M438" i="129"/>
  <c r="S92" i="31"/>
  <c r="M92" i="31"/>
  <c r="J436" i="129"/>
  <c r="M435" i="129"/>
  <c r="J434" i="129"/>
  <c r="J433" i="129"/>
  <c r="J432" i="129"/>
  <c r="D87" i="31"/>
  <c r="E87" i="31"/>
  <c r="T87" i="31" s="1"/>
  <c r="M431" i="129"/>
  <c r="D22" i="31"/>
  <c r="E22" i="31"/>
  <c r="T22" i="31" s="1"/>
  <c r="M429" i="129"/>
  <c r="J427" i="129"/>
  <c r="J426" i="129"/>
  <c r="M425" i="129"/>
  <c r="M424" i="129"/>
  <c r="J423" i="129"/>
  <c r="H38" i="138" l="1"/>
  <c r="H37" i="138"/>
  <c r="H48" i="135"/>
  <c r="H46" i="137"/>
  <c r="H45" i="137"/>
  <c r="J421" i="129"/>
  <c r="M420" i="129"/>
  <c r="H122" i="131"/>
  <c r="H121" i="131"/>
  <c r="H120" i="131"/>
  <c r="H119" i="131"/>
  <c r="H118" i="131"/>
  <c r="H117" i="131"/>
  <c r="H116" i="131"/>
  <c r="H115" i="131"/>
  <c r="H114" i="131"/>
  <c r="H62" i="134" l="1"/>
  <c r="H61" i="134"/>
  <c r="AY10" i="23"/>
  <c r="H414" i="129"/>
  <c r="H413" i="129"/>
  <c r="J43" i="130"/>
  <c r="H57" i="130"/>
  <c r="H56" i="130"/>
  <c r="H55" i="130"/>
  <c r="J410" i="129"/>
  <c r="D21" i="31"/>
  <c r="E21" i="31"/>
  <c r="T21" i="31" s="1"/>
  <c r="M409" i="129"/>
  <c r="J407" i="129"/>
  <c r="M406" i="129"/>
  <c r="S20" i="31"/>
  <c r="I20" i="31"/>
  <c r="S12" i="31"/>
  <c r="I12" i="31"/>
  <c r="M403" i="129"/>
  <c r="M402" i="129"/>
  <c r="D20" i="31"/>
  <c r="M401" i="129"/>
  <c r="J400" i="129"/>
  <c r="J398" i="129"/>
  <c r="E20" i="31" l="1"/>
  <c r="T20" i="31" s="1"/>
  <c r="J397" i="129"/>
  <c r="J35" i="136" l="1"/>
  <c r="J36" i="138" l="1"/>
  <c r="J35" i="138"/>
  <c r="M395" i="129" l="1"/>
  <c r="J60" i="134"/>
  <c r="H113" i="131"/>
  <c r="D37" i="31" l="1"/>
  <c r="E37" i="31"/>
  <c r="T37" i="31" s="1"/>
  <c r="J394" i="129"/>
  <c r="J393" i="129"/>
  <c r="I11" i="39" l="1"/>
  <c r="J53" i="130"/>
  <c r="J391" i="129"/>
  <c r="J388" i="129"/>
  <c r="J387" i="129"/>
  <c r="J384" i="129" l="1"/>
  <c r="J383" i="129"/>
  <c r="J382" i="129"/>
  <c r="J381" i="129" l="1"/>
  <c r="J112" i="131"/>
  <c r="T112" i="131"/>
  <c r="J111" i="131"/>
  <c r="P379" i="129"/>
  <c r="S160" i="31"/>
  <c r="M110" i="131"/>
  <c r="J110" i="131"/>
  <c r="J23" i="27" l="1"/>
  <c r="J14" i="26"/>
  <c r="J40" i="27"/>
  <c r="J371" i="129"/>
  <c r="F31" i="27"/>
  <c r="D68" i="31"/>
  <c r="E68" i="31"/>
  <c r="T68" i="31" s="1"/>
  <c r="I64" i="31"/>
  <c r="M366" i="129"/>
  <c r="J13" i="116"/>
  <c r="E7" i="116"/>
  <c r="IE11" i="23"/>
  <c r="IE13" i="23"/>
  <c r="IE19" i="23"/>
  <c r="IE22" i="23"/>
  <c r="IE25" i="23"/>
  <c r="IE26" i="23"/>
  <c r="IE30" i="23"/>
  <c r="IE31" i="23"/>
  <c r="IE32" i="23"/>
  <c r="IE34" i="23"/>
  <c r="IE35" i="23"/>
  <c r="IE36" i="23"/>
  <c r="IE39" i="23"/>
  <c r="IE42" i="23"/>
  <c r="IE43" i="23"/>
  <c r="IE44" i="23"/>
  <c r="IE45" i="23"/>
  <c r="CX46" i="23" l="1"/>
  <c r="CY46" i="23"/>
  <c r="CX47" i="23"/>
  <c r="CX48" i="23" s="1"/>
  <c r="CY47" i="23"/>
  <c r="CX37" i="23"/>
  <c r="CY37" i="23"/>
  <c r="CX38" i="23"/>
  <c r="CY38" i="23"/>
  <c r="CX27" i="23"/>
  <c r="CY27" i="23"/>
  <c r="CX28" i="23"/>
  <c r="CX29" i="23" s="1"/>
  <c r="CY28" i="23"/>
  <c r="CX21" i="23"/>
  <c r="CY21" i="23"/>
  <c r="CX12" i="23"/>
  <c r="CX20" i="23" s="1"/>
  <c r="CY12" i="23"/>
  <c r="CY20" i="23" s="1"/>
  <c r="J363" i="129"/>
  <c r="L15" i="26"/>
  <c r="J359" i="129"/>
  <c r="J358" i="129"/>
  <c r="M15" i="24"/>
  <c r="G15" i="24"/>
  <c r="J127" i="27"/>
  <c r="K11" i="113"/>
  <c r="L11" i="113"/>
  <c r="AC37" i="23"/>
  <c r="CY29" i="23" l="1"/>
  <c r="CY48" i="23"/>
  <c r="N357" i="129"/>
  <c r="N356" i="129"/>
  <c r="J354" i="129"/>
  <c r="J353" i="129"/>
  <c r="E42" i="35"/>
  <c r="E41" i="38" l="1"/>
  <c r="W14" i="34"/>
  <c r="E21" i="34"/>
  <c r="E19" i="34"/>
  <c r="E13" i="34"/>
  <c r="E28" i="34" l="1"/>
  <c r="E42" i="34"/>
  <c r="W42" i="34" l="1"/>
  <c r="M342" i="129"/>
  <c r="M276" i="129"/>
  <c r="S152" i="31" l="1"/>
  <c r="M152" i="31"/>
  <c r="K17" i="37"/>
  <c r="M41" i="133"/>
  <c r="M40" i="133"/>
  <c r="P350" i="129"/>
  <c r="D152" i="31"/>
  <c r="M39" i="133"/>
  <c r="J39" i="133"/>
  <c r="J349" i="129"/>
  <c r="E152" i="31" l="1"/>
  <c r="T152" i="31" s="1"/>
  <c r="AA152" i="31" s="1"/>
  <c r="AB152" i="31" s="1"/>
  <c r="J347" i="129"/>
  <c r="J346" i="129"/>
  <c r="J344" i="129"/>
  <c r="D36" i="31"/>
  <c r="E36" i="31"/>
  <c r="T36" i="31" s="1"/>
  <c r="M343" i="129"/>
  <c r="D120" i="31"/>
  <c r="E120" i="31"/>
  <c r="T120" i="31" s="1"/>
  <c r="J108" i="131"/>
  <c r="J336" i="129"/>
  <c r="J334" i="129"/>
  <c r="J333" i="129"/>
  <c r="J332" i="129"/>
  <c r="P327" i="129"/>
  <c r="M57" i="134"/>
  <c r="J57" i="134"/>
  <c r="J326" i="129"/>
  <c r="J325" i="129"/>
  <c r="H33" i="138" l="1"/>
  <c r="H45" i="135"/>
  <c r="H106" i="131"/>
  <c r="H105" i="131"/>
  <c r="H104" i="131"/>
  <c r="H103" i="131"/>
  <c r="H102" i="131"/>
  <c r="H101" i="131"/>
  <c r="H100" i="131"/>
  <c r="H99" i="131"/>
  <c r="H56" i="134"/>
  <c r="H55" i="134"/>
  <c r="H322" i="129"/>
  <c r="H323" i="129"/>
  <c r="H321" i="129"/>
  <c r="H320" i="129"/>
  <c r="H319" i="129"/>
  <c r="D39" i="25"/>
  <c r="H51" i="130" l="1"/>
  <c r="H50" i="130"/>
  <c r="H49" i="130"/>
  <c r="Y10" i="40"/>
  <c r="D38" i="25"/>
  <c r="H47" i="130" l="1"/>
  <c r="F9" i="24" l="1"/>
  <c r="H9" i="24"/>
  <c r="I9" i="24"/>
  <c r="J9" i="24"/>
  <c r="K9" i="24"/>
  <c r="L9" i="24"/>
  <c r="O9" i="24"/>
  <c r="P9" i="24"/>
  <c r="Q9" i="24"/>
  <c r="R9" i="24"/>
  <c r="D10" i="24"/>
  <c r="E10" i="24"/>
  <c r="N10" i="24" s="1"/>
  <c r="N292" i="129"/>
  <c r="J290" i="129"/>
  <c r="I19" i="31"/>
  <c r="E19" i="31" s="1"/>
  <c r="T19" i="31" s="1"/>
  <c r="M288" i="129"/>
  <c r="S13" i="31"/>
  <c r="I13" i="31"/>
  <c r="M284" i="129"/>
  <c r="D19" i="31"/>
  <c r="J41" i="130"/>
  <c r="D72" i="31"/>
  <c r="E72" i="31"/>
  <c r="T72" i="31" s="1"/>
  <c r="J274" i="129"/>
  <c r="J273" i="129"/>
  <c r="D35" i="31"/>
  <c r="E35" i="31"/>
  <c r="T35" i="31" s="1"/>
  <c r="M272" i="129" l="1"/>
  <c r="L21" i="113" l="1"/>
  <c r="F20" i="113"/>
  <c r="G20" i="113"/>
  <c r="H20" i="113"/>
  <c r="I20" i="113"/>
  <c r="J20" i="113"/>
  <c r="E20" i="113"/>
  <c r="K21" i="113"/>
  <c r="L20" i="113" l="1"/>
  <c r="K20" i="113"/>
  <c r="M257" i="129"/>
  <c r="M256" i="129"/>
  <c r="J14" i="132" l="1"/>
  <c r="J14" i="138"/>
  <c r="M252" i="129" l="1"/>
  <c r="J71" i="131"/>
  <c r="J70" i="131"/>
  <c r="D107" i="31"/>
  <c r="E107" i="31"/>
  <c r="T107" i="31" s="1"/>
  <c r="M249" i="129"/>
  <c r="J248" i="129"/>
  <c r="J245" i="129" l="1"/>
  <c r="J244" i="129"/>
  <c r="M243" i="129"/>
  <c r="J242" i="129"/>
  <c r="M241" i="129"/>
  <c r="J240" i="129"/>
  <c r="D52" i="31"/>
  <c r="E52" i="31"/>
  <c r="T52" i="31" s="1"/>
  <c r="M237" i="129"/>
  <c r="J22" i="130" l="1"/>
  <c r="T22" i="130"/>
  <c r="J235" i="129"/>
  <c r="J233" i="129"/>
  <c r="J232" i="129"/>
  <c r="J231" i="129"/>
  <c r="D34" i="31"/>
  <c r="E34" i="31"/>
  <c r="T34" i="31" s="1"/>
  <c r="J230" i="129"/>
  <c r="M229" i="129"/>
  <c r="J228" i="129"/>
  <c r="D124" i="31"/>
  <c r="E124" i="31"/>
  <c r="T124" i="31" s="1"/>
  <c r="M227" i="129"/>
  <c r="J226" i="129"/>
  <c r="M223" i="129"/>
  <c r="D33" i="31"/>
  <c r="E33" i="31"/>
  <c r="T33" i="31" s="1"/>
  <c r="M221" i="129"/>
  <c r="M220" i="129"/>
  <c r="M219" i="129"/>
  <c r="M218" i="129"/>
  <c r="J68" i="131"/>
  <c r="D46" i="31"/>
  <c r="E46" i="31"/>
  <c r="T46" i="31" s="1"/>
  <c r="M215" i="129"/>
  <c r="M214" i="129"/>
  <c r="S59" i="31"/>
  <c r="I59" i="31"/>
  <c r="K16" i="23"/>
  <c r="M213" i="129"/>
  <c r="J212" i="129"/>
  <c r="D18" i="31" l="1"/>
  <c r="E18" i="31"/>
  <c r="D24" i="31"/>
  <c r="E24" i="31"/>
  <c r="T24" i="31" s="1"/>
  <c r="J12" i="132" l="1"/>
  <c r="P211" i="129"/>
  <c r="M35" i="134"/>
  <c r="J35" i="134"/>
  <c r="J210" i="129" l="1"/>
  <c r="J25" i="135"/>
  <c r="J24" i="135"/>
  <c r="M209" i="129" l="1"/>
  <c r="J207" i="129"/>
  <c r="M206" i="129"/>
  <c r="E59" i="31"/>
  <c r="D59" i="31"/>
  <c r="I58" i="31"/>
  <c r="M205" i="129"/>
  <c r="J204" i="129"/>
  <c r="T59" i="31" l="1"/>
  <c r="J203" i="129"/>
  <c r="P201" i="129" l="1"/>
  <c r="M21" i="137"/>
  <c r="J21" i="137"/>
  <c r="J20" i="137"/>
  <c r="D26" i="25"/>
  <c r="J18" i="137"/>
  <c r="D9" i="25"/>
  <c r="J33" i="134"/>
  <c r="J32" i="134"/>
  <c r="J21" i="133"/>
  <c r="J191" i="129"/>
  <c r="J19" i="133"/>
  <c r="J66" i="131"/>
  <c r="J65" i="131"/>
  <c r="J64" i="131"/>
  <c r="J17" i="133"/>
  <c r="J16" i="137"/>
  <c r="J15" i="137"/>
  <c r="J23" i="135" l="1"/>
  <c r="J22" i="135"/>
  <c r="J13" i="136"/>
  <c r="D19" i="24"/>
  <c r="E19" i="24"/>
  <c r="N19" i="24" s="1"/>
  <c r="DW17" i="23"/>
  <c r="IG17" i="23" s="1"/>
  <c r="N180" i="129"/>
  <c r="M179" i="129"/>
  <c r="D115" i="31"/>
  <c r="E115" i="31"/>
  <c r="T115" i="31" s="1"/>
  <c r="M178" i="129" l="1"/>
  <c r="J112" i="27"/>
  <c r="E112" i="27"/>
  <c r="L112" i="27"/>
  <c r="K112" i="27"/>
  <c r="I112" i="27"/>
  <c r="H112" i="27"/>
  <c r="G112" i="27"/>
  <c r="F112" i="27"/>
  <c r="F83" i="27"/>
  <c r="G83" i="27"/>
  <c r="H83" i="27"/>
  <c r="I83" i="27"/>
  <c r="J83" i="27"/>
  <c r="K83" i="27"/>
  <c r="E83" i="27"/>
  <c r="F71" i="27"/>
  <c r="G71" i="27"/>
  <c r="H71" i="27"/>
  <c r="I71" i="27"/>
  <c r="J71" i="27"/>
  <c r="K71" i="27"/>
  <c r="E71" i="27"/>
  <c r="K64" i="27"/>
  <c r="J64" i="27"/>
  <c r="F64" i="27"/>
  <c r="G64" i="27"/>
  <c r="H64" i="27"/>
  <c r="I64" i="27"/>
  <c r="E64" i="27"/>
  <c r="J119" i="27" l="1"/>
  <c r="D47" i="25"/>
  <c r="M22" i="24" l="1"/>
  <c r="G22" i="24"/>
  <c r="M20" i="24"/>
  <c r="N170" i="129"/>
  <c r="N169" i="129"/>
  <c r="J168" i="129"/>
  <c r="T168" i="129"/>
  <c r="H20" i="135"/>
  <c r="H19" i="135"/>
  <c r="H62" i="131"/>
  <c r="H61" i="131"/>
  <c r="H60" i="131"/>
  <c r="H59" i="131"/>
  <c r="H58" i="131"/>
  <c r="H57" i="131"/>
  <c r="H56" i="131"/>
  <c r="H55" i="131"/>
  <c r="I74" i="131"/>
  <c r="I152" i="131" s="1"/>
  <c r="H30" i="134"/>
  <c r="H29" i="134"/>
  <c r="H11" i="136"/>
  <c r="D30" i="25"/>
  <c r="D36" i="139" l="1"/>
  <c r="I216" i="131"/>
  <c r="I315" i="131" s="1"/>
  <c r="H164" i="129"/>
  <c r="H163" i="129"/>
  <c r="H162" i="129"/>
  <c r="H161" i="129"/>
  <c r="H160" i="129"/>
  <c r="H21" i="130"/>
  <c r="H20" i="130"/>
  <c r="H19" i="130"/>
  <c r="H18" i="130"/>
  <c r="D86" i="139" l="1"/>
  <c r="D61" i="139"/>
  <c r="D32" i="25"/>
  <c r="J13" i="137"/>
  <c r="J15" i="133"/>
  <c r="J28" i="134"/>
  <c r="D55" i="31" l="1"/>
  <c r="E55" i="31"/>
  <c r="T55" i="31" s="1"/>
  <c r="ED46" i="23"/>
  <c r="EE46" i="23"/>
  <c r="ED47" i="23"/>
  <c r="EE47" i="23"/>
  <c r="ED37" i="23"/>
  <c r="EE37" i="23"/>
  <c r="ED38" i="23"/>
  <c r="EE38" i="23"/>
  <c r="ED27" i="23"/>
  <c r="EE27" i="23"/>
  <c r="ED21" i="23"/>
  <c r="EE21" i="23"/>
  <c r="ED18" i="23"/>
  <c r="ED28" i="23" s="1"/>
  <c r="ED29" i="23" s="1"/>
  <c r="EE18" i="23"/>
  <c r="EE28" i="23" s="1"/>
  <c r="ED12" i="23"/>
  <c r="EE12" i="23"/>
  <c r="EI10" i="23"/>
  <c r="EJ46" i="23"/>
  <c r="EK46" i="23"/>
  <c r="EJ47" i="23"/>
  <c r="EK47" i="23"/>
  <c r="EJ37" i="23"/>
  <c r="EK37" i="23"/>
  <c r="EJ38" i="23"/>
  <c r="EK38" i="23"/>
  <c r="EJ27" i="23"/>
  <c r="EK27" i="23"/>
  <c r="EJ21" i="23"/>
  <c r="EK21" i="23"/>
  <c r="EJ18" i="23"/>
  <c r="EJ28" i="23" s="1"/>
  <c r="EK18" i="23"/>
  <c r="EJ12" i="23"/>
  <c r="EK12" i="23"/>
  <c r="EK48" i="23" l="1"/>
  <c r="EK20" i="23"/>
  <c r="EK28" i="23"/>
  <c r="EJ48" i="23"/>
  <c r="EE48" i="23"/>
  <c r="EJ29" i="23"/>
  <c r="EJ20" i="23"/>
  <c r="EE20" i="23"/>
  <c r="ED20" i="23"/>
  <c r="ED48" i="23"/>
  <c r="EE29" i="23"/>
  <c r="EK29" i="23"/>
  <c r="F141" i="27" l="1"/>
  <c r="L144" i="27"/>
  <c r="K141" i="27"/>
  <c r="J141" i="27"/>
  <c r="I141" i="27"/>
  <c r="H141" i="27"/>
  <c r="G141" i="27"/>
  <c r="E141" i="27"/>
  <c r="K19" i="113" l="1"/>
  <c r="L19" i="113"/>
  <c r="F18" i="113"/>
  <c r="G18" i="113"/>
  <c r="H18" i="113"/>
  <c r="I18" i="113"/>
  <c r="J18" i="113"/>
  <c r="E18" i="113"/>
  <c r="K15" i="113"/>
  <c r="L15" i="113"/>
  <c r="F14" i="113"/>
  <c r="G14" i="113"/>
  <c r="H14" i="113"/>
  <c r="I14" i="113"/>
  <c r="J14" i="113"/>
  <c r="E14" i="113"/>
  <c r="K17" i="113"/>
  <c r="L17" i="113"/>
  <c r="F16" i="113"/>
  <c r="G16" i="113"/>
  <c r="H16" i="113"/>
  <c r="I16" i="113"/>
  <c r="J16" i="113"/>
  <c r="F22" i="113"/>
  <c r="G22" i="113"/>
  <c r="H22" i="113"/>
  <c r="I22" i="113"/>
  <c r="J22" i="113"/>
  <c r="E26" i="113"/>
  <c r="F26" i="113"/>
  <c r="G26" i="113"/>
  <c r="H26" i="113"/>
  <c r="E16" i="113"/>
  <c r="X74" i="131"/>
  <c r="X152" i="131" s="1"/>
  <c r="X216" i="131" s="1"/>
  <c r="X315" i="131" s="1"/>
  <c r="S86" i="139" s="1"/>
  <c r="I15" i="138"/>
  <c r="I41" i="138" s="1"/>
  <c r="I73" i="138" s="1"/>
  <c r="I116" i="138" s="1"/>
  <c r="K15" i="138"/>
  <c r="K41" i="138" s="1"/>
  <c r="K73" i="138" s="1"/>
  <c r="K116" i="138" s="1"/>
  <c r="L15" i="138"/>
  <c r="L41" i="138" s="1"/>
  <c r="L73" i="138" s="1"/>
  <c r="L116" i="138" s="1"/>
  <c r="M15" i="138"/>
  <c r="M41" i="138" s="1"/>
  <c r="N15" i="138"/>
  <c r="N41" i="138" s="1"/>
  <c r="N73" i="138" s="1"/>
  <c r="N116" i="138" s="1"/>
  <c r="O15" i="138"/>
  <c r="O41" i="138" s="1"/>
  <c r="O73" i="138" s="1"/>
  <c r="O116" i="138" s="1"/>
  <c r="P15" i="138"/>
  <c r="P41" i="138" s="1"/>
  <c r="P73" i="138" s="1"/>
  <c r="P116" i="138" s="1"/>
  <c r="Q15" i="138"/>
  <c r="Q41" i="138" s="1"/>
  <c r="Q73" i="138" s="1"/>
  <c r="Q116" i="138" s="1"/>
  <c r="R15" i="138"/>
  <c r="R41" i="138" s="1"/>
  <c r="R73" i="138" s="1"/>
  <c r="R116" i="138" s="1"/>
  <c r="S15" i="138"/>
  <c r="S41" i="138" s="1"/>
  <c r="S73" i="138" s="1"/>
  <c r="S116" i="138" s="1"/>
  <c r="U15" i="138"/>
  <c r="U41" i="138" s="1"/>
  <c r="U73" i="138" s="1"/>
  <c r="U116" i="138" s="1"/>
  <c r="V15" i="138"/>
  <c r="V41" i="138" s="1"/>
  <c r="V73" i="138" s="1"/>
  <c r="V116" i="138" s="1"/>
  <c r="W15" i="138"/>
  <c r="W41" i="138" s="1"/>
  <c r="W73" i="138" s="1"/>
  <c r="W116" i="138" s="1"/>
  <c r="X15" i="138"/>
  <c r="I22" i="137"/>
  <c r="I53" i="137" s="1"/>
  <c r="K22" i="137"/>
  <c r="K53" i="137" s="1"/>
  <c r="L22" i="137"/>
  <c r="L53" i="137" s="1"/>
  <c r="N22" i="137"/>
  <c r="N53" i="137" s="1"/>
  <c r="O22" i="137"/>
  <c r="O53" i="137" s="1"/>
  <c r="P22" i="137"/>
  <c r="P53" i="137" s="1"/>
  <c r="Q22" i="137"/>
  <c r="Q53" i="137" s="1"/>
  <c r="R22" i="137"/>
  <c r="R53" i="137" s="1"/>
  <c r="S22" i="137"/>
  <c r="S53" i="137" s="1"/>
  <c r="T22" i="137"/>
  <c r="T53" i="137" s="1"/>
  <c r="U22" i="137"/>
  <c r="U53" i="137" s="1"/>
  <c r="V22" i="137"/>
  <c r="V53" i="137" s="1"/>
  <c r="W22" i="137"/>
  <c r="W53" i="137" s="1"/>
  <c r="X22" i="137"/>
  <c r="X53" i="137" s="1"/>
  <c r="I14" i="136"/>
  <c r="I40" i="136" s="1"/>
  <c r="I62" i="136" s="1"/>
  <c r="I87" i="136" s="1"/>
  <c r="K14" i="136"/>
  <c r="K40" i="136" s="1"/>
  <c r="K62" i="136" s="1"/>
  <c r="K87" i="136" s="1"/>
  <c r="L14" i="136"/>
  <c r="L40" i="136" s="1"/>
  <c r="L62" i="136" s="1"/>
  <c r="L87" i="136" s="1"/>
  <c r="M14" i="136"/>
  <c r="M40" i="136" s="1"/>
  <c r="N14" i="136"/>
  <c r="N40" i="136" s="1"/>
  <c r="N62" i="136" s="1"/>
  <c r="N87" i="136" s="1"/>
  <c r="O14" i="136"/>
  <c r="O40" i="136" s="1"/>
  <c r="O62" i="136" s="1"/>
  <c r="O87" i="136" s="1"/>
  <c r="P14" i="136"/>
  <c r="P40" i="136" s="1"/>
  <c r="P62" i="136" s="1"/>
  <c r="P87" i="136" s="1"/>
  <c r="Q14" i="136"/>
  <c r="Q40" i="136" s="1"/>
  <c r="Q62" i="136" s="1"/>
  <c r="Q87" i="136" s="1"/>
  <c r="R14" i="136"/>
  <c r="R40" i="136" s="1"/>
  <c r="R62" i="136" s="1"/>
  <c r="R87" i="136" s="1"/>
  <c r="S14" i="136"/>
  <c r="S40" i="136" s="1"/>
  <c r="S62" i="136" s="1"/>
  <c r="S87" i="136" s="1"/>
  <c r="T14" i="136"/>
  <c r="T40" i="136" s="1"/>
  <c r="T62" i="136" s="1"/>
  <c r="T87" i="136" s="1"/>
  <c r="U14" i="136"/>
  <c r="U40" i="136" s="1"/>
  <c r="U62" i="136" s="1"/>
  <c r="U87" i="136" s="1"/>
  <c r="V14" i="136"/>
  <c r="V40" i="136" s="1"/>
  <c r="V62" i="136" s="1"/>
  <c r="V87" i="136" s="1"/>
  <c r="W14" i="136"/>
  <c r="W40" i="136" s="1"/>
  <c r="W62" i="136" s="1"/>
  <c r="W87" i="136" s="1"/>
  <c r="X14" i="136"/>
  <c r="X40" i="136" s="1"/>
  <c r="I26" i="135"/>
  <c r="I59" i="135" s="1"/>
  <c r="K26" i="135"/>
  <c r="K59" i="135" s="1"/>
  <c r="L26" i="135"/>
  <c r="L59" i="135" s="1"/>
  <c r="M26" i="135"/>
  <c r="M59" i="135" s="1"/>
  <c r="N26" i="135"/>
  <c r="N59" i="135" s="1"/>
  <c r="O26" i="135"/>
  <c r="O59" i="135" s="1"/>
  <c r="P26" i="135"/>
  <c r="P59" i="135" s="1"/>
  <c r="Q26" i="135"/>
  <c r="Q59" i="135" s="1"/>
  <c r="R26" i="135"/>
  <c r="R59" i="135" s="1"/>
  <c r="S26" i="135"/>
  <c r="S59" i="135" s="1"/>
  <c r="U26" i="135"/>
  <c r="U59" i="135" s="1"/>
  <c r="V26" i="135"/>
  <c r="V59" i="135" s="1"/>
  <c r="W26" i="135"/>
  <c r="W59" i="135" s="1"/>
  <c r="X26" i="135"/>
  <c r="X59" i="135" s="1"/>
  <c r="I36" i="134"/>
  <c r="I70" i="134" s="1"/>
  <c r="K36" i="134"/>
  <c r="K70" i="134" s="1"/>
  <c r="L36" i="134"/>
  <c r="L70" i="134" s="1"/>
  <c r="M36" i="134"/>
  <c r="M70" i="134" s="1"/>
  <c r="N36" i="134"/>
  <c r="N70" i="134" s="1"/>
  <c r="O36" i="134"/>
  <c r="O70" i="134" s="1"/>
  <c r="P36" i="134"/>
  <c r="P70" i="134" s="1"/>
  <c r="Q36" i="134"/>
  <c r="Q70" i="134" s="1"/>
  <c r="R36" i="134"/>
  <c r="R70" i="134" s="1"/>
  <c r="S36" i="134"/>
  <c r="S70" i="134" s="1"/>
  <c r="T36" i="134"/>
  <c r="T70" i="134" s="1"/>
  <c r="U36" i="134"/>
  <c r="U70" i="134" s="1"/>
  <c r="V36" i="134"/>
  <c r="V70" i="134" s="1"/>
  <c r="W36" i="134"/>
  <c r="W70" i="134" s="1"/>
  <c r="X36" i="134"/>
  <c r="X70" i="134" s="1"/>
  <c r="I22" i="133"/>
  <c r="I57" i="133" s="1"/>
  <c r="K22" i="133"/>
  <c r="K57" i="133" s="1"/>
  <c r="L22" i="133"/>
  <c r="L57" i="133" s="1"/>
  <c r="M22" i="133"/>
  <c r="M57" i="133" s="1"/>
  <c r="N22" i="133"/>
  <c r="N57" i="133" s="1"/>
  <c r="O22" i="133"/>
  <c r="O57" i="133" s="1"/>
  <c r="P22" i="133"/>
  <c r="P57" i="133" s="1"/>
  <c r="Q22" i="133"/>
  <c r="Q57" i="133" s="1"/>
  <c r="R22" i="133"/>
  <c r="R57" i="133" s="1"/>
  <c r="S22" i="133"/>
  <c r="S57" i="133" s="1"/>
  <c r="T22" i="133"/>
  <c r="T57" i="133" s="1"/>
  <c r="U22" i="133"/>
  <c r="U57" i="133" s="1"/>
  <c r="V22" i="133"/>
  <c r="V57" i="133" s="1"/>
  <c r="W22" i="133"/>
  <c r="W57" i="133" s="1"/>
  <c r="X22" i="133"/>
  <c r="X57" i="133" s="1"/>
  <c r="I15" i="132"/>
  <c r="I34" i="132" s="1"/>
  <c r="I58" i="132" s="1"/>
  <c r="I85" i="132" s="1"/>
  <c r="K15" i="132"/>
  <c r="K34" i="132" s="1"/>
  <c r="K58" i="132" s="1"/>
  <c r="K85" i="132" s="1"/>
  <c r="L15" i="132"/>
  <c r="L34" i="132" s="1"/>
  <c r="L58" i="132" s="1"/>
  <c r="L85" i="132" s="1"/>
  <c r="M15" i="132"/>
  <c r="M34" i="132" s="1"/>
  <c r="N15" i="132"/>
  <c r="N34" i="132" s="1"/>
  <c r="N58" i="132" s="1"/>
  <c r="N85" i="132" s="1"/>
  <c r="O15" i="132"/>
  <c r="O34" i="132" s="1"/>
  <c r="O58" i="132" s="1"/>
  <c r="O85" i="132" s="1"/>
  <c r="P15" i="132"/>
  <c r="P34" i="132" s="1"/>
  <c r="P58" i="132" s="1"/>
  <c r="P85" i="132" s="1"/>
  <c r="Q15" i="132"/>
  <c r="Q34" i="132" s="1"/>
  <c r="Q58" i="132" s="1"/>
  <c r="Q85" i="132" s="1"/>
  <c r="R15" i="132"/>
  <c r="R34" i="132" s="1"/>
  <c r="R58" i="132" s="1"/>
  <c r="R85" i="132" s="1"/>
  <c r="S15" i="132"/>
  <c r="S34" i="132" s="1"/>
  <c r="S58" i="132" s="1"/>
  <c r="S85" i="132" s="1"/>
  <c r="T15" i="132"/>
  <c r="T34" i="132" s="1"/>
  <c r="T58" i="132" s="1"/>
  <c r="T85" i="132" s="1"/>
  <c r="U15" i="132"/>
  <c r="U34" i="132" s="1"/>
  <c r="U58" i="132" s="1"/>
  <c r="U85" i="132" s="1"/>
  <c r="V15" i="132"/>
  <c r="V34" i="132" s="1"/>
  <c r="V58" i="132" s="1"/>
  <c r="V85" i="132" s="1"/>
  <c r="W15" i="132"/>
  <c r="W34" i="132" s="1"/>
  <c r="W58" i="132" s="1"/>
  <c r="W85" i="132" s="1"/>
  <c r="X15" i="132"/>
  <c r="X34" i="132" s="1"/>
  <c r="K74" i="131"/>
  <c r="K152" i="131" s="1"/>
  <c r="K216" i="131" s="1"/>
  <c r="K315" i="131" s="1"/>
  <c r="L74" i="131"/>
  <c r="L152" i="131" s="1"/>
  <c r="L216" i="131" s="1"/>
  <c r="L315" i="131" s="1"/>
  <c r="M74" i="131"/>
  <c r="M152" i="131" s="1"/>
  <c r="N74" i="131"/>
  <c r="N152" i="131" s="1"/>
  <c r="N216" i="131" s="1"/>
  <c r="N315" i="131" s="1"/>
  <c r="O74" i="131"/>
  <c r="O152" i="131" s="1"/>
  <c r="O216" i="131" s="1"/>
  <c r="O315" i="131" s="1"/>
  <c r="P74" i="131"/>
  <c r="P152" i="131" s="1"/>
  <c r="P216" i="131" s="1"/>
  <c r="P315" i="131" s="1"/>
  <c r="Q74" i="131"/>
  <c r="Q152" i="131" s="1"/>
  <c r="Q216" i="131" s="1"/>
  <c r="Q315" i="131" s="1"/>
  <c r="R74" i="131"/>
  <c r="R152" i="131" s="1"/>
  <c r="R216" i="131" s="1"/>
  <c r="R315" i="131" s="1"/>
  <c r="S74" i="131"/>
  <c r="S152" i="131" s="1"/>
  <c r="S216" i="131" s="1"/>
  <c r="S315" i="131" s="1"/>
  <c r="U74" i="131"/>
  <c r="U152" i="131" s="1"/>
  <c r="U216" i="131" s="1"/>
  <c r="U315" i="131" s="1"/>
  <c r="V74" i="131"/>
  <c r="V152" i="131" s="1"/>
  <c r="V216" i="131" s="1"/>
  <c r="V315" i="131" s="1"/>
  <c r="W74" i="131"/>
  <c r="W152" i="131" s="1"/>
  <c r="W216" i="131" s="1"/>
  <c r="W315" i="131" s="1"/>
  <c r="I24" i="130"/>
  <c r="I70" i="130" s="1"/>
  <c r="K24" i="130"/>
  <c r="K70" i="130" s="1"/>
  <c r="L24" i="130"/>
  <c r="L70" i="130" s="1"/>
  <c r="N24" i="130"/>
  <c r="N70" i="130" s="1"/>
  <c r="O24" i="130"/>
  <c r="O70" i="130" s="1"/>
  <c r="P24" i="130"/>
  <c r="P70" i="130" s="1"/>
  <c r="Q24" i="130"/>
  <c r="Q70" i="130" s="1"/>
  <c r="R24" i="130"/>
  <c r="R70" i="130" s="1"/>
  <c r="S24" i="130"/>
  <c r="S70" i="130" s="1"/>
  <c r="U24" i="130"/>
  <c r="U70" i="130" s="1"/>
  <c r="V24" i="130"/>
  <c r="V70" i="130" s="1"/>
  <c r="W24" i="130"/>
  <c r="W70" i="130" s="1"/>
  <c r="X24" i="130"/>
  <c r="W258" i="129"/>
  <c r="W604" i="129" s="1"/>
  <c r="I258" i="129"/>
  <c r="I604" i="129" s="1"/>
  <c r="K258" i="129"/>
  <c r="K604" i="129" s="1"/>
  <c r="L258" i="129"/>
  <c r="L604" i="129" s="1"/>
  <c r="O258" i="129"/>
  <c r="O604" i="129" s="1"/>
  <c r="P258" i="129"/>
  <c r="P604" i="129" s="1"/>
  <c r="R258" i="129"/>
  <c r="R604" i="129" s="1"/>
  <c r="U258" i="129"/>
  <c r="U604" i="129" s="1"/>
  <c r="V258" i="129"/>
  <c r="V604" i="129" s="1"/>
  <c r="X258" i="129"/>
  <c r="X604" i="129" s="1"/>
  <c r="H15" i="132"/>
  <c r="H34" i="132" s="1"/>
  <c r="H58" i="132" s="1"/>
  <c r="H85" i="132" s="1"/>
  <c r="H14" i="136"/>
  <c r="H40" i="136" s="1"/>
  <c r="H62" i="136" s="1"/>
  <c r="H87" i="136" s="1"/>
  <c r="J17" i="130"/>
  <c r="J149" i="129"/>
  <c r="F26" i="31"/>
  <c r="G26" i="31"/>
  <c r="H26" i="31"/>
  <c r="J26" i="31"/>
  <c r="K26" i="31"/>
  <c r="L26" i="31"/>
  <c r="M26" i="31"/>
  <c r="N26" i="31"/>
  <c r="O26" i="31"/>
  <c r="P26" i="31"/>
  <c r="Q26" i="31"/>
  <c r="R26" i="31"/>
  <c r="U26" i="31"/>
  <c r="V26" i="31"/>
  <c r="W26" i="31"/>
  <c r="X26" i="31"/>
  <c r="D57" i="31"/>
  <c r="E57" i="31"/>
  <c r="T57" i="31" s="1"/>
  <c r="M145" i="129"/>
  <c r="N144" i="129"/>
  <c r="N143" i="129"/>
  <c r="S56" i="31"/>
  <c r="S54" i="31"/>
  <c r="F13" i="113" l="1"/>
  <c r="J89" i="139"/>
  <c r="R89" i="139"/>
  <c r="M89" i="139"/>
  <c r="I89" i="139"/>
  <c r="D89" i="139"/>
  <c r="N89" i="139"/>
  <c r="Q89" i="139"/>
  <c r="L89" i="139"/>
  <c r="F89" i="139"/>
  <c r="P89" i="139"/>
  <c r="K89" i="139"/>
  <c r="G89" i="139"/>
  <c r="R87" i="139"/>
  <c r="N87" i="139"/>
  <c r="J87" i="139"/>
  <c r="F87" i="139"/>
  <c r="Q87" i="139"/>
  <c r="M87" i="139"/>
  <c r="I87" i="139"/>
  <c r="D87" i="139"/>
  <c r="P87" i="139"/>
  <c r="L87" i="139"/>
  <c r="C87" i="139"/>
  <c r="O87" i="139"/>
  <c r="K87" i="139"/>
  <c r="G87" i="139"/>
  <c r="C88" i="139"/>
  <c r="G88" i="139"/>
  <c r="R88" i="139"/>
  <c r="F88" i="139"/>
  <c r="I88" i="139"/>
  <c r="O88" i="139"/>
  <c r="K88" i="139"/>
  <c r="N88" i="139"/>
  <c r="J88" i="139"/>
  <c r="Q88" i="139"/>
  <c r="M88" i="139"/>
  <c r="D88" i="139"/>
  <c r="P88" i="139"/>
  <c r="L88" i="139"/>
  <c r="R86" i="139"/>
  <c r="M86" i="139"/>
  <c r="I86" i="139"/>
  <c r="Q86" i="139"/>
  <c r="L86" i="139"/>
  <c r="P86" i="139"/>
  <c r="K86" i="139"/>
  <c r="G86" i="139"/>
  <c r="N86" i="139"/>
  <c r="J86" i="139"/>
  <c r="F86" i="139"/>
  <c r="K14" i="113"/>
  <c r="K18" i="113"/>
  <c r="N64" i="139"/>
  <c r="J64" i="139"/>
  <c r="F64" i="139"/>
  <c r="R64" i="139"/>
  <c r="M64" i="139"/>
  <c r="I64" i="139"/>
  <c r="D64" i="139"/>
  <c r="Q64" i="139"/>
  <c r="L64" i="139"/>
  <c r="H39" i="139"/>
  <c r="M73" i="138"/>
  <c r="M116" i="138" s="1"/>
  <c r="H89" i="139" s="1"/>
  <c r="P64" i="139"/>
  <c r="K64" i="139"/>
  <c r="G64" i="139"/>
  <c r="M35" i="139"/>
  <c r="R81" i="137"/>
  <c r="R111" i="137" s="1"/>
  <c r="U81" i="137"/>
  <c r="U111" i="137" s="1"/>
  <c r="P35" i="139"/>
  <c r="Q81" i="137"/>
  <c r="Q111" i="137" s="1"/>
  <c r="L35" i="139"/>
  <c r="L81" i="137"/>
  <c r="L111" i="137" s="1"/>
  <c r="G35" i="139"/>
  <c r="Q35" i="139"/>
  <c r="V81" i="137"/>
  <c r="V111" i="137" s="1"/>
  <c r="X81" i="137"/>
  <c r="X111" i="137" s="1"/>
  <c r="S85" i="139" s="1"/>
  <c r="S35" i="139"/>
  <c r="T81" i="137"/>
  <c r="T111" i="137" s="1"/>
  <c r="O35" i="139"/>
  <c r="P81" i="137"/>
  <c r="P111" i="137" s="1"/>
  <c r="K35" i="139"/>
  <c r="F35" i="139"/>
  <c r="K81" i="137"/>
  <c r="K111" i="137" s="1"/>
  <c r="I35" i="139"/>
  <c r="N81" i="137"/>
  <c r="N111" i="137" s="1"/>
  <c r="W81" i="137"/>
  <c r="W111" i="137" s="1"/>
  <c r="R35" i="139"/>
  <c r="N35" i="139"/>
  <c r="S81" i="137"/>
  <c r="S111" i="137" s="1"/>
  <c r="O81" i="137"/>
  <c r="O111" i="137" s="1"/>
  <c r="J35" i="139"/>
  <c r="D35" i="139"/>
  <c r="I81" i="137"/>
  <c r="I111" i="137" s="1"/>
  <c r="C62" i="139"/>
  <c r="O62" i="139"/>
  <c r="K62" i="139"/>
  <c r="N62" i="139"/>
  <c r="J62" i="139"/>
  <c r="Q62" i="139"/>
  <c r="M62" i="139"/>
  <c r="I62" i="139"/>
  <c r="D62" i="139"/>
  <c r="S37" i="139"/>
  <c r="X62" i="136"/>
  <c r="G62" i="139"/>
  <c r="R62" i="139"/>
  <c r="F62" i="139"/>
  <c r="P62" i="139"/>
  <c r="L62" i="139"/>
  <c r="H37" i="139"/>
  <c r="M62" i="136"/>
  <c r="M87" i="136" s="1"/>
  <c r="H87" i="139" s="1"/>
  <c r="P32" i="139"/>
  <c r="U91" i="135"/>
  <c r="U130" i="135" s="1"/>
  <c r="G32" i="139"/>
  <c r="L91" i="135"/>
  <c r="L130" i="135" s="1"/>
  <c r="S32" i="139"/>
  <c r="X91" i="135"/>
  <c r="X130" i="135" s="1"/>
  <c r="S82" i="139" s="1"/>
  <c r="N32" i="139"/>
  <c r="S91" i="135"/>
  <c r="S130" i="135" s="1"/>
  <c r="J32" i="139"/>
  <c r="O91" i="135"/>
  <c r="O130" i="135" s="1"/>
  <c r="R32" i="139"/>
  <c r="W91" i="135"/>
  <c r="W130" i="135" s="1"/>
  <c r="M32" i="139"/>
  <c r="R91" i="135"/>
  <c r="R130" i="135" s="1"/>
  <c r="I32" i="139"/>
  <c r="N91" i="135"/>
  <c r="N130" i="135" s="1"/>
  <c r="D32" i="139"/>
  <c r="I91" i="135"/>
  <c r="I130" i="135" s="1"/>
  <c r="K32" i="139"/>
  <c r="P91" i="135"/>
  <c r="P130" i="135" s="1"/>
  <c r="F32" i="139"/>
  <c r="K91" i="135"/>
  <c r="K130" i="135" s="1"/>
  <c r="Q32" i="139"/>
  <c r="V91" i="135"/>
  <c r="V130" i="135" s="1"/>
  <c r="L32" i="139"/>
  <c r="Q91" i="135"/>
  <c r="Q130" i="135" s="1"/>
  <c r="H32" i="139"/>
  <c r="M91" i="135"/>
  <c r="M130" i="135" s="1"/>
  <c r="H82" i="139" s="1"/>
  <c r="Q33" i="139"/>
  <c r="V100" i="134"/>
  <c r="V137" i="134" s="1"/>
  <c r="I33" i="139"/>
  <c r="N100" i="134"/>
  <c r="N137" i="134" s="1"/>
  <c r="P33" i="139"/>
  <c r="U100" i="134"/>
  <c r="U137" i="134" s="1"/>
  <c r="L33" i="139"/>
  <c r="Q100" i="134"/>
  <c r="Q137" i="134" s="1"/>
  <c r="H33" i="139"/>
  <c r="M100" i="134"/>
  <c r="M137" i="134" s="1"/>
  <c r="H83" i="139" s="1"/>
  <c r="M33" i="139"/>
  <c r="R100" i="134"/>
  <c r="R137" i="134" s="1"/>
  <c r="S33" i="139"/>
  <c r="X100" i="134"/>
  <c r="X137" i="134" s="1"/>
  <c r="S83" i="139" s="1"/>
  <c r="O33" i="139"/>
  <c r="T100" i="134"/>
  <c r="T137" i="134" s="1"/>
  <c r="K33" i="139"/>
  <c r="P100" i="134"/>
  <c r="P137" i="134" s="1"/>
  <c r="G33" i="139"/>
  <c r="L100" i="134"/>
  <c r="L137" i="134" s="1"/>
  <c r="D33" i="139"/>
  <c r="I100" i="134"/>
  <c r="I137" i="134" s="1"/>
  <c r="R33" i="139"/>
  <c r="W100" i="134"/>
  <c r="W137" i="134" s="1"/>
  <c r="N33" i="139"/>
  <c r="S100" i="134"/>
  <c r="S137" i="134" s="1"/>
  <c r="J33" i="139"/>
  <c r="O100" i="134"/>
  <c r="O137" i="134" s="1"/>
  <c r="F33" i="139"/>
  <c r="K100" i="134"/>
  <c r="K137" i="134" s="1"/>
  <c r="R34" i="139"/>
  <c r="W85" i="133"/>
  <c r="W123" i="133" s="1"/>
  <c r="N34" i="139"/>
  <c r="S85" i="133"/>
  <c r="S123" i="133" s="1"/>
  <c r="J34" i="139"/>
  <c r="O85" i="133"/>
  <c r="O123" i="133" s="1"/>
  <c r="F34" i="139"/>
  <c r="K85" i="133"/>
  <c r="K123" i="133" s="1"/>
  <c r="Q34" i="139"/>
  <c r="V85" i="133"/>
  <c r="V123" i="133" s="1"/>
  <c r="M34" i="139"/>
  <c r="R85" i="133"/>
  <c r="R123" i="133" s="1"/>
  <c r="I34" i="139"/>
  <c r="N85" i="133"/>
  <c r="N123" i="133" s="1"/>
  <c r="D34" i="139"/>
  <c r="I85" i="133"/>
  <c r="I123" i="133" s="1"/>
  <c r="P34" i="139"/>
  <c r="U85" i="133"/>
  <c r="U123" i="133" s="1"/>
  <c r="L34" i="139"/>
  <c r="Q85" i="133"/>
  <c r="Q123" i="133" s="1"/>
  <c r="H34" i="139"/>
  <c r="M85" i="133"/>
  <c r="M123" i="133" s="1"/>
  <c r="H84" i="139" s="1"/>
  <c r="S34" i="139"/>
  <c r="X85" i="133"/>
  <c r="X123" i="133" s="1"/>
  <c r="S84" i="139" s="1"/>
  <c r="O34" i="139"/>
  <c r="T85" i="133"/>
  <c r="T123" i="133" s="1"/>
  <c r="K34" i="139"/>
  <c r="P85" i="133"/>
  <c r="P123" i="133" s="1"/>
  <c r="G34" i="139"/>
  <c r="L85" i="133"/>
  <c r="L123" i="133" s="1"/>
  <c r="C63" i="139"/>
  <c r="S38" i="139"/>
  <c r="X58" i="132"/>
  <c r="O63" i="139"/>
  <c r="K63" i="139"/>
  <c r="G63" i="139"/>
  <c r="R63" i="139"/>
  <c r="N63" i="139"/>
  <c r="J63" i="139"/>
  <c r="F63" i="139"/>
  <c r="Q63" i="139"/>
  <c r="M63" i="139"/>
  <c r="I63" i="139"/>
  <c r="D63" i="139"/>
  <c r="P63" i="139"/>
  <c r="L63" i="139"/>
  <c r="H38" i="139"/>
  <c r="M58" i="132"/>
  <c r="M85" i="132" s="1"/>
  <c r="H88" i="139" s="1"/>
  <c r="R61" i="139"/>
  <c r="M61" i="139"/>
  <c r="I61" i="139"/>
  <c r="Q61" i="139"/>
  <c r="L61" i="139"/>
  <c r="H36" i="139"/>
  <c r="M216" i="131"/>
  <c r="M315" i="131" s="1"/>
  <c r="H86" i="139" s="1"/>
  <c r="P61" i="139"/>
  <c r="K61" i="139"/>
  <c r="G61" i="139"/>
  <c r="S61" i="139"/>
  <c r="N61" i="139"/>
  <c r="J61" i="139"/>
  <c r="F61" i="139"/>
  <c r="S30" i="139"/>
  <c r="X886" i="129"/>
  <c r="K30" i="139"/>
  <c r="P886" i="129"/>
  <c r="D30" i="139"/>
  <c r="I886" i="129"/>
  <c r="M30" i="139"/>
  <c r="R886" i="129"/>
  <c r="Q30" i="139"/>
  <c r="V886" i="129"/>
  <c r="J30" i="139"/>
  <c r="O886" i="129"/>
  <c r="R30" i="139"/>
  <c r="W886" i="129"/>
  <c r="F30" i="139"/>
  <c r="K886" i="129"/>
  <c r="P30" i="139"/>
  <c r="U886" i="129"/>
  <c r="G30" i="139"/>
  <c r="L886" i="129"/>
  <c r="R31" i="139"/>
  <c r="W108" i="130"/>
  <c r="W158" i="130" s="1"/>
  <c r="M31" i="139"/>
  <c r="R108" i="130"/>
  <c r="R158" i="130" s="1"/>
  <c r="I31" i="139"/>
  <c r="N108" i="130"/>
  <c r="N158" i="130" s="1"/>
  <c r="Q31" i="139"/>
  <c r="V108" i="130"/>
  <c r="V158" i="130" s="1"/>
  <c r="L31" i="139"/>
  <c r="Q108" i="130"/>
  <c r="Q158" i="130" s="1"/>
  <c r="G31" i="139"/>
  <c r="L108" i="130"/>
  <c r="L158" i="130" s="1"/>
  <c r="P31" i="139"/>
  <c r="U108" i="130"/>
  <c r="U158" i="130" s="1"/>
  <c r="K31" i="139"/>
  <c r="P108" i="130"/>
  <c r="P158" i="130" s="1"/>
  <c r="F31" i="139"/>
  <c r="K108" i="130"/>
  <c r="K158" i="130" s="1"/>
  <c r="N31" i="139"/>
  <c r="S108" i="130"/>
  <c r="S158" i="130" s="1"/>
  <c r="N81" i="139" s="1"/>
  <c r="J31" i="139"/>
  <c r="O108" i="130"/>
  <c r="O158" i="130" s="1"/>
  <c r="J81" i="139" s="1"/>
  <c r="D31" i="139"/>
  <c r="I108" i="130"/>
  <c r="I158" i="130" s="1"/>
  <c r="U58" i="137"/>
  <c r="U59" i="137" s="1"/>
  <c r="U62" i="133"/>
  <c r="F39" i="139"/>
  <c r="R39" i="139"/>
  <c r="M39" i="139"/>
  <c r="I39" i="139"/>
  <c r="D39" i="139"/>
  <c r="S16" i="139"/>
  <c r="X41" i="138"/>
  <c r="J39" i="139"/>
  <c r="Q39" i="139"/>
  <c r="L39" i="139"/>
  <c r="N39" i="139"/>
  <c r="P39" i="139"/>
  <c r="K39" i="139"/>
  <c r="G39" i="139"/>
  <c r="U75" i="134"/>
  <c r="U76" i="134" s="1"/>
  <c r="R37" i="139"/>
  <c r="J37" i="139"/>
  <c r="M37" i="139"/>
  <c r="D37" i="139"/>
  <c r="P37" i="139"/>
  <c r="L37" i="139"/>
  <c r="N37" i="139"/>
  <c r="F37" i="139"/>
  <c r="Q37" i="139"/>
  <c r="I37" i="139"/>
  <c r="C37" i="139"/>
  <c r="U45" i="136"/>
  <c r="U46" i="136" s="1"/>
  <c r="O37" i="139"/>
  <c r="K37" i="139"/>
  <c r="G37" i="139"/>
  <c r="S8" i="139"/>
  <c r="X70" i="130"/>
  <c r="Q36" i="139"/>
  <c r="P36" i="139"/>
  <c r="K36" i="139"/>
  <c r="G36" i="139"/>
  <c r="S36" i="139"/>
  <c r="L36" i="139"/>
  <c r="N36" i="139"/>
  <c r="J36" i="139"/>
  <c r="F36" i="139"/>
  <c r="S13" i="139"/>
  <c r="R36" i="139"/>
  <c r="M36" i="139"/>
  <c r="I36" i="139"/>
  <c r="R38" i="139"/>
  <c r="F38" i="139"/>
  <c r="Q38" i="139"/>
  <c r="M38" i="139"/>
  <c r="I38" i="139"/>
  <c r="D38" i="139"/>
  <c r="J38" i="139"/>
  <c r="P38" i="139"/>
  <c r="L38" i="139"/>
  <c r="N38" i="139"/>
  <c r="C38" i="139"/>
  <c r="U39" i="132"/>
  <c r="U40" i="132" s="1"/>
  <c r="O38" i="139"/>
  <c r="K38" i="139"/>
  <c r="G38" i="139"/>
  <c r="L16" i="113"/>
  <c r="H13" i="113"/>
  <c r="H30" i="113" s="1"/>
  <c r="K16" i="113"/>
  <c r="G13" i="113"/>
  <c r="L18" i="113"/>
  <c r="L14" i="113"/>
  <c r="F48" i="27"/>
  <c r="G48" i="27"/>
  <c r="H48" i="27"/>
  <c r="I48" i="27"/>
  <c r="K48" i="27"/>
  <c r="E48" i="27"/>
  <c r="U67" i="136" l="1"/>
  <c r="U68" i="136" s="1"/>
  <c r="X87" i="136"/>
  <c r="I85" i="139"/>
  <c r="K85" i="139"/>
  <c r="G85" i="139"/>
  <c r="P85" i="139"/>
  <c r="N85" i="139"/>
  <c r="F85" i="139"/>
  <c r="Q85" i="139"/>
  <c r="M85" i="139"/>
  <c r="D85" i="139"/>
  <c r="J85" i="139"/>
  <c r="R85" i="139"/>
  <c r="O85" i="139"/>
  <c r="L85" i="139"/>
  <c r="U116" i="137"/>
  <c r="U117" i="137" s="1"/>
  <c r="L82" i="139"/>
  <c r="D82" i="139"/>
  <c r="M82" i="139"/>
  <c r="J82" i="139"/>
  <c r="P82" i="139"/>
  <c r="Q82" i="139"/>
  <c r="K82" i="139"/>
  <c r="I82" i="139"/>
  <c r="R82" i="139"/>
  <c r="N82" i="139"/>
  <c r="G82" i="139"/>
  <c r="F82" i="139"/>
  <c r="N83" i="139"/>
  <c r="K83" i="139"/>
  <c r="Q83" i="139"/>
  <c r="P83" i="139"/>
  <c r="J83" i="139"/>
  <c r="R83" i="139"/>
  <c r="G83" i="139"/>
  <c r="O83" i="139"/>
  <c r="M83" i="139"/>
  <c r="L83" i="139"/>
  <c r="U142" i="134"/>
  <c r="U143" i="134" s="1"/>
  <c r="I83" i="139"/>
  <c r="F83" i="139"/>
  <c r="D83" i="139"/>
  <c r="D84" i="139"/>
  <c r="U128" i="133"/>
  <c r="U129" i="133" s="1"/>
  <c r="M84" i="139"/>
  <c r="R125" i="133"/>
  <c r="N84" i="139"/>
  <c r="S125" i="133"/>
  <c r="G84" i="139"/>
  <c r="O84" i="139"/>
  <c r="T125" i="133"/>
  <c r="P84" i="139"/>
  <c r="U125" i="133"/>
  <c r="I84" i="139"/>
  <c r="N125" i="133"/>
  <c r="Q84" i="139"/>
  <c r="V125" i="133"/>
  <c r="O125" i="133"/>
  <c r="J84" i="139"/>
  <c r="W125" i="133"/>
  <c r="R84" i="139"/>
  <c r="K84" i="139"/>
  <c r="L84" i="139"/>
  <c r="Q125" i="133"/>
  <c r="F84" i="139"/>
  <c r="K125" i="133"/>
  <c r="U63" i="132"/>
  <c r="U64" i="132" s="1"/>
  <c r="X85" i="132"/>
  <c r="F81" i="139"/>
  <c r="R81" i="139"/>
  <c r="P81" i="139"/>
  <c r="L81" i="139"/>
  <c r="I81" i="139"/>
  <c r="D81" i="139"/>
  <c r="K81" i="139"/>
  <c r="G81" i="139"/>
  <c r="Q81" i="139"/>
  <c r="M81" i="139"/>
  <c r="R55" i="139"/>
  <c r="W1268" i="129"/>
  <c r="D55" i="139"/>
  <c r="I1268" i="129"/>
  <c r="S55" i="139"/>
  <c r="X1268" i="129"/>
  <c r="P55" i="139"/>
  <c r="U1268" i="129"/>
  <c r="G55" i="139"/>
  <c r="L1268" i="129"/>
  <c r="G80" i="139" s="1"/>
  <c r="J55" i="139"/>
  <c r="O1268" i="129"/>
  <c r="K55" i="139"/>
  <c r="P1268" i="129"/>
  <c r="Q55" i="139"/>
  <c r="V1268" i="129"/>
  <c r="F55" i="139"/>
  <c r="K1268" i="129"/>
  <c r="M55" i="139"/>
  <c r="R1268" i="129"/>
  <c r="S39" i="139"/>
  <c r="X73" i="138"/>
  <c r="X116" i="138" s="1"/>
  <c r="S89" i="139" s="1"/>
  <c r="H64" i="139"/>
  <c r="D60" i="139"/>
  <c r="I60" i="139"/>
  <c r="K60" i="139"/>
  <c r="S60" i="139"/>
  <c r="G60" i="139"/>
  <c r="P60" i="139"/>
  <c r="F60" i="139"/>
  <c r="Q60" i="139"/>
  <c r="M60" i="139"/>
  <c r="N60" i="139"/>
  <c r="J60" i="139"/>
  <c r="R60" i="139"/>
  <c r="O60" i="139"/>
  <c r="L60" i="139"/>
  <c r="U86" i="137"/>
  <c r="U87" i="137" s="1"/>
  <c r="H62" i="139"/>
  <c r="S62" i="139"/>
  <c r="H57" i="139"/>
  <c r="Q57" i="139"/>
  <c r="K57" i="139"/>
  <c r="I57" i="139"/>
  <c r="R57" i="139"/>
  <c r="G57" i="139"/>
  <c r="L57" i="139"/>
  <c r="F57" i="139"/>
  <c r="D57" i="139"/>
  <c r="M57" i="139"/>
  <c r="J57" i="139"/>
  <c r="S57" i="139"/>
  <c r="P57" i="139"/>
  <c r="N57" i="139"/>
  <c r="R58" i="139"/>
  <c r="O58" i="139"/>
  <c r="M58" i="139"/>
  <c r="L58" i="139"/>
  <c r="U105" i="134"/>
  <c r="U106" i="134" s="1"/>
  <c r="F58" i="139"/>
  <c r="N58" i="139"/>
  <c r="D58" i="139"/>
  <c r="K58" i="139"/>
  <c r="S58" i="139"/>
  <c r="H58" i="139"/>
  <c r="P58" i="139"/>
  <c r="Q58" i="139"/>
  <c r="J58" i="139"/>
  <c r="G58" i="139"/>
  <c r="I58" i="139"/>
  <c r="K59" i="139"/>
  <c r="S59" i="139"/>
  <c r="L59" i="139"/>
  <c r="U90" i="133"/>
  <c r="U91" i="133" s="1"/>
  <c r="D59" i="139"/>
  <c r="M59" i="139"/>
  <c r="F59" i="139"/>
  <c r="N59" i="139"/>
  <c r="G59" i="139"/>
  <c r="O59" i="139"/>
  <c r="H59" i="139"/>
  <c r="P59" i="139"/>
  <c r="I59" i="139"/>
  <c r="Q59" i="139"/>
  <c r="J59" i="139"/>
  <c r="R59" i="139"/>
  <c r="H63" i="139"/>
  <c r="S63" i="139"/>
  <c r="H61" i="139"/>
  <c r="D56" i="139"/>
  <c r="N56" i="139"/>
  <c r="K56" i="139"/>
  <c r="G56" i="139"/>
  <c r="Q56" i="139"/>
  <c r="M56" i="139"/>
  <c r="J56" i="139"/>
  <c r="F56" i="139"/>
  <c r="P56" i="139"/>
  <c r="L56" i="139"/>
  <c r="I56" i="139"/>
  <c r="R56" i="139"/>
  <c r="S31" i="139"/>
  <c r="X108" i="130"/>
  <c r="X158" i="130" s="1"/>
  <c r="S81" i="139" s="1"/>
  <c r="Q40" i="139"/>
  <c r="P40" i="139"/>
  <c r="D40" i="139"/>
  <c r="F40" i="139"/>
  <c r="K40" i="139"/>
  <c r="G40" i="139"/>
  <c r="J40" i="139"/>
  <c r="M40" i="139"/>
  <c r="R40" i="139"/>
  <c r="H13" i="26"/>
  <c r="H7" i="26" s="1"/>
  <c r="Y36" i="23"/>
  <c r="IG36" i="23" s="1"/>
  <c r="J137" i="129"/>
  <c r="J135" i="129"/>
  <c r="J134" i="129"/>
  <c r="H7" i="31"/>
  <c r="U7" i="31"/>
  <c r="D91" i="31"/>
  <c r="E91" i="31"/>
  <c r="T91" i="31" s="1"/>
  <c r="M133" i="129"/>
  <c r="J132" i="129"/>
  <c r="HY16" i="23"/>
  <c r="HY10" i="23"/>
  <c r="CG10" i="128" s="1"/>
  <c r="BS47" i="128"/>
  <c r="S87" i="139" l="1"/>
  <c r="U92" i="136"/>
  <c r="U93" i="136" s="1"/>
  <c r="S40" i="139"/>
  <c r="G90" i="139"/>
  <c r="S88" i="139"/>
  <c r="U90" i="132"/>
  <c r="U91" i="132" s="1"/>
  <c r="M80" i="139"/>
  <c r="M90" i="139" s="1"/>
  <c r="J80" i="139"/>
  <c r="J90" i="139" s="1"/>
  <c r="P80" i="139"/>
  <c r="P90" i="139" s="1"/>
  <c r="D80" i="139"/>
  <c r="D90" i="139" s="1"/>
  <c r="F80" i="139"/>
  <c r="F90" i="139" s="1"/>
  <c r="K80" i="139"/>
  <c r="K90" i="139" s="1"/>
  <c r="S80" i="139"/>
  <c r="S90" i="139" s="1"/>
  <c r="R80" i="139"/>
  <c r="R90" i="139" s="1"/>
  <c r="Q80" i="139"/>
  <c r="Q90" i="139" s="1"/>
  <c r="M10" i="43"/>
  <c r="CG27" i="128"/>
  <c r="M27" i="43" s="1"/>
  <c r="M65" i="139"/>
  <c r="P65" i="139"/>
  <c r="R65" i="139"/>
  <c r="F65" i="139"/>
  <c r="S64" i="139"/>
  <c r="G65" i="139"/>
  <c r="Q65" i="139"/>
  <c r="K65" i="139"/>
  <c r="D65" i="139"/>
  <c r="J65" i="139"/>
  <c r="S56" i="139"/>
  <c r="BS38" i="128"/>
  <c r="BS21" i="128"/>
  <c r="J121" i="129"/>
  <c r="J118" i="129"/>
  <c r="D83" i="31"/>
  <c r="E83" i="31"/>
  <c r="T83" i="31" s="1"/>
  <c r="M116" i="129"/>
  <c r="J114" i="129"/>
  <c r="S65" i="139" l="1"/>
  <c r="HX46" i="23"/>
  <c r="HY46" i="23"/>
  <c r="HX47" i="23"/>
  <c r="HY47" i="23"/>
  <c r="HX37" i="23"/>
  <c r="HY37" i="23"/>
  <c r="HX38" i="23"/>
  <c r="HY38" i="23"/>
  <c r="HX27" i="23"/>
  <c r="HY27" i="23"/>
  <c r="HX21" i="23"/>
  <c r="HY21" i="23"/>
  <c r="HX18" i="23"/>
  <c r="HX28" i="23" s="1"/>
  <c r="HX29" i="23" s="1"/>
  <c r="HX12" i="23"/>
  <c r="HY12" i="23"/>
  <c r="HY48" i="23" l="1"/>
  <c r="HY20" i="23"/>
  <c r="HY28" i="23"/>
  <c r="HY29" i="23" s="1"/>
  <c r="HX20" i="23"/>
  <c r="HX48" i="23"/>
  <c r="H110" i="129"/>
  <c r="H109" i="129"/>
  <c r="H108" i="129"/>
  <c r="H107" i="129"/>
  <c r="J100" i="129"/>
  <c r="M96" i="129"/>
  <c r="J96" i="129"/>
  <c r="J13" i="138"/>
  <c r="T13" i="138"/>
  <c r="J12" i="138"/>
  <c r="H11" i="138"/>
  <c r="H15" i="138" s="1"/>
  <c r="H41" i="138" s="1"/>
  <c r="J12" i="133"/>
  <c r="J10" i="132"/>
  <c r="C39" i="139" l="1"/>
  <c r="H73" i="138"/>
  <c r="H116" i="138" s="1"/>
  <c r="J15" i="138"/>
  <c r="J41" i="138" s="1"/>
  <c r="J73" i="138" s="1"/>
  <c r="J116" i="138" s="1"/>
  <c r="E89" i="139" s="1"/>
  <c r="J18" i="135"/>
  <c r="J52" i="131"/>
  <c r="C89" i="139" l="1"/>
  <c r="L121" i="138"/>
  <c r="L122" i="138" s="1"/>
  <c r="E39" i="139"/>
  <c r="E64" i="139"/>
  <c r="C64" i="139"/>
  <c r="L78" i="138"/>
  <c r="L79" i="138" s="1"/>
  <c r="L46" i="138"/>
  <c r="L47" i="138" s="1"/>
  <c r="H15" i="116"/>
  <c r="F15" i="116"/>
  <c r="G15" i="116"/>
  <c r="E15" i="116"/>
  <c r="M15" i="130"/>
  <c r="J14" i="130"/>
  <c r="J13" i="130"/>
  <c r="T13" i="130"/>
  <c r="T24" i="130" s="1"/>
  <c r="T70" i="130" s="1"/>
  <c r="K144" i="31"/>
  <c r="M144" i="31"/>
  <c r="M12" i="130"/>
  <c r="M11" i="137"/>
  <c r="M22" i="137" s="1"/>
  <c r="M53" i="137" s="1"/>
  <c r="H50" i="131"/>
  <c r="H49" i="131"/>
  <c r="H48" i="131"/>
  <c r="H47" i="131"/>
  <c r="H46" i="131"/>
  <c r="H45" i="131"/>
  <c r="H44" i="131"/>
  <c r="H43" i="131"/>
  <c r="H15" i="135"/>
  <c r="H25" i="134"/>
  <c r="H24" i="134"/>
  <c r="H11" i="130"/>
  <c r="J11" i="133"/>
  <c r="J8" i="136"/>
  <c r="J23" i="134"/>
  <c r="J42" i="131"/>
  <c r="J41" i="131"/>
  <c r="J40" i="131"/>
  <c r="J10" i="133"/>
  <c r="M81" i="137" l="1"/>
  <c r="M111" i="137" s="1"/>
  <c r="H85" i="139" s="1"/>
  <c r="H35" i="139"/>
  <c r="O31" i="139"/>
  <c r="T108" i="130"/>
  <c r="T158" i="130" s="1"/>
  <c r="U75" i="130"/>
  <c r="U76" i="130" s="1"/>
  <c r="M24" i="130"/>
  <c r="M70" i="130" s="1"/>
  <c r="J24" i="130"/>
  <c r="J70" i="130" s="1"/>
  <c r="W12" i="35"/>
  <c r="W14" i="35"/>
  <c r="W15" i="35"/>
  <c r="W16" i="35"/>
  <c r="W18" i="35"/>
  <c r="W19" i="35"/>
  <c r="W20" i="35"/>
  <c r="W23" i="35"/>
  <c r="W24" i="35"/>
  <c r="W25" i="35"/>
  <c r="W26" i="35"/>
  <c r="W27" i="35"/>
  <c r="W31" i="35"/>
  <c r="W32" i="35"/>
  <c r="W33" i="35"/>
  <c r="W35" i="35"/>
  <c r="W36" i="35"/>
  <c r="W37" i="35"/>
  <c r="W40" i="35"/>
  <c r="W45" i="35"/>
  <c r="W46" i="35"/>
  <c r="W51" i="35"/>
  <c r="R47" i="35"/>
  <c r="S47" i="35"/>
  <c r="R48" i="35"/>
  <c r="R49" i="35" s="1"/>
  <c r="S48" i="35"/>
  <c r="R38" i="35"/>
  <c r="S38" i="35"/>
  <c r="R39" i="35"/>
  <c r="S39" i="35"/>
  <c r="R29" i="35"/>
  <c r="S29" i="35"/>
  <c r="R22" i="35"/>
  <c r="S22" i="35"/>
  <c r="R13" i="35"/>
  <c r="R21" i="35" s="1"/>
  <c r="S13" i="35"/>
  <c r="S28" i="35" s="1"/>
  <c r="J9" i="132"/>
  <c r="J15" i="132" s="1"/>
  <c r="J34" i="132" s="1"/>
  <c r="J58" i="132" s="1"/>
  <c r="J85" i="132" s="1"/>
  <c r="Q11" i="34"/>
  <c r="E88" i="139" l="1"/>
  <c r="L90" i="132"/>
  <c r="L91" i="132" s="1"/>
  <c r="O81" i="139"/>
  <c r="U163" i="130"/>
  <c r="U164" i="130" s="1"/>
  <c r="H60" i="139"/>
  <c r="E63" i="139"/>
  <c r="L63" i="132"/>
  <c r="L64" i="132" s="1"/>
  <c r="H31" i="139"/>
  <c r="M108" i="130"/>
  <c r="M158" i="130" s="1"/>
  <c r="H81" i="139" s="1"/>
  <c r="O56" i="139"/>
  <c r="U113" i="130"/>
  <c r="U114" i="130" s="1"/>
  <c r="E31" i="139"/>
  <c r="J108" i="130"/>
  <c r="J158" i="130" s="1"/>
  <c r="E81" i="139" s="1"/>
  <c r="E38" i="139"/>
  <c r="L39" i="132"/>
  <c r="L40" i="132" s="1"/>
  <c r="R28" i="35"/>
  <c r="R30" i="35" s="1"/>
  <c r="S21" i="35"/>
  <c r="S30" i="35"/>
  <c r="S49" i="35"/>
  <c r="D12" i="24"/>
  <c r="E12" i="24"/>
  <c r="N12" i="24" s="1"/>
  <c r="G17" i="23"/>
  <c r="N93" i="129"/>
  <c r="N258" i="129" s="1"/>
  <c r="N604" i="129" s="1"/>
  <c r="M92" i="129"/>
  <c r="J89" i="129"/>
  <c r="G61" i="118"/>
  <c r="G42" i="118"/>
  <c r="I30" i="139" l="1"/>
  <c r="I40" i="139" s="1"/>
  <c r="N886" i="129"/>
  <c r="E56" i="139"/>
  <c r="H56" i="139"/>
  <c r="G60" i="118"/>
  <c r="Q80" i="129"/>
  <c r="Q258" i="129" s="1"/>
  <c r="Q604" i="129" s="1"/>
  <c r="D14" i="31"/>
  <c r="E14" i="31"/>
  <c r="T14" i="31" s="1"/>
  <c r="M79" i="129"/>
  <c r="J78" i="129"/>
  <c r="J77" i="129"/>
  <c r="J76" i="129"/>
  <c r="J75" i="129"/>
  <c r="J74" i="129"/>
  <c r="J73" i="129"/>
  <c r="I55" i="139" l="1"/>
  <c r="I65" i="139" s="1"/>
  <c r="N1268" i="129"/>
  <c r="L30" i="139"/>
  <c r="L40" i="139" s="1"/>
  <c r="Q886" i="129"/>
  <c r="J71" i="129"/>
  <c r="L55" i="139" l="1"/>
  <c r="L65" i="139" s="1"/>
  <c r="Q1268" i="129"/>
  <c r="I80" i="139"/>
  <c r="I90" i="139" s="1"/>
  <c r="J69" i="129"/>
  <c r="S132" i="31"/>
  <c r="M132" i="31"/>
  <c r="M67" i="129"/>
  <c r="J66" i="129"/>
  <c r="J63" i="129"/>
  <c r="D17" i="25"/>
  <c r="T61" i="129"/>
  <c r="D109" i="31"/>
  <c r="E109" i="31"/>
  <c r="T109" i="31" s="1"/>
  <c r="DG16" i="23"/>
  <c r="M60" i="129"/>
  <c r="J59" i="129"/>
  <c r="J58" i="129"/>
  <c r="M57" i="129"/>
  <c r="J56" i="129"/>
  <c r="D74" i="31"/>
  <c r="E74" i="31"/>
  <c r="T74" i="31" s="1"/>
  <c r="M55" i="129"/>
  <c r="J53" i="129"/>
  <c r="J51" i="129"/>
  <c r="J50" i="129"/>
  <c r="J49" i="129"/>
  <c r="T49" i="129"/>
  <c r="J48" i="129"/>
  <c r="J46" i="129"/>
  <c r="J45" i="129"/>
  <c r="M38" i="129"/>
  <c r="M36" i="129"/>
  <c r="S31" i="31"/>
  <c r="I31" i="31"/>
  <c r="M32" i="129"/>
  <c r="M31" i="129"/>
  <c r="D49" i="31"/>
  <c r="E49" i="31"/>
  <c r="T49" i="31" s="1"/>
  <c r="M30" i="129"/>
  <c r="M29" i="129"/>
  <c r="H28" i="129"/>
  <c r="H27" i="129"/>
  <c r="H24" i="129"/>
  <c r="H23" i="129"/>
  <c r="H22" i="129"/>
  <c r="H21" i="129"/>
  <c r="H20" i="129"/>
  <c r="J19" i="129"/>
  <c r="CE10" i="23"/>
  <c r="J18" i="129"/>
  <c r="L80" i="139" l="1"/>
  <c r="L90" i="139" s="1"/>
  <c r="H258" i="129"/>
  <c r="H604" i="129" s="1"/>
  <c r="H886" i="129" s="1"/>
  <c r="D112" i="31"/>
  <c r="E112" i="31"/>
  <c r="T112" i="31" s="1"/>
  <c r="DW16" i="23"/>
  <c r="M17" i="129"/>
  <c r="M258" i="129" s="1"/>
  <c r="M604" i="129" s="1"/>
  <c r="J16" i="129"/>
  <c r="J258" i="129" s="1"/>
  <c r="J604" i="129" s="1"/>
  <c r="J886" i="129" s="1"/>
  <c r="J1268" i="129" s="1"/>
  <c r="I7" i="115"/>
  <c r="L14" i="115"/>
  <c r="L7" i="115" s="1"/>
  <c r="L22" i="115" s="1"/>
  <c r="J14" i="115"/>
  <c r="J7" i="115" s="1"/>
  <c r="H14" i="115"/>
  <c r="F14" i="115"/>
  <c r="F7" i="115" s="1"/>
  <c r="S15" i="129"/>
  <c r="S14" i="129"/>
  <c r="IG33" i="23"/>
  <c r="CW33" i="23"/>
  <c r="BU33" i="128"/>
  <c r="T12" i="129"/>
  <c r="T11" i="129"/>
  <c r="T7" i="129"/>
  <c r="T6" i="129"/>
  <c r="C55" i="139" l="1"/>
  <c r="H1268" i="129"/>
  <c r="C80" i="139" s="1"/>
  <c r="E80" i="139"/>
  <c r="H30" i="139"/>
  <c r="H40" i="139" s="1"/>
  <c r="M886" i="129"/>
  <c r="C30" i="139"/>
  <c r="E30" i="139"/>
  <c r="E55" i="139"/>
  <c r="T258" i="129"/>
  <c r="T604" i="129" s="1"/>
  <c r="S258" i="129"/>
  <c r="S604" i="129" s="1"/>
  <c r="J21" i="134"/>
  <c r="J9" i="137"/>
  <c r="J22" i="137" s="1"/>
  <c r="J53" i="137" s="1"/>
  <c r="J14" i="135"/>
  <c r="J26" i="135" s="1"/>
  <c r="J59" i="135" s="1"/>
  <c r="J38" i="131"/>
  <c r="T38" i="131"/>
  <c r="J20" i="134"/>
  <c r="J37" i="131"/>
  <c r="J36" i="131"/>
  <c r="J35" i="131"/>
  <c r="J34" i="131"/>
  <c r="J32" i="131"/>
  <c r="J9" i="133"/>
  <c r="J22" i="133" s="1"/>
  <c r="J19" i="134"/>
  <c r="K11" i="38"/>
  <c r="J17" i="134"/>
  <c r="J16" i="134"/>
  <c r="J15" i="134"/>
  <c r="J7" i="136"/>
  <c r="J14" i="136" s="1"/>
  <c r="J40" i="136" s="1"/>
  <c r="J62" i="136" s="1"/>
  <c r="J87" i="136" s="1"/>
  <c r="J31" i="131"/>
  <c r="J30" i="131"/>
  <c r="H29" i="131"/>
  <c r="H28" i="131"/>
  <c r="H27" i="131"/>
  <c r="H26" i="131"/>
  <c r="H25" i="131"/>
  <c r="H24" i="131"/>
  <c r="H23" i="131"/>
  <c r="H22" i="131"/>
  <c r="E87" i="139" l="1"/>
  <c r="L92" i="136"/>
  <c r="L93" i="136" s="1"/>
  <c r="H55" i="139"/>
  <c r="H65" i="139" s="1"/>
  <c r="M1268" i="129"/>
  <c r="H80" i="139" s="1"/>
  <c r="H90" i="139" s="1"/>
  <c r="E35" i="139"/>
  <c r="J81" i="137"/>
  <c r="J111" i="137" s="1"/>
  <c r="E85" i="139" s="1"/>
  <c r="E62" i="139"/>
  <c r="L67" i="136"/>
  <c r="L68" i="136" s="1"/>
  <c r="E32" i="139"/>
  <c r="J91" i="135"/>
  <c r="J130" i="135" s="1"/>
  <c r="E82" i="139" s="1"/>
  <c r="O30" i="139"/>
  <c r="T886" i="129"/>
  <c r="N30" i="139"/>
  <c r="N40" i="139" s="1"/>
  <c r="S886" i="129"/>
  <c r="J57" i="133"/>
  <c r="E37" i="139"/>
  <c r="L45" i="136"/>
  <c r="L46" i="136" s="1"/>
  <c r="J36" i="134"/>
  <c r="J70" i="134" s="1"/>
  <c r="J74" i="131"/>
  <c r="J152" i="131" s="1"/>
  <c r="J216" i="131" s="1"/>
  <c r="J315" i="131" s="1"/>
  <c r="E86" i="139" s="1"/>
  <c r="H9" i="130"/>
  <c r="K10" i="38"/>
  <c r="K9" i="38"/>
  <c r="H13" i="134"/>
  <c r="H12" i="134"/>
  <c r="H13" i="135"/>
  <c r="H8" i="137"/>
  <c r="H12" i="135"/>
  <c r="H11" i="135"/>
  <c r="H21" i="131"/>
  <c r="H20" i="131"/>
  <c r="H19" i="131"/>
  <c r="H18" i="131"/>
  <c r="H17" i="131"/>
  <c r="H16" i="131"/>
  <c r="H15" i="131"/>
  <c r="H8" i="133"/>
  <c r="H22" i="133" s="1"/>
  <c r="H57" i="133" s="1"/>
  <c r="H7" i="137"/>
  <c r="O55" i="139" l="1"/>
  <c r="T1268" i="129"/>
  <c r="N55" i="139"/>
  <c r="N65" i="139" s="1"/>
  <c r="S1268" i="129"/>
  <c r="E60" i="139"/>
  <c r="E57" i="139"/>
  <c r="E33" i="139"/>
  <c r="J100" i="134"/>
  <c r="J137" i="134" s="1"/>
  <c r="E83" i="139" s="1"/>
  <c r="C34" i="139"/>
  <c r="H85" i="133"/>
  <c r="H123" i="133" s="1"/>
  <c r="E34" i="139"/>
  <c r="J85" i="133"/>
  <c r="J123" i="133" s="1"/>
  <c r="E84" i="139" s="1"/>
  <c r="E61" i="139"/>
  <c r="L62" i="133"/>
  <c r="E36" i="139"/>
  <c r="H74" i="131"/>
  <c r="H152" i="131" s="1"/>
  <c r="H216" i="131" s="1"/>
  <c r="H315" i="131" s="1"/>
  <c r="H22" i="137"/>
  <c r="H53" i="137" s="1"/>
  <c r="H26" i="135"/>
  <c r="H59" i="135" s="1"/>
  <c r="H8" i="130"/>
  <c r="H24" i="130" s="1"/>
  <c r="H70" i="130" s="1"/>
  <c r="H10" i="134"/>
  <c r="H9" i="134"/>
  <c r="T8" i="135"/>
  <c r="T7" i="135"/>
  <c r="M34" i="38"/>
  <c r="AK34" i="40"/>
  <c r="AS34" i="40" s="1"/>
  <c r="T10" i="131"/>
  <c r="T14" i="131"/>
  <c r="T13" i="131"/>
  <c r="T12" i="131"/>
  <c r="T11" i="131"/>
  <c r="T9" i="131"/>
  <c r="T8" i="131"/>
  <c r="T7" i="131"/>
  <c r="M34" i="73"/>
  <c r="T10" i="138"/>
  <c r="T7" i="138"/>
  <c r="T26" i="135" l="1"/>
  <c r="T59" i="135" s="1"/>
  <c r="T91" i="135" s="1"/>
  <c r="T130" i="135" s="1"/>
  <c r="E90" i="139"/>
  <c r="C84" i="139"/>
  <c r="L128" i="133"/>
  <c r="L129" i="133" s="1"/>
  <c r="H125" i="133"/>
  <c r="C86" i="139"/>
  <c r="L320" i="131"/>
  <c r="L321" i="131" s="1"/>
  <c r="N80" i="139"/>
  <c r="N90" i="139" s="1"/>
  <c r="O80" i="139"/>
  <c r="H36" i="134"/>
  <c r="H70" i="134" s="1"/>
  <c r="C33" i="139" s="1"/>
  <c r="T15" i="138"/>
  <c r="T41" i="138" s="1"/>
  <c r="T73" i="138" s="1"/>
  <c r="T116" i="138" s="1"/>
  <c r="H81" i="137"/>
  <c r="H111" i="137" s="1"/>
  <c r="C35" i="139"/>
  <c r="C32" i="139"/>
  <c r="H91" i="135"/>
  <c r="H130" i="135" s="1"/>
  <c r="O32" i="139"/>
  <c r="E58" i="139"/>
  <c r="E59" i="139"/>
  <c r="C59" i="139"/>
  <c r="L90" i="133"/>
  <c r="L91" i="133" s="1"/>
  <c r="C61" i="139"/>
  <c r="L221" i="131"/>
  <c r="L222" i="131" s="1"/>
  <c r="C31" i="139"/>
  <c r="H108" i="130"/>
  <c r="H158" i="130" s="1"/>
  <c r="L58" i="137"/>
  <c r="L59" i="137" s="1"/>
  <c r="E40" i="139"/>
  <c r="O39" i="139"/>
  <c r="U46" i="138"/>
  <c r="U47" i="138" s="1"/>
  <c r="L64" i="135"/>
  <c r="L65" i="135" s="1"/>
  <c r="U64" i="135"/>
  <c r="U65" i="135" s="1"/>
  <c r="L75" i="130"/>
  <c r="L76" i="130" s="1"/>
  <c r="C36" i="139"/>
  <c r="L157" i="131"/>
  <c r="L158" i="131" s="1"/>
  <c r="T74" i="131"/>
  <c r="T152" i="131" s="1"/>
  <c r="T216" i="131" s="1"/>
  <c r="T315" i="131" s="1"/>
  <c r="O89" i="139" l="1"/>
  <c r="U121" i="138"/>
  <c r="U122" i="138" s="1"/>
  <c r="C85" i="139"/>
  <c r="L116" i="137"/>
  <c r="L117" i="137" s="1"/>
  <c r="O82" i="139"/>
  <c r="U135" i="135"/>
  <c r="U136" i="135" s="1"/>
  <c r="C82" i="139"/>
  <c r="L135" i="135"/>
  <c r="L136" i="135" s="1"/>
  <c r="O86" i="139"/>
  <c r="U320" i="131"/>
  <c r="U321" i="131" s="1"/>
  <c r="C81" i="139"/>
  <c r="L163" i="130"/>
  <c r="L164" i="130" s="1"/>
  <c r="L75" i="134"/>
  <c r="L76" i="134" s="1"/>
  <c r="H100" i="134"/>
  <c r="U78" i="138"/>
  <c r="U79" i="138" s="1"/>
  <c r="O64" i="139"/>
  <c r="E65" i="139"/>
  <c r="C60" i="139"/>
  <c r="L86" i="137"/>
  <c r="L87" i="137" s="1"/>
  <c r="U96" i="135"/>
  <c r="U97" i="135" s="1"/>
  <c r="O57" i="139"/>
  <c r="C57" i="139"/>
  <c r="L96" i="135"/>
  <c r="L97" i="135" s="1"/>
  <c r="U221" i="131"/>
  <c r="U222" i="131" s="1"/>
  <c r="O61" i="139"/>
  <c r="C56" i="139"/>
  <c r="L113" i="130"/>
  <c r="L114" i="130" s="1"/>
  <c r="C40" i="139"/>
  <c r="G44" i="139" s="1"/>
  <c r="G45" i="139" s="1"/>
  <c r="O36" i="139"/>
  <c r="O40" i="139" s="1"/>
  <c r="P44" i="139" s="1"/>
  <c r="P45" i="139" s="1"/>
  <c r="U157" i="131"/>
  <c r="U158" i="131" s="1"/>
  <c r="E364" i="140"/>
  <c r="F364" i="140"/>
  <c r="G364" i="140"/>
  <c r="H364" i="140"/>
  <c r="I364" i="140"/>
  <c r="J364" i="140"/>
  <c r="K364" i="140"/>
  <c r="L364" i="140"/>
  <c r="M364" i="140"/>
  <c r="N364" i="140"/>
  <c r="O364" i="140"/>
  <c r="P364" i="140"/>
  <c r="Q364" i="140"/>
  <c r="R364" i="140"/>
  <c r="S364" i="140"/>
  <c r="T364" i="140"/>
  <c r="U364" i="140"/>
  <c r="V364" i="140"/>
  <c r="W364" i="140"/>
  <c r="X364" i="140"/>
  <c r="Y364" i="140"/>
  <c r="Z364" i="140"/>
  <c r="AA364" i="140"/>
  <c r="AB364" i="140"/>
  <c r="AC364" i="140"/>
  <c r="AD364" i="140"/>
  <c r="AE364" i="140"/>
  <c r="AF364" i="140"/>
  <c r="AG364" i="140"/>
  <c r="AH364" i="140"/>
  <c r="AI364" i="140"/>
  <c r="AJ364" i="140"/>
  <c r="AK364" i="140"/>
  <c r="AO364" i="140"/>
  <c r="AP364" i="140"/>
  <c r="AQ364" i="140"/>
  <c r="AR364" i="140"/>
  <c r="AS364" i="140"/>
  <c r="AT364" i="140"/>
  <c r="AU364" i="140"/>
  <c r="D364" i="140"/>
  <c r="D16" i="139"/>
  <c r="F16" i="139"/>
  <c r="G16" i="139"/>
  <c r="H16" i="139"/>
  <c r="I16" i="139"/>
  <c r="J16" i="139"/>
  <c r="K16" i="139"/>
  <c r="L16" i="139"/>
  <c r="M16" i="139"/>
  <c r="N16" i="139"/>
  <c r="P16" i="139"/>
  <c r="Q16" i="139"/>
  <c r="R16" i="139"/>
  <c r="D15" i="139"/>
  <c r="F15" i="139"/>
  <c r="G15" i="139"/>
  <c r="H15" i="139"/>
  <c r="I15" i="139"/>
  <c r="J15" i="139"/>
  <c r="K15" i="139"/>
  <c r="L15" i="139"/>
  <c r="M15" i="139"/>
  <c r="N15" i="139"/>
  <c r="P15" i="139"/>
  <c r="Q15" i="139"/>
  <c r="R15" i="139"/>
  <c r="C15" i="139"/>
  <c r="D14" i="139"/>
  <c r="F14" i="139"/>
  <c r="G14" i="139"/>
  <c r="H14" i="139"/>
  <c r="I14" i="139"/>
  <c r="J14" i="139"/>
  <c r="K14" i="139"/>
  <c r="L14" i="139"/>
  <c r="M14" i="139"/>
  <c r="N14" i="139"/>
  <c r="P14" i="139"/>
  <c r="Q14" i="139"/>
  <c r="R14" i="139"/>
  <c r="S14" i="139"/>
  <c r="C14" i="139"/>
  <c r="D13" i="139"/>
  <c r="F13" i="139"/>
  <c r="G13" i="139"/>
  <c r="H13" i="139"/>
  <c r="I13" i="139"/>
  <c r="J13" i="139"/>
  <c r="K13" i="139"/>
  <c r="L13" i="139"/>
  <c r="M13" i="139"/>
  <c r="N13" i="139"/>
  <c r="P13" i="139"/>
  <c r="Q13" i="139"/>
  <c r="R13" i="139"/>
  <c r="D12" i="139"/>
  <c r="F12" i="139"/>
  <c r="G12" i="139"/>
  <c r="I12" i="139"/>
  <c r="J12" i="139"/>
  <c r="K12" i="139"/>
  <c r="M12" i="139"/>
  <c r="N12" i="139"/>
  <c r="P12" i="139"/>
  <c r="Q12" i="139"/>
  <c r="R12" i="139"/>
  <c r="S12" i="139"/>
  <c r="F11" i="139"/>
  <c r="G11" i="139"/>
  <c r="H11" i="139"/>
  <c r="I11" i="139"/>
  <c r="J11" i="139"/>
  <c r="K11" i="139"/>
  <c r="M11" i="139"/>
  <c r="N11" i="139"/>
  <c r="P11" i="139"/>
  <c r="Q11" i="139"/>
  <c r="R11" i="139"/>
  <c r="S11" i="139"/>
  <c r="F10" i="139"/>
  <c r="G10" i="139"/>
  <c r="H10" i="139"/>
  <c r="I10" i="139"/>
  <c r="J10" i="139"/>
  <c r="K10" i="139"/>
  <c r="M10" i="139"/>
  <c r="N10" i="139"/>
  <c r="P10" i="139"/>
  <c r="Q10" i="139"/>
  <c r="R10" i="139"/>
  <c r="D9" i="139"/>
  <c r="F9" i="139"/>
  <c r="G9" i="139"/>
  <c r="H9" i="139"/>
  <c r="I9" i="139"/>
  <c r="J9" i="139"/>
  <c r="K9" i="139"/>
  <c r="L9" i="139"/>
  <c r="M9" i="139"/>
  <c r="N9" i="139"/>
  <c r="P9" i="139"/>
  <c r="Q9" i="139"/>
  <c r="R9" i="139"/>
  <c r="S9" i="139"/>
  <c r="D8" i="139"/>
  <c r="F8" i="139"/>
  <c r="I8" i="139"/>
  <c r="K8" i="139"/>
  <c r="L8" i="139"/>
  <c r="M8" i="139"/>
  <c r="Q8" i="139"/>
  <c r="O90" i="139" l="1"/>
  <c r="P94" i="139" s="1"/>
  <c r="P95" i="139" s="1"/>
  <c r="C58" i="139"/>
  <c r="C65" i="139" s="1"/>
  <c r="H137" i="134"/>
  <c r="O65" i="139"/>
  <c r="AU366" i="140"/>
  <c r="D71" i="25" s="1"/>
  <c r="C83" i="139" l="1"/>
  <c r="C90" i="139" s="1"/>
  <c r="G94" i="139" s="1"/>
  <c r="G95" i="139" s="1"/>
  <c r="L142" i="134"/>
  <c r="L143" i="134" s="1"/>
  <c r="G69" i="139"/>
  <c r="P69" i="139"/>
  <c r="P70" i="139" s="1"/>
  <c r="C13" i="139"/>
  <c r="C7" i="139"/>
  <c r="G70" i="139" l="1"/>
  <c r="O16" i="139"/>
  <c r="U20" i="138"/>
  <c r="U21" i="138" s="1"/>
  <c r="E16" i="139"/>
  <c r="C16" i="139"/>
  <c r="O12" i="139"/>
  <c r="H12" i="139"/>
  <c r="E12" i="139"/>
  <c r="C12" i="139"/>
  <c r="O14" i="139"/>
  <c r="E14" i="139"/>
  <c r="O9" i="139"/>
  <c r="E9" i="139"/>
  <c r="C9" i="139"/>
  <c r="S10" i="139"/>
  <c r="O10" i="139"/>
  <c r="E10" i="139"/>
  <c r="D10" i="139"/>
  <c r="C10" i="139"/>
  <c r="O11" i="139"/>
  <c r="L11" i="139"/>
  <c r="E11" i="139"/>
  <c r="D11" i="139"/>
  <c r="C11" i="139"/>
  <c r="S15" i="139"/>
  <c r="O15" i="139"/>
  <c r="U20" i="132"/>
  <c r="U21" i="132" s="1"/>
  <c r="E15" i="139"/>
  <c r="O13" i="139"/>
  <c r="E13" i="139"/>
  <c r="R8" i="139"/>
  <c r="P8" i="139"/>
  <c r="O8" i="139"/>
  <c r="N8" i="139"/>
  <c r="J8" i="139"/>
  <c r="H8" i="139"/>
  <c r="G8" i="139"/>
  <c r="E8" i="139"/>
  <c r="S7" i="139"/>
  <c r="R7" i="139"/>
  <c r="Q7" i="139"/>
  <c r="Q17" i="139" s="1"/>
  <c r="P7" i="139"/>
  <c r="O7" i="139"/>
  <c r="N7" i="139"/>
  <c r="M7" i="139"/>
  <c r="M17" i="139" s="1"/>
  <c r="L7" i="139"/>
  <c r="K7" i="139"/>
  <c r="K17" i="139" s="1"/>
  <c r="J7" i="139"/>
  <c r="I7" i="139"/>
  <c r="I17" i="139" s="1"/>
  <c r="H7" i="139"/>
  <c r="G7" i="139"/>
  <c r="F7" i="139"/>
  <c r="F17" i="139" s="1"/>
  <c r="E7" i="139"/>
  <c r="D7" i="139"/>
  <c r="R17" i="139" l="1"/>
  <c r="N17" i="139"/>
  <c r="J17" i="139"/>
  <c r="L20" i="138"/>
  <c r="L21" i="138" s="1"/>
  <c r="U31" i="135"/>
  <c r="U32" i="135" s="1"/>
  <c r="P17" i="139"/>
  <c r="U29" i="130"/>
  <c r="U30" i="130" s="1"/>
  <c r="H17" i="139"/>
  <c r="U19" i="136"/>
  <c r="U20" i="136" s="1"/>
  <c r="U27" i="133"/>
  <c r="U28" i="133" s="1"/>
  <c r="G17" i="139"/>
  <c r="L10" i="139"/>
  <c r="L263" i="129"/>
  <c r="L264" i="129" s="1"/>
  <c r="U263" i="129"/>
  <c r="U264" i="129" s="1"/>
  <c r="L27" i="137"/>
  <c r="L28" i="137" s="1"/>
  <c r="U27" i="137"/>
  <c r="U28" i="137" s="1"/>
  <c r="L12" i="139"/>
  <c r="L20" i="132"/>
  <c r="L21" i="132" s="1"/>
  <c r="S17" i="139"/>
  <c r="L19" i="136"/>
  <c r="L20" i="136" s="1"/>
  <c r="E17" i="139"/>
  <c r="L79" i="131"/>
  <c r="L80" i="131" s="1"/>
  <c r="C8" i="139"/>
  <c r="C17" i="139" s="1"/>
  <c r="L31" i="135"/>
  <c r="L32" i="135" s="1"/>
  <c r="D17" i="139"/>
  <c r="L27" i="133"/>
  <c r="L28" i="133" s="1"/>
  <c r="L29" i="130"/>
  <c r="L30" i="130" s="1"/>
  <c r="L41" i="134"/>
  <c r="L42" i="134" s="1"/>
  <c r="U41" i="134"/>
  <c r="U42" i="134" s="1"/>
  <c r="O17" i="139"/>
  <c r="U79" i="131"/>
  <c r="U80" i="131" s="1"/>
  <c r="G21" i="139" l="1"/>
  <c r="G22" i="139" s="1"/>
  <c r="L17" i="139"/>
  <c r="P21" i="139" s="1"/>
  <c r="P22" i="139" s="1"/>
  <c r="F27" i="89" l="1"/>
  <c r="H27" i="89"/>
  <c r="F21" i="89"/>
  <c r="H20" i="89"/>
  <c r="H19" i="89"/>
  <c r="H17" i="89"/>
  <c r="H14" i="89"/>
  <c r="F8" i="89"/>
  <c r="G8" i="89"/>
  <c r="H8" i="89"/>
  <c r="D50" i="100"/>
  <c r="D48" i="100"/>
  <c r="D46" i="100"/>
  <c r="D44" i="100"/>
  <c r="D42" i="100"/>
  <c r="D41" i="100"/>
  <c r="D40" i="100"/>
  <c r="D39" i="100"/>
  <c r="D38" i="100"/>
  <c r="D37" i="100"/>
  <c r="D36" i="100"/>
  <c r="D35" i="100"/>
  <c r="D34" i="100"/>
  <c r="D33" i="100"/>
  <c r="D31" i="100"/>
  <c r="D29" i="100"/>
  <c r="D25" i="100"/>
  <c r="D22" i="100"/>
  <c r="D21" i="100"/>
  <c r="D20" i="100"/>
  <c r="D18" i="100"/>
  <c r="D17" i="100"/>
  <c r="D16" i="100"/>
  <c r="D15" i="100"/>
  <c r="D13" i="100"/>
  <c r="D11" i="100"/>
  <c r="D10" i="100"/>
  <c r="D9" i="100"/>
  <c r="D8" i="100"/>
  <c r="D7" i="100"/>
  <c r="D6" i="100"/>
  <c r="D5" i="100"/>
  <c r="D4" i="100"/>
  <c r="C3" i="100"/>
  <c r="F11" i="116"/>
  <c r="J11" i="116" s="1"/>
  <c r="F10" i="116"/>
  <c r="J10" i="116" s="1"/>
  <c r="J9" i="116"/>
  <c r="J8" i="116"/>
  <c r="J15" i="116"/>
  <c r="J16" i="116"/>
  <c r="J17" i="116"/>
  <c r="J18" i="116"/>
  <c r="F14" i="116"/>
  <c r="G14" i="116"/>
  <c r="H14" i="116"/>
  <c r="E14" i="116"/>
  <c r="G7" i="116"/>
  <c r="N8" i="115"/>
  <c r="N9" i="115"/>
  <c r="N10" i="115"/>
  <c r="N11" i="115"/>
  <c r="N12" i="115"/>
  <c r="N14" i="115"/>
  <c r="N19" i="115"/>
  <c r="N20" i="115"/>
  <c r="N18" i="115"/>
  <c r="F17" i="115"/>
  <c r="F16" i="115" s="1"/>
  <c r="G17" i="115"/>
  <c r="G16" i="115" s="1"/>
  <c r="H17" i="115"/>
  <c r="H16" i="115" s="1"/>
  <c r="I17" i="115"/>
  <c r="J17" i="115"/>
  <c r="J16" i="115" s="1"/>
  <c r="J22" i="115" s="1"/>
  <c r="K17" i="115"/>
  <c r="K16" i="115" s="1"/>
  <c r="E17" i="115"/>
  <c r="E16" i="115" s="1"/>
  <c r="E22" i="115" s="1"/>
  <c r="I16" i="115"/>
  <c r="I22" i="115" s="1"/>
  <c r="H7" i="115"/>
  <c r="N7" i="115" s="1"/>
  <c r="K7" i="115"/>
  <c r="E17" i="114"/>
  <c r="J8" i="114"/>
  <c r="J9" i="114"/>
  <c r="J10" i="114"/>
  <c r="J11" i="114"/>
  <c r="J13" i="114"/>
  <c r="J14" i="114"/>
  <c r="J15" i="114"/>
  <c r="J16" i="114"/>
  <c r="J18" i="114"/>
  <c r="J19" i="114"/>
  <c r="J20" i="114"/>
  <c r="J21" i="114"/>
  <c r="J22" i="114"/>
  <c r="J23" i="114"/>
  <c r="J24" i="114"/>
  <c r="J25" i="114"/>
  <c r="J26" i="114"/>
  <c r="J27" i="114"/>
  <c r="J28" i="114"/>
  <c r="F17" i="114"/>
  <c r="G17" i="114"/>
  <c r="H17" i="114"/>
  <c r="H12" i="114" s="1"/>
  <c r="F7" i="114"/>
  <c r="G7" i="114"/>
  <c r="E7" i="114"/>
  <c r="D3" i="100" l="1"/>
  <c r="D49" i="100"/>
  <c r="D19" i="100"/>
  <c r="D43" i="100"/>
  <c r="D45" i="100"/>
  <c r="J17" i="114"/>
  <c r="F7" i="116"/>
  <c r="J7" i="116" s="1"/>
  <c r="D14" i="100"/>
  <c r="G22" i="115"/>
  <c r="I7" i="114"/>
  <c r="K22" i="115"/>
  <c r="H22" i="115"/>
  <c r="H21" i="89"/>
  <c r="D26" i="100"/>
  <c r="E19" i="116"/>
  <c r="H29" i="114"/>
  <c r="H19" i="116"/>
  <c r="F12" i="114"/>
  <c r="G19" i="116"/>
  <c r="J14" i="116"/>
  <c r="M7" i="115"/>
  <c r="N16" i="115"/>
  <c r="J7" i="114"/>
  <c r="D32" i="100"/>
  <c r="D23" i="100"/>
  <c r="D51" i="100" l="1"/>
  <c r="F19" i="116"/>
  <c r="N17" i="115"/>
  <c r="J12" i="114"/>
  <c r="F29" i="114"/>
  <c r="J29" i="114" s="1"/>
  <c r="J19" i="116"/>
  <c r="F22" i="115"/>
  <c r="F74" i="118"/>
  <c r="G72" i="118"/>
  <c r="H65" i="118" s="1"/>
  <c r="G71" i="118"/>
  <c r="G64" i="118"/>
  <c r="F60" i="118"/>
  <c r="F59" i="118"/>
  <c r="G59" i="118" s="1"/>
  <c r="F57" i="118"/>
  <c r="G57" i="118" s="1"/>
  <c r="F53" i="118"/>
  <c r="G53" i="118" s="1"/>
  <c r="F52" i="118"/>
  <c r="G52" i="118" s="1"/>
  <c r="F49" i="118"/>
  <c r="F47" i="118"/>
  <c r="G47" i="118" s="1"/>
  <c r="F46" i="118"/>
  <c r="G46" i="118" s="1"/>
  <c r="F44" i="118"/>
  <c r="G44" i="118" s="1"/>
  <c r="F40" i="118"/>
  <c r="G40" i="118" s="1"/>
  <c r="F37" i="118"/>
  <c r="G37" i="118" s="1"/>
  <c r="G35" i="118" s="1"/>
  <c r="F34" i="118"/>
  <c r="G34" i="118" s="1"/>
  <c r="F33" i="118"/>
  <c r="G33" i="118" s="1"/>
  <c r="F32" i="118"/>
  <c r="G32" i="118" s="1"/>
  <c r="F29" i="118"/>
  <c r="G29" i="118" s="1"/>
  <c r="F28" i="118"/>
  <c r="F25" i="118"/>
  <c r="F24" i="118"/>
  <c r="G24" i="118" s="1"/>
  <c r="F23" i="118"/>
  <c r="G23" i="118" s="1"/>
  <c r="F18" i="118"/>
  <c r="F16" i="118"/>
  <c r="G13" i="118"/>
  <c r="G12" i="118"/>
  <c r="G11" i="118"/>
  <c r="G10" i="118"/>
  <c r="G9" i="118"/>
  <c r="G8" i="118"/>
  <c r="F7" i="118"/>
  <c r="G7" i="118" s="1"/>
  <c r="L9" i="113"/>
  <c r="L22" i="113"/>
  <c r="L23" i="113"/>
  <c r="L24" i="113"/>
  <c r="L25" i="113"/>
  <c r="L28" i="113"/>
  <c r="J27" i="113"/>
  <c r="L27" i="113" s="1"/>
  <c r="I26" i="113"/>
  <c r="I13" i="113" s="1"/>
  <c r="J10" i="113"/>
  <c r="J7" i="113" s="1"/>
  <c r="G30" i="113"/>
  <c r="F16" i="28"/>
  <c r="F15" i="28"/>
  <c r="F14" i="28"/>
  <c r="F13" i="28"/>
  <c r="F12" i="28"/>
  <c r="F11" i="28"/>
  <c r="F10" i="28"/>
  <c r="E7" i="28"/>
  <c r="E21" i="28" s="1"/>
  <c r="D67" i="25"/>
  <c r="F67" i="25"/>
  <c r="D63" i="25"/>
  <c r="F51" i="25"/>
  <c r="D46" i="25"/>
  <c r="F46" i="25"/>
  <c r="D44" i="25"/>
  <c r="D43" i="25" s="1"/>
  <c r="F43" i="25"/>
  <c r="C43" i="25"/>
  <c r="D41" i="25"/>
  <c r="D40" i="25"/>
  <c r="D36" i="25"/>
  <c r="D34" i="25"/>
  <c r="D33" i="25"/>
  <c r="D28" i="25"/>
  <c r="F24" i="25"/>
  <c r="E24" i="25"/>
  <c r="C24" i="25"/>
  <c r="C22" i="25"/>
  <c r="F22" i="25"/>
  <c r="D22" i="25"/>
  <c r="D20" i="25"/>
  <c r="D16" i="25"/>
  <c r="D14" i="25"/>
  <c r="D13" i="25"/>
  <c r="F12" i="25"/>
  <c r="E12" i="25"/>
  <c r="C12" i="25"/>
  <c r="D6" i="25"/>
  <c r="F6" i="25"/>
  <c r="E6" i="25"/>
  <c r="C6" i="25"/>
  <c r="G16" i="118" l="1"/>
  <c r="G15" i="118" s="1"/>
  <c r="G18" i="118"/>
  <c r="G17" i="118" s="1"/>
  <c r="G28" i="118"/>
  <c r="G25" i="118" s="1"/>
  <c r="G74" i="118"/>
  <c r="G49" i="118"/>
  <c r="G48" i="118" s="1"/>
  <c r="G41" i="118" s="1"/>
  <c r="N22" i="115"/>
  <c r="G50" i="118"/>
  <c r="F56" i="118"/>
  <c r="F30" i="118"/>
  <c r="F35" i="118"/>
  <c r="G22" i="118"/>
  <c r="G20" i="118" s="1"/>
  <c r="F22" i="118"/>
  <c r="F20" i="118" s="1"/>
  <c r="F19" i="118" s="1"/>
  <c r="D12" i="25"/>
  <c r="F7" i="28"/>
  <c r="F21" i="28" s="1"/>
  <c r="Q15" i="43" s="1"/>
  <c r="D24" i="25"/>
  <c r="F70" i="25"/>
  <c r="G30" i="118"/>
  <c r="G6" i="118"/>
  <c r="G5" i="118" s="1"/>
  <c r="H60" i="118" s="1"/>
  <c r="F48" i="118"/>
  <c r="F41" i="118" s="1"/>
  <c r="F55" i="118"/>
  <c r="F17" i="118"/>
  <c r="F15" i="118"/>
  <c r="G56" i="118"/>
  <c r="G55" i="118" s="1"/>
  <c r="F6" i="118"/>
  <c r="F5" i="118" s="1"/>
  <c r="F50" i="118"/>
  <c r="L10" i="113"/>
  <c r="J26" i="113"/>
  <c r="I30" i="113"/>
  <c r="J13" i="113" l="1"/>
  <c r="J30" i="113" s="1"/>
  <c r="L26" i="113"/>
  <c r="G19" i="118"/>
  <c r="G14" i="118" s="1"/>
  <c r="H67" i="118"/>
  <c r="F14" i="118"/>
  <c r="F39" i="118"/>
  <c r="F62" i="118" s="1"/>
  <c r="L13" i="113"/>
  <c r="G39" i="118"/>
  <c r="H69" i="118" s="1"/>
  <c r="G62" i="118" l="1"/>
  <c r="G80" i="118" s="1"/>
  <c r="F66" i="118"/>
  <c r="F80" i="118"/>
  <c r="F88" i="118" s="1"/>
  <c r="D8" i="24"/>
  <c r="E8" i="24"/>
  <c r="E14" i="24"/>
  <c r="N14" i="24" s="1"/>
  <c r="E20" i="24"/>
  <c r="N20" i="24" s="1"/>
  <c r="E22" i="24"/>
  <c r="N22" i="24" s="1"/>
  <c r="E25" i="24"/>
  <c r="N25" i="24" s="1"/>
  <c r="E26" i="24"/>
  <c r="N26" i="24" s="1"/>
  <c r="E27" i="24"/>
  <c r="N27" i="24" s="1"/>
  <c r="E29" i="24"/>
  <c r="N29" i="24" s="1"/>
  <c r="D14" i="24"/>
  <c r="D15" i="24"/>
  <c r="D20" i="24"/>
  <c r="D21" i="24"/>
  <c r="D22" i="24"/>
  <c r="D23" i="24"/>
  <c r="D25" i="24"/>
  <c r="D26" i="24"/>
  <c r="D27" i="24"/>
  <c r="D29" i="24"/>
  <c r="D13" i="24"/>
  <c r="G9" i="24"/>
  <c r="E21" i="24"/>
  <c r="N21" i="24" s="1"/>
  <c r="S183" i="31"/>
  <c r="S181" i="31"/>
  <c r="S179" i="31"/>
  <c r="E178" i="31"/>
  <c r="T178" i="31" s="1"/>
  <c r="S176" i="31"/>
  <c r="S175" i="31"/>
  <c r="S172" i="31"/>
  <c r="S170" i="31"/>
  <c r="S169" i="31"/>
  <c r="S167" i="31"/>
  <c r="G177" i="31"/>
  <c r="G175" i="31"/>
  <c r="M183" i="31"/>
  <c r="M181" i="31"/>
  <c r="E181" i="31" s="1"/>
  <c r="E180" i="31"/>
  <c r="T180" i="31" s="1"/>
  <c r="M179" i="31"/>
  <c r="E179" i="31" s="1"/>
  <c r="M175" i="31"/>
  <c r="K175" i="31"/>
  <c r="M172" i="31"/>
  <c r="M170" i="31"/>
  <c r="M169" i="31"/>
  <c r="M167" i="31"/>
  <c r="K169" i="31"/>
  <c r="E168" i="31"/>
  <c r="T168" i="31" s="1"/>
  <c r="K167" i="31"/>
  <c r="S166" i="31"/>
  <c r="S165" i="31"/>
  <c r="S164" i="31"/>
  <c r="S163" i="31"/>
  <c r="S162" i="31"/>
  <c r="S161" i="31"/>
  <c r="S159" i="31"/>
  <c r="E158" i="31"/>
  <c r="T158" i="31" s="1"/>
  <c r="S155" i="31"/>
  <c r="M166" i="31"/>
  <c r="M165" i="31"/>
  <c r="M164" i="31"/>
  <c r="E164" i="31" s="1"/>
  <c r="M163" i="31"/>
  <c r="M162" i="31"/>
  <c r="M161" i="31"/>
  <c r="M159" i="31"/>
  <c r="M155" i="31"/>
  <c r="M148" i="31"/>
  <c r="K146" i="31"/>
  <c r="K145" i="31"/>
  <c r="S144" i="31"/>
  <c r="E144" i="31" s="1"/>
  <c r="T144" i="31" s="1"/>
  <c r="G143" i="31"/>
  <c r="E171" i="31"/>
  <c r="E173" i="31"/>
  <c r="E174" i="31"/>
  <c r="E182" i="31"/>
  <c r="F142" i="31"/>
  <c r="F184" i="31" s="1"/>
  <c r="H142" i="31"/>
  <c r="H184" i="31" s="1"/>
  <c r="I142" i="31"/>
  <c r="I184" i="31" s="1"/>
  <c r="J142" i="31"/>
  <c r="J184" i="31" s="1"/>
  <c r="N142" i="31"/>
  <c r="N184" i="31" s="1"/>
  <c r="O142" i="31"/>
  <c r="O184" i="31" s="1"/>
  <c r="P142" i="31"/>
  <c r="P184" i="31" s="1"/>
  <c r="Q142" i="31"/>
  <c r="Q184" i="31" s="1"/>
  <c r="E111" i="31"/>
  <c r="T111" i="31" s="1"/>
  <c r="M133" i="31"/>
  <c r="I133" i="31"/>
  <c r="E132" i="31"/>
  <c r="T132" i="31" s="1"/>
  <c r="E127" i="31"/>
  <c r="T127" i="31" s="1"/>
  <c r="E137" i="31"/>
  <c r="E136" i="31"/>
  <c r="E135" i="31"/>
  <c r="E134" i="31"/>
  <c r="E130" i="31"/>
  <c r="E129" i="31"/>
  <c r="E128" i="31"/>
  <c r="E113" i="31"/>
  <c r="E108" i="31"/>
  <c r="T108" i="31" s="1"/>
  <c r="S103" i="31"/>
  <c r="S90" i="31"/>
  <c r="S89" i="31"/>
  <c r="E105" i="31"/>
  <c r="T105" i="31" s="1"/>
  <c r="M103" i="31"/>
  <c r="M99" i="31"/>
  <c r="M97" i="31"/>
  <c r="E92" i="31"/>
  <c r="T92" i="31" s="1"/>
  <c r="M90" i="31"/>
  <c r="M89" i="31"/>
  <c r="M79" i="31" s="1"/>
  <c r="K79" i="31"/>
  <c r="E100" i="31"/>
  <c r="T100" i="31" s="1"/>
  <c r="E98" i="31"/>
  <c r="E96" i="31"/>
  <c r="E93" i="31"/>
  <c r="T93" i="31" s="1"/>
  <c r="E82" i="31"/>
  <c r="T82" i="31" s="1"/>
  <c r="E81" i="31"/>
  <c r="T81" i="31" s="1"/>
  <c r="E80" i="31"/>
  <c r="I69" i="31"/>
  <c r="E69" i="31" s="1"/>
  <c r="I67" i="31"/>
  <c r="E67" i="31" s="1"/>
  <c r="I66" i="31"/>
  <c r="E66" i="31" s="1"/>
  <c r="I65" i="31"/>
  <c r="E65" i="31" s="1"/>
  <c r="E64" i="31"/>
  <c r="T64" i="31" s="1"/>
  <c r="I63" i="31"/>
  <c r="E71" i="31"/>
  <c r="E61" i="31"/>
  <c r="F58" i="31"/>
  <c r="G58" i="31"/>
  <c r="H58" i="31"/>
  <c r="J58" i="31"/>
  <c r="K58" i="31"/>
  <c r="L58" i="31"/>
  <c r="M58" i="31"/>
  <c r="N58" i="31"/>
  <c r="O58" i="31"/>
  <c r="P58" i="31"/>
  <c r="Q58" i="31"/>
  <c r="R58" i="31"/>
  <c r="S58" i="31"/>
  <c r="S44" i="31"/>
  <c r="S43" i="31"/>
  <c r="I56" i="31"/>
  <c r="E56" i="31" s="1"/>
  <c r="T56" i="31" s="1"/>
  <c r="I44" i="31"/>
  <c r="I43" i="31"/>
  <c r="I26" i="31" s="1"/>
  <c r="E31" i="31"/>
  <c r="T31" i="31" s="1"/>
  <c r="E29" i="31"/>
  <c r="T29" i="31" s="1"/>
  <c r="E27" i="31"/>
  <c r="T27" i="31" s="1"/>
  <c r="E11" i="31"/>
  <c r="E15" i="31"/>
  <c r="E16" i="31"/>
  <c r="I10" i="31"/>
  <c r="E12" i="31"/>
  <c r="T12" i="31" s="1"/>
  <c r="F10" i="31"/>
  <c r="G10" i="31"/>
  <c r="H10" i="31"/>
  <c r="J10" i="31"/>
  <c r="K10" i="31"/>
  <c r="L10" i="31"/>
  <c r="M10" i="31"/>
  <c r="N10" i="31"/>
  <c r="O10" i="31"/>
  <c r="P10" i="31"/>
  <c r="Q10" i="31"/>
  <c r="R10" i="31"/>
  <c r="E9" i="31"/>
  <c r="T9" i="31" s="1"/>
  <c r="T7" i="31" s="1"/>
  <c r="D8" i="31"/>
  <c r="F7" i="31"/>
  <c r="G7" i="31"/>
  <c r="J7" i="31"/>
  <c r="K7" i="31"/>
  <c r="L7" i="31"/>
  <c r="M7" i="31"/>
  <c r="N7" i="31"/>
  <c r="O7" i="31"/>
  <c r="P7" i="31"/>
  <c r="Q7" i="31"/>
  <c r="R7" i="31"/>
  <c r="S7" i="31"/>
  <c r="G137" i="27"/>
  <c r="H137" i="27"/>
  <c r="I137" i="27"/>
  <c r="J137" i="27"/>
  <c r="K137" i="27"/>
  <c r="F136" i="27"/>
  <c r="F135" i="27"/>
  <c r="F134" i="27"/>
  <c r="E137" i="27"/>
  <c r="F39" i="27"/>
  <c r="G39" i="27"/>
  <c r="H39" i="27"/>
  <c r="I39" i="27"/>
  <c r="K39" i="27"/>
  <c r="F126" i="27"/>
  <c r="G126" i="27"/>
  <c r="H126" i="27"/>
  <c r="I126" i="27"/>
  <c r="F124" i="27"/>
  <c r="G124" i="27"/>
  <c r="G128" i="27" s="1"/>
  <c r="H124" i="27"/>
  <c r="I124" i="27"/>
  <c r="K124" i="27"/>
  <c r="J126" i="27"/>
  <c r="J125" i="27"/>
  <c r="J124" i="27" s="1"/>
  <c r="F30" i="27"/>
  <c r="F29" i="27"/>
  <c r="F28" i="27" s="1"/>
  <c r="J42" i="27"/>
  <c r="J41" i="27"/>
  <c r="J39" i="27" s="1"/>
  <c r="J27" i="27"/>
  <c r="J22" i="27"/>
  <c r="J16" i="27"/>
  <c r="J15" i="27"/>
  <c r="J14" i="27"/>
  <c r="J13" i="27"/>
  <c r="J12" i="27"/>
  <c r="J11" i="27" s="1"/>
  <c r="J10" i="27"/>
  <c r="J9" i="27" s="1"/>
  <c r="J8" i="27"/>
  <c r="J7" i="27" s="1"/>
  <c r="K7" i="27"/>
  <c r="K9" i="27"/>
  <c r="K11" i="27"/>
  <c r="K22" i="27"/>
  <c r="K24" i="27"/>
  <c r="G28" i="27"/>
  <c r="H28" i="27"/>
  <c r="I28" i="27"/>
  <c r="J28" i="27"/>
  <c r="K28" i="27"/>
  <c r="F24" i="27"/>
  <c r="G24" i="27"/>
  <c r="H24" i="27"/>
  <c r="F22" i="27"/>
  <c r="G22" i="27"/>
  <c r="H22" i="27"/>
  <c r="F11" i="27"/>
  <c r="G11" i="27"/>
  <c r="H11" i="27"/>
  <c r="F9" i="27"/>
  <c r="G9" i="27"/>
  <c r="H9" i="27"/>
  <c r="F7" i="27"/>
  <c r="G7" i="27"/>
  <c r="H7" i="27"/>
  <c r="E7" i="27"/>
  <c r="J128" i="27" l="1"/>
  <c r="E58" i="31"/>
  <c r="T61" i="31"/>
  <c r="E63" i="31"/>
  <c r="T11" i="31"/>
  <c r="X11" i="31"/>
  <c r="P141" i="31"/>
  <c r="L141" i="31"/>
  <c r="F141" i="31"/>
  <c r="K141" i="31"/>
  <c r="O141" i="31"/>
  <c r="O185" i="31" s="1"/>
  <c r="M141" i="31"/>
  <c r="N141" i="31"/>
  <c r="J141" i="31"/>
  <c r="Q141" i="31"/>
  <c r="E95" i="31"/>
  <c r="T95" i="31" s="1"/>
  <c r="G79" i="31"/>
  <c r="G141" i="31" s="1"/>
  <c r="E183" i="31"/>
  <c r="E163" i="31"/>
  <c r="M9" i="24"/>
  <c r="Q18" i="43"/>
  <c r="E148" i="31"/>
  <c r="T148" i="31" s="1"/>
  <c r="E167" i="31"/>
  <c r="E155" i="31"/>
  <c r="E103" i="31"/>
  <c r="G66" i="118"/>
  <c r="D9" i="24"/>
  <c r="E162" i="31"/>
  <c r="H128" i="27"/>
  <c r="E159" i="31"/>
  <c r="E15" i="24"/>
  <c r="N15" i="24" s="1"/>
  <c r="F128" i="27"/>
  <c r="E23" i="24"/>
  <c r="N23" i="24" s="1"/>
  <c r="E166" i="31"/>
  <c r="E172" i="31"/>
  <c r="E175" i="31"/>
  <c r="S10" i="31"/>
  <c r="E177" i="31"/>
  <c r="T177" i="31" s="1"/>
  <c r="E13" i="31"/>
  <c r="E17" i="31"/>
  <c r="T17" i="31" s="1"/>
  <c r="E146" i="31"/>
  <c r="T146" i="31" s="1"/>
  <c r="E160" i="31"/>
  <c r="T160" i="31" s="1"/>
  <c r="E150" i="31"/>
  <c r="T150" i="31" s="1"/>
  <c r="E169" i="31"/>
  <c r="E89" i="31"/>
  <c r="T89" i="31" s="1"/>
  <c r="E97" i="31"/>
  <c r="T97" i="31" s="1"/>
  <c r="K142" i="31"/>
  <c r="K184" i="31" s="1"/>
  <c r="E13" i="24"/>
  <c r="S26" i="31"/>
  <c r="E90" i="31"/>
  <c r="E99" i="31"/>
  <c r="T99" i="31" s="1"/>
  <c r="E151" i="31"/>
  <c r="T151" i="31" s="1"/>
  <c r="E149" i="31"/>
  <c r="T149" i="31" s="1"/>
  <c r="I7" i="31"/>
  <c r="Q185" i="31"/>
  <c r="E106" i="31"/>
  <c r="T106" i="31" s="1"/>
  <c r="E161" i="31"/>
  <c r="E165" i="31"/>
  <c r="E170" i="31"/>
  <c r="E176" i="31"/>
  <c r="T176" i="31" s="1"/>
  <c r="H139" i="27"/>
  <c r="H144" i="27" s="1"/>
  <c r="G139" i="27"/>
  <c r="G144" i="27" s="1"/>
  <c r="E43" i="31"/>
  <c r="F137" i="27"/>
  <c r="F139" i="27" s="1"/>
  <c r="F144" i="27" s="1"/>
  <c r="E54" i="31"/>
  <c r="T54" i="31" s="1"/>
  <c r="E30" i="31"/>
  <c r="T30" i="31" s="1"/>
  <c r="E45" i="31"/>
  <c r="T45" i="31" s="1"/>
  <c r="E44" i="31"/>
  <c r="E157" i="31"/>
  <c r="T157" i="31" s="1"/>
  <c r="G142" i="31"/>
  <c r="G184" i="31" s="1"/>
  <c r="E28" i="31"/>
  <c r="I128" i="27"/>
  <c r="E10" i="31" l="1"/>
  <c r="E7" i="31"/>
  <c r="E9" i="24"/>
  <c r="E26" i="31"/>
  <c r="T13" i="31"/>
  <c r="K185" i="31"/>
  <c r="N13" i="24"/>
  <c r="N9" i="24" s="1"/>
  <c r="G185" i="31"/>
  <c r="T28" i="31"/>
  <c r="F20" i="26"/>
  <c r="F19" i="26" s="1"/>
  <c r="G20" i="26"/>
  <c r="G19" i="26" s="1"/>
  <c r="H20" i="26"/>
  <c r="H19" i="26" s="1"/>
  <c r="H22" i="26" s="1"/>
  <c r="I20" i="26"/>
  <c r="I19" i="26" s="1"/>
  <c r="J20" i="26"/>
  <c r="J19" i="26" s="1"/>
  <c r="E20" i="26"/>
  <c r="E19" i="26" s="1"/>
  <c r="L21" i="26"/>
  <c r="K21" i="26"/>
  <c r="K14" i="26"/>
  <c r="K13" i="26"/>
  <c r="K11" i="26"/>
  <c r="K8" i="26"/>
  <c r="K9" i="26"/>
  <c r="K10" i="26"/>
  <c r="K12" i="26"/>
  <c r="L13" i="26"/>
  <c r="L14" i="26"/>
  <c r="L12" i="26"/>
  <c r="J9" i="26"/>
  <c r="L9" i="26" s="1"/>
  <c r="J8" i="26"/>
  <c r="J7" i="26" s="1"/>
  <c r="F11" i="26"/>
  <c r="L11" i="26" s="1"/>
  <c r="F10" i="26"/>
  <c r="F7" i="26" s="1"/>
  <c r="L7" i="26" l="1"/>
  <c r="J22" i="26"/>
  <c r="L8" i="26"/>
  <c r="F22" i="26"/>
  <c r="L10" i="26"/>
  <c r="L19" i="26"/>
  <c r="K19" i="26"/>
  <c r="K20" i="26"/>
  <c r="L20" i="26"/>
  <c r="I11" i="41"/>
  <c r="I11" i="43" s="1"/>
  <c r="I13" i="41"/>
  <c r="I13" i="43" s="1"/>
  <c r="I14" i="41"/>
  <c r="I14" i="43" s="1"/>
  <c r="I15" i="41"/>
  <c r="I15" i="43" s="1"/>
  <c r="I17" i="41"/>
  <c r="I17" i="43" s="1"/>
  <c r="I19" i="41"/>
  <c r="I19" i="43" s="1"/>
  <c r="I22" i="41"/>
  <c r="I22" i="43" s="1"/>
  <c r="I23" i="41"/>
  <c r="I23" i="43" s="1"/>
  <c r="I24" i="41"/>
  <c r="I24" i="43" s="1"/>
  <c r="I25" i="41"/>
  <c r="I25" i="43" s="1"/>
  <c r="I26" i="41"/>
  <c r="I26" i="43" s="1"/>
  <c r="I30" i="41"/>
  <c r="I30" i="43" s="1"/>
  <c r="I31" i="41"/>
  <c r="I31" i="43" s="1"/>
  <c r="I33" i="41"/>
  <c r="I33" i="43" s="1"/>
  <c r="I34" i="41"/>
  <c r="I34" i="43" s="1"/>
  <c r="I35" i="41"/>
  <c r="I35" i="43" s="1"/>
  <c r="I36" i="41"/>
  <c r="I36" i="43" s="1"/>
  <c r="I39" i="41"/>
  <c r="I39" i="43" s="1"/>
  <c r="I40" i="41"/>
  <c r="I40" i="43" s="1"/>
  <c r="I41" i="41"/>
  <c r="I41" i="43" s="1"/>
  <c r="I42" i="41"/>
  <c r="I42" i="43" s="1"/>
  <c r="I43" i="41"/>
  <c r="I43" i="43" s="1"/>
  <c r="I44" i="41"/>
  <c r="I44" i="43" s="1"/>
  <c r="I45" i="41"/>
  <c r="I45" i="43" s="1"/>
  <c r="I50" i="41"/>
  <c r="I50" i="43" s="1"/>
  <c r="H8" i="41"/>
  <c r="I8" i="41"/>
  <c r="I8" i="43" s="1"/>
  <c r="L22" i="26" l="1"/>
  <c r="Q10" i="43" s="1"/>
  <c r="H9" i="41"/>
  <c r="H11" i="41"/>
  <c r="H13" i="41"/>
  <c r="H14" i="41"/>
  <c r="H15" i="41"/>
  <c r="H17" i="41"/>
  <c r="H19" i="41"/>
  <c r="H22" i="41"/>
  <c r="H23" i="41"/>
  <c r="H24" i="41"/>
  <c r="H25" i="41"/>
  <c r="H26" i="41"/>
  <c r="H30" i="41"/>
  <c r="H31" i="41"/>
  <c r="H33" i="41"/>
  <c r="H34" i="41"/>
  <c r="H35" i="41"/>
  <c r="H36" i="41"/>
  <c r="H39" i="41"/>
  <c r="H40" i="41"/>
  <c r="H41" i="41"/>
  <c r="H42" i="41"/>
  <c r="H43" i="41"/>
  <c r="H44" i="41"/>
  <c r="H45" i="41"/>
  <c r="H49" i="41"/>
  <c r="H50" i="41"/>
  <c r="G11" i="41"/>
  <c r="G13" i="41"/>
  <c r="G14" i="41"/>
  <c r="G15" i="41"/>
  <c r="G17" i="41"/>
  <c r="G18" i="41"/>
  <c r="G19" i="41"/>
  <c r="G22" i="41"/>
  <c r="G23" i="41"/>
  <c r="G24" i="41"/>
  <c r="G25" i="41"/>
  <c r="G26" i="41"/>
  <c r="G30" i="41"/>
  <c r="G31" i="41"/>
  <c r="G32" i="41"/>
  <c r="G34" i="41"/>
  <c r="G35" i="41"/>
  <c r="G36" i="41"/>
  <c r="G39" i="41"/>
  <c r="G40" i="41"/>
  <c r="G41" i="41"/>
  <c r="G42" i="41"/>
  <c r="G43" i="41"/>
  <c r="G44" i="41"/>
  <c r="G45" i="41"/>
  <c r="G50" i="41"/>
  <c r="K50" i="41" s="1"/>
  <c r="F9" i="41"/>
  <c r="F11" i="41"/>
  <c r="F13" i="41"/>
  <c r="F14" i="41"/>
  <c r="F15" i="41"/>
  <c r="F17" i="41"/>
  <c r="F18" i="41"/>
  <c r="F19" i="41"/>
  <c r="F22" i="41"/>
  <c r="F23" i="41"/>
  <c r="F24" i="41"/>
  <c r="F25" i="41"/>
  <c r="F26" i="41"/>
  <c r="F30" i="41"/>
  <c r="F31" i="41"/>
  <c r="F32" i="41"/>
  <c r="F33" i="41"/>
  <c r="F34" i="41"/>
  <c r="F35" i="41"/>
  <c r="F36" i="41"/>
  <c r="F39" i="41"/>
  <c r="F40" i="41"/>
  <c r="F41" i="41"/>
  <c r="F42" i="41"/>
  <c r="F43" i="41"/>
  <c r="F44" i="41"/>
  <c r="F45" i="41"/>
  <c r="F49" i="41"/>
  <c r="F50" i="41"/>
  <c r="F8" i="41"/>
  <c r="K11" i="41"/>
  <c r="K13" i="41"/>
  <c r="K14" i="41"/>
  <c r="K17" i="41"/>
  <c r="K23" i="41"/>
  <c r="K24" i="41"/>
  <c r="K15" i="41" l="1"/>
  <c r="K39" i="41"/>
  <c r="K44" i="41"/>
  <c r="K31" i="41"/>
  <c r="K35" i="41"/>
  <c r="K26" i="41"/>
  <c r="K22" i="41"/>
  <c r="K45" i="41"/>
  <c r="K36" i="41"/>
  <c r="K34" i="41"/>
  <c r="K25" i="41"/>
  <c r="D11" i="41"/>
  <c r="D13" i="41"/>
  <c r="D14" i="41"/>
  <c r="D15" i="41"/>
  <c r="D17" i="41"/>
  <c r="D22" i="41"/>
  <c r="D23" i="41"/>
  <c r="D24" i="41"/>
  <c r="D25" i="41"/>
  <c r="D26" i="41"/>
  <c r="D31" i="41"/>
  <c r="D34" i="41"/>
  <c r="D35" i="41"/>
  <c r="D36" i="41"/>
  <c r="D39" i="41"/>
  <c r="D41" i="41"/>
  <c r="D44" i="41"/>
  <c r="D45" i="41"/>
  <c r="D49" i="41"/>
  <c r="D50" i="41"/>
  <c r="Q12" i="74"/>
  <c r="Q14" i="74"/>
  <c r="Q15" i="74"/>
  <c r="Q16" i="74"/>
  <c r="Q18" i="74"/>
  <c r="Q19" i="74"/>
  <c r="Q20" i="74"/>
  <c r="Q23" i="74"/>
  <c r="Q24" i="74"/>
  <c r="Q25" i="74"/>
  <c r="Q26" i="74"/>
  <c r="Q27" i="74"/>
  <c r="Q31" i="74"/>
  <c r="Q32" i="74"/>
  <c r="Q33" i="74"/>
  <c r="Q34" i="74"/>
  <c r="Q35" i="74"/>
  <c r="Q36" i="74"/>
  <c r="Q37" i="74"/>
  <c r="Q40" i="74"/>
  <c r="Q45" i="74"/>
  <c r="Q46" i="74"/>
  <c r="Q51" i="74"/>
  <c r="Q9" i="74"/>
  <c r="O47" i="74"/>
  <c r="O49" i="74" s="1"/>
  <c r="O48" i="74"/>
  <c r="O38" i="74"/>
  <c r="O39" i="74"/>
  <c r="O29" i="74"/>
  <c r="O22" i="74"/>
  <c r="O13" i="74"/>
  <c r="O21" i="74" s="1"/>
  <c r="M47" i="74"/>
  <c r="M48" i="74"/>
  <c r="M38" i="74"/>
  <c r="M39" i="74"/>
  <c r="M29" i="74"/>
  <c r="M22" i="74"/>
  <c r="M13" i="74"/>
  <c r="M21" i="74" s="1"/>
  <c r="K47" i="74"/>
  <c r="K48" i="74"/>
  <c r="K38" i="74"/>
  <c r="K39" i="74"/>
  <c r="K29" i="74"/>
  <c r="K22" i="74"/>
  <c r="K13" i="74"/>
  <c r="I47" i="74"/>
  <c r="I48" i="74"/>
  <c r="I38" i="74"/>
  <c r="I39" i="74"/>
  <c r="I22" i="74"/>
  <c r="I13" i="74"/>
  <c r="G48" i="74"/>
  <c r="G39" i="74"/>
  <c r="G38" i="74"/>
  <c r="G22" i="74"/>
  <c r="G13" i="74"/>
  <c r="E42" i="74"/>
  <c r="Q42" i="74" s="1"/>
  <c r="E38" i="74"/>
  <c r="E29" i="74"/>
  <c r="E22" i="74"/>
  <c r="E13" i="74"/>
  <c r="E21" i="74" s="1"/>
  <c r="S12" i="73"/>
  <c r="S14" i="73"/>
  <c r="S15" i="73"/>
  <c r="S16" i="73"/>
  <c r="S18" i="73"/>
  <c r="S19" i="73"/>
  <c r="S20" i="73"/>
  <c r="S23" i="73"/>
  <c r="S24" i="73"/>
  <c r="S25" i="73"/>
  <c r="S26" i="73"/>
  <c r="S27" i="73"/>
  <c r="S31" i="73"/>
  <c r="S32" i="73"/>
  <c r="S33" i="73"/>
  <c r="S34" i="73"/>
  <c r="S35" i="73"/>
  <c r="S36" i="73"/>
  <c r="S37" i="73"/>
  <c r="S40" i="73"/>
  <c r="S42" i="73"/>
  <c r="S45" i="73"/>
  <c r="S46" i="73"/>
  <c r="Q47" i="73"/>
  <c r="Q48" i="73"/>
  <c r="Q38" i="73"/>
  <c r="Q39" i="73"/>
  <c r="Q29" i="73"/>
  <c r="Q22" i="73"/>
  <c r="Q13" i="73"/>
  <c r="Q21" i="73" s="1"/>
  <c r="O47" i="73"/>
  <c r="O48" i="73"/>
  <c r="O38" i="73"/>
  <c r="O39" i="73"/>
  <c r="O29" i="73"/>
  <c r="O22" i="73"/>
  <c r="O13" i="73"/>
  <c r="M47" i="73"/>
  <c r="M48" i="73"/>
  <c r="M38" i="73"/>
  <c r="M39" i="73"/>
  <c r="M29" i="73"/>
  <c r="M22" i="73"/>
  <c r="M13" i="73"/>
  <c r="M28" i="73" s="1"/>
  <c r="K47" i="73"/>
  <c r="K48" i="73"/>
  <c r="K38" i="73"/>
  <c r="K39" i="73"/>
  <c r="K22" i="73"/>
  <c r="K13" i="73"/>
  <c r="K11" i="73"/>
  <c r="I47" i="73"/>
  <c r="I48" i="73"/>
  <c r="I39" i="73"/>
  <c r="I38" i="73"/>
  <c r="I22" i="73"/>
  <c r="I13" i="73"/>
  <c r="G50" i="73"/>
  <c r="S50" i="73" s="1"/>
  <c r="G48" i="73"/>
  <c r="G39" i="73"/>
  <c r="G38" i="73"/>
  <c r="G22" i="73"/>
  <c r="G13" i="73"/>
  <c r="E38" i="73"/>
  <c r="E29" i="73"/>
  <c r="E22" i="73"/>
  <c r="E13" i="73"/>
  <c r="E11" i="73"/>
  <c r="M49" i="74" l="1"/>
  <c r="S13" i="73"/>
  <c r="K28" i="73"/>
  <c r="I49" i="74"/>
  <c r="Q22" i="74"/>
  <c r="E28" i="73"/>
  <c r="E30" i="73" s="1"/>
  <c r="O28" i="74"/>
  <c r="O30" i="74" s="1"/>
  <c r="M49" i="73"/>
  <c r="Q28" i="73"/>
  <c r="Q30" i="73" s="1"/>
  <c r="K28" i="74"/>
  <c r="K30" i="74" s="1"/>
  <c r="K49" i="73"/>
  <c r="S22" i="73"/>
  <c r="M30" i="73"/>
  <c r="Q50" i="74"/>
  <c r="K49" i="74"/>
  <c r="Q38" i="74"/>
  <c r="E21" i="73"/>
  <c r="Q49" i="73"/>
  <c r="M28" i="74"/>
  <c r="M30" i="74" s="1"/>
  <c r="M21" i="73"/>
  <c r="K21" i="74"/>
  <c r="I49" i="73"/>
  <c r="O49" i="73"/>
  <c r="Q13" i="74"/>
  <c r="S38" i="73"/>
  <c r="E28" i="74"/>
  <c r="E30" i="74" s="1"/>
  <c r="G47" i="74"/>
  <c r="G49" i="74" s="1"/>
  <c r="G47" i="73"/>
  <c r="G49" i="73" s="1"/>
  <c r="U48" i="35"/>
  <c r="U39" i="35"/>
  <c r="W34" i="35"/>
  <c r="U29" i="35"/>
  <c r="U22" i="35"/>
  <c r="U13" i="35"/>
  <c r="Q47" i="35"/>
  <c r="Q48" i="35"/>
  <c r="Q38" i="35"/>
  <c r="Q39" i="35"/>
  <c r="Q22" i="35"/>
  <c r="Q13" i="35"/>
  <c r="Q28" i="35" s="1"/>
  <c r="O47" i="35"/>
  <c r="O48" i="35"/>
  <c r="O38" i="35"/>
  <c r="O39" i="35"/>
  <c r="O29" i="35"/>
  <c r="O22" i="35"/>
  <c r="O13" i="35"/>
  <c r="O28" i="35" s="1"/>
  <c r="O30" i="35" s="1"/>
  <c r="M47" i="35"/>
  <c r="M49" i="35" s="1"/>
  <c r="M48" i="35"/>
  <c r="M38" i="35"/>
  <c r="M39" i="35"/>
  <c r="M29" i="35"/>
  <c r="M22" i="35"/>
  <c r="M13" i="35"/>
  <c r="M10" i="35"/>
  <c r="M9" i="35"/>
  <c r="K50" i="35"/>
  <c r="W50" i="35" s="1"/>
  <c r="K48" i="35"/>
  <c r="K38" i="35"/>
  <c r="K39" i="35"/>
  <c r="K47" i="35"/>
  <c r="K22" i="35"/>
  <c r="K13" i="35"/>
  <c r="I47" i="35"/>
  <c r="I48" i="35"/>
  <c r="I38" i="35"/>
  <c r="I39" i="35"/>
  <c r="I29" i="35"/>
  <c r="I22" i="35"/>
  <c r="I13" i="35"/>
  <c r="I21" i="35" s="1"/>
  <c r="G47" i="35"/>
  <c r="G48" i="35"/>
  <c r="G38" i="35"/>
  <c r="G39" i="35"/>
  <c r="G29" i="35"/>
  <c r="G22" i="35"/>
  <c r="G13" i="35"/>
  <c r="G21" i="35" s="1"/>
  <c r="W42" i="35"/>
  <c r="E38" i="35"/>
  <c r="E29" i="35"/>
  <c r="E22" i="35"/>
  <c r="E13" i="35"/>
  <c r="E28" i="35" s="1"/>
  <c r="M48" i="40"/>
  <c r="M39" i="40"/>
  <c r="M47" i="40"/>
  <c r="M22" i="40"/>
  <c r="M50" i="40"/>
  <c r="AQ47" i="40"/>
  <c r="AQ48" i="40"/>
  <c r="AQ38" i="40"/>
  <c r="AQ39" i="40"/>
  <c r="AQ29" i="40"/>
  <c r="AQ22" i="40"/>
  <c r="AQ13" i="40"/>
  <c r="AM47" i="40"/>
  <c r="AM49" i="40" s="1"/>
  <c r="AM48" i="40"/>
  <c r="AM38" i="40"/>
  <c r="AM39" i="40"/>
  <c r="AM29" i="40"/>
  <c r="AM22" i="40"/>
  <c r="AM13" i="40"/>
  <c r="AM28" i="40"/>
  <c r="AK47" i="40"/>
  <c r="AK49" i="40" s="1"/>
  <c r="AK48" i="40"/>
  <c r="AK38" i="40"/>
  <c r="AK39" i="40"/>
  <c r="AK29" i="40"/>
  <c r="AK22" i="40"/>
  <c r="AK13" i="40"/>
  <c r="AK28" i="40" s="1"/>
  <c r="AI47" i="40"/>
  <c r="AI48" i="40"/>
  <c r="AI38" i="40"/>
  <c r="AI39" i="40"/>
  <c r="AI29" i="40"/>
  <c r="AI22" i="40"/>
  <c r="AI13" i="40"/>
  <c r="AG47" i="40"/>
  <c r="AG48" i="40"/>
  <c r="AG38" i="40"/>
  <c r="AG39" i="40"/>
  <c r="AG29" i="40"/>
  <c r="AG22" i="40"/>
  <c r="AG13" i="40"/>
  <c r="AE50" i="40"/>
  <c r="AE47" i="40"/>
  <c r="AE48" i="40"/>
  <c r="AE38" i="40"/>
  <c r="AE39" i="40"/>
  <c r="AE22" i="40"/>
  <c r="AE13" i="40"/>
  <c r="AC47" i="40"/>
  <c r="AC49" i="40" s="1"/>
  <c r="AC48" i="40"/>
  <c r="AC38" i="40"/>
  <c r="AC39" i="40"/>
  <c r="AC29" i="40"/>
  <c r="AC22" i="40"/>
  <c r="AC13" i="40"/>
  <c r="AA50" i="40"/>
  <c r="AA48" i="40"/>
  <c r="AA39" i="40"/>
  <c r="AA22" i="40"/>
  <c r="AA13" i="40"/>
  <c r="Y50" i="40"/>
  <c r="Y48" i="40"/>
  <c r="Y39" i="40"/>
  <c r="Y22" i="40"/>
  <c r="Y13" i="40"/>
  <c r="W50" i="40"/>
  <c r="W47" i="40"/>
  <c r="W48" i="40"/>
  <c r="W38" i="40"/>
  <c r="W39" i="40"/>
  <c r="W22" i="40"/>
  <c r="W13" i="40"/>
  <c r="G8" i="41"/>
  <c r="U50" i="40"/>
  <c r="U47" i="40"/>
  <c r="U48" i="40"/>
  <c r="U38" i="40"/>
  <c r="U39" i="40"/>
  <c r="U22" i="40"/>
  <c r="U13" i="40"/>
  <c r="S50" i="40"/>
  <c r="S47" i="40"/>
  <c r="S48" i="40"/>
  <c r="S38" i="40"/>
  <c r="S39" i="40"/>
  <c r="S13" i="40"/>
  <c r="S10" i="40"/>
  <c r="Q47" i="40"/>
  <c r="Q48" i="40"/>
  <c r="Q38" i="40"/>
  <c r="Q39" i="40"/>
  <c r="Q22" i="40"/>
  <c r="Q13" i="40"/>
  <c r="O47" i="40"/>
  <c r="O48" i="40"/>
  <c r="O38" i="40"/>
  <c r="O39" i="40"/>
  <c r="O22" i="40"/>
  <c r="K50" i="40"/>
  <c r="K48" i="40"/>
  <c r="G47" i="41" s="1"/>
  <c r="K39" i="40"/>
  <c r="G33" i="41"/>
  <c r="K22" i="40"/>
  <c r="G21" i="41" s="1"/>
  <c r="K13" i="40"/>
  <c r="G9" i="41"/>
  <c r="I50" i="40"/>
  <c r="I48" i="40"/>
  <c r="I39" i="40"/>
  <c r="I38" i="40"/>
  <c r="I22" i="40"/>
  <c r="I13" i="40"/>
  <c r="G50" i="40"/>
  <c r="AS50" i="40" s="1"/>
  <c r="G48" i="40"/>
  <c r="G39" i="40"/>
  <c r="G38" i="40"/>
  <c r="G22" i="40"/>
  <c r="G13" i="40"/>
  <c r="E38" i="40"/>
  <c r="E29" i="40"/>
  <c r="E22" i="40"/>
  <c r="AS22" i="40" s="1"/>
  <c r="E13" i="40"/>
  <c r="AS13" i="40" s="1"/>
  <c r="E11" i="40"/>
  <c r="S12" i="39"/>
  <c r="S14" i="39"/>
  <c r="S15" i="39"/>
  <c r="S16" i="39"/>
  <c r="S18" i="39"/>
  <c r="S19" i="39"/>
  <c r="S20" i="39"/>
  <c r="S23" i="39"/>
  <c r="S24" i="39"/>
  <c r="S25" i="39"/>
  <c r="S26" i="39"/>
  <c r="S27" i="39"/>
  <c r="S31" i="39"/>
  <c r="S32" i="39"/>
  <c r="S33" i="39"/>
  <c r="S34" i="39"/>
  <c r="S35" i="39"/>
  <c r="S36" i="39"/>
  <c r="S37" i="39"/>
  <c r="S40" i="39"/>
  <c r="S42" i="39"/>
  <c r="S45" i="39"/>
  <c r="S46" i="39"/>
  <c r="S51" i="39"/>
  <c r="S9" i="39"/>
  <c r="Q47" i="39"/>
  <c r="Q48" i="39"/>
  <c r="Q38" i="39"/>
  <c r="Q39" i="39"/>
  <c r="Q29" i="39"/>
  <c r="Q22" i="39"/>
  <c r="Q13" i="39"/>
  <c r="O47" i="39"/>
  <c r="O48" i="39"/>
  <c r="O38" i="39"/>
  <c r="O39" i="39"/>
  <c r="O22" i="39"/>
  <c r="O28" i="39"/>
  <c r="M47" i="39"/>
  <c r="M48" i="39"/>
  <c r="M38" i="39"/>
  <c r="M39" i="39"/>
  <c r="M29" i="39"/>
  <c r="M22" i="39"/>
  <c r="M13" i="39"/>
  <c r="M11" i="39"/>
  <c r="K47" i="39"/>
  <c r="K48" i="39"/>
  <c r="K38" i="39"/>
  <c r="K39" i="39"/>
  <c r="K22" i="39"/>
  <c r="K13" i="39"/>
  <c r="K11" i="39"/>
  <c r="I47" i="39"/>
  <c r="I48" i="39"/>
  <c r="I38" i="39"/>
  <c r="I39" i="39"/>
  <c r="I29" i="39"/>
  <c r="I22" i="39"/>
  <c r="I13" i="39"/>
  <c r="I21" i="39" s="1"/>
  <c r="G50" i="39"/>
  <c r="S50" i="39" s="1"/>
  <c r="G47" i="39"/>
  <c r="G48" i="39"/>
  <c r="G38" i="39"/>
  <c r="G39" i="39"/>
  <c r="G22" i="39"/>
  <c r="G13" i="39"/>
  <c r="E38" i="39"/>
  <c r="E29" i="39"/>
  <c r="E22" i="39"/>
  <c r="S22" i="39" s="1"/>
  <c r="E13" i="39"/>
  <c r="S13" i="39" s="1"/>
  <c r="O12" i="36"/>
  <c r="O14" i="36"/>
  <c r="O15" i="36"/>
  <c r="O16" i="36"/>
  <c r="O18" i="36"/>
  <c r="O19" i="36"/>
  <c r="O20" i="36"/>
  <c r="O23" i="36"/>
  <c r="O24" i="36"/>
  <c r="O25" i="36"/>
  <c r="O26" i="36"/>
  <c r="O27" i="36"/>
  <c r="O31" i="36"/>
  <c r="O32" i="36"/>
  <c r="O33" i="36"/>
  <c r="O35" i="36"/>
  <c r="O36" i="36"/>
  <c r="O37" i="36"/>
  <c r="O40" i="36"/>
  <c r="O45" i="36"/>
  <c r="O46" i="36"/>
  <c r="M48" i="36"/>
  <c r="M39" i="36"/>
  <c r="M29" i="36"/>
  <c r="M22" i="36"/>
  <c r="M13" i="36"/>
  <c r="M28" i="36" s="1"/>
  <c r="K50" i="36"/>
  <c r="K47" i="36"/>
  <c r="K48" i="36"/>
  <c r="K38" i="36"/>
  <c r="K39" i="36"/>
  <c r="K22" i="36"/>
  <c r="K13" i="36"/>
  <c r="I50" i="36"/>
  <c r="I47" i="36"/>
  <c r="I48" i="36"/>
  <c r="I38" i="36"/>
  <c r="I39" i="36"/>
  <c r="I22" i="36"/>
  <c r="I13" i="36"/>
  <c r="L13" i="36"/>
  <c r="L21" i="36" s="1"/>
  <c r="L22" i="36"/>
  <c r="L29" i="36"/>
  <c r="L34" i="36"/>
  <c r="L39" i="36"/>
  <c r="L48" i="36"/>
  <c r="G50" i="36"/>
  <c r="G48" i="36"/>
  <c r="G39" i="36"/>
  <c r="G38" i="36"/>
  <c r="G22" i="36"/>
  <c r="G13" i="36"/>
  <c r="E42" i="36"/>
  <c r="E41" i="41" s="1"/>
  <c r="E38" i="36"/>
  <c r="E29" i="36"/>
  <c r="E22" i="36"/>
  <c r="E13" i="36"/>
  <c r="Q12" i="38"/>
  <c r="Q14" i="38"/>
  <c r="Q15" i="38"/>
  <c r="Q16" i="38"/>
  <c r="Q18" i="38"/>
  <c r="Q19" i="38"/>
  <c r="Q20" i="38"/>
  <c r="Q23" i="38"/>
  <c r="Q24" i="38"/>
  <c r="Q25" i="38"/>
  <c r="Q26" i="38"/>
  <c r="Q27" i="38"/>
  <c r="Q31" i="38"/>
  <c r="Q32" i="38"/>
  <c r="Q33" i="38"/>
  <c r="Q34" i="38"/>
  <c r="Q35" i="38"/>
  <c r="Q36" i="38"/>
  <c r="Q37" i="38"/>
  <c r="Q40" i="38"/>
  <c r="Q42" i="38"/>
  <c r="Q45" i="38"/>
  <c r="Q46" i="38"/>
  <c r="Q51" i="38"/>
  <c r="Q9" i="38"/>
  <c r="O47" i="38"/>
  <c r="O48" i="38"/>
  <c r="O38" i="38"/>
  <c r="O39" i="38"/>
  <c r="O29" i="38"/>
  <c r="O22" i="38"/>
  <c r="O13" i="38"/>
  <c r="O28" i="38" s="1"/>
  <c r="M47" i="38"/>
  <c r="M48" i="38"/>
  <c r="M38" i="38"/>
  <c r="M39" i="38"/>
  <c r="M29" i="38"/>
  <c r="M22" i="38"/>
  <c r="M13" i="38"/>
  <c r="M21" i="38" s="1"/>
  <c r="K47" i="38"/>
  <c r="K48" i="38"/>
  <c r="K38" i="38"/>
  <c r="K39" i="38"/>
  <c r="K22" i="38"/>
  <c r="K13" i="38"/>
  <c r="K28" i="38" s="1"/>
  <c r="I50" i="38"/>
  <c r="Q50" i="38" s="1"/>
  <c r="I47" i="38"/>
  <c r="I48" i="38"/>
  <c r="I49" i="38" s="1"/>
  <c r="I38" i="38"/>
  <c r="I39" i="38"/>
  <c r="I22" i="38"/>
  <c r="I13" i="38"/>
  <c r="L13" i="38"/>
  <c r="L21" i="38" s="1"/>
  <c r="L22" i="38"/>
  <c r="L29" i="38"/>
  <c r="L38" i="38"/>
  <c r="L39" i="38"/>
  <c r="L47" i="38"/>
  <c r="L48" i="38"/>
  <c r="G47" i="38"/>
  <c r="G48" i="38"/>
  <c r="G38" i="38"/>
  <c r="G39" i="38"/>
  <c r="G22" i="38"/>
  <c r="G13" i="38"/>
  <c r="Q41" i="38"/>
  <c r="E11" i="38"/>
  <c r="E38" i="38"/>
  <c r="E29" i="38"/>
  <c r="E22" i="38"/>
  <c r="E13" i="38"/>
  <c r="S47" i="37"/>
  <c r="S48" i="37"/>
  <c r="S38" i="37"/>
  <c r="S39" i="37"/>
  <c r="S29" i="37"/>
  <c r="S22" i="37"/>
  <c r="S13" i="37"/>
  <c r="S21" i="37" s="1"/>
  <c r="O47" i="37"/>
  <c r="O48" i="37"/>
  <c r="O38" i="37"/>
  <c r="O39" i="37"/>
  <c r="O29" i="37"/>
  <c r="O22" i="37"/>
  <c r="O13" i="37"/>
  <c r="O28" i="37" s="1"/>
  <c r="M47" i="37"/>
  <c r="M48" i="37"/>
  <c r="M38" i="37"/>
  <c r="M39" i="37"/>
  <c r="M29" i="37"/>
  <c r="M22" i="37"/>
  <c r="M13" i="37"/>
  <c r="M28" i="37" s="1"/>
  <c r="K47" i="37"/>
  <c r="K48" i="37"/>
  <c r="K38" i="37"/>
  <c r="K39" i="37"/>
  <c r="K29" i="37"/>
  <c r="K22" i="37"/>
  <c r="K13" i="37"/>
  <c r="K21" i="37" s="1"/>
  <c r="I50" i="37"/>
  <c r="U50" i="37" s="1"/>
  <c r="I47" i="37"/>
  <c r="I48" i="37"/>
  <c r="I38" i="37"/>
  <c r="I39" i="37"/>
  <c r="I22" i="37"/>
  <c r="I13" i="37"/>
  <c r="L13" i="37"/>
  <c r="L21" i="37" s="1"/>
  <c r="L22" i="37"/>
  <c r="L29" i="37"/>
  <c r="L38" i="37"/>
  <c r="L39" i="37"/>
  <c r="L47" i="37"/>
  <c r="L48" i="37"/>
  <c r="G47" i="37"/>
  <c r="G48" i="37"/>
  <c r="G38" i="37"/>
  <c r="G39" i="37"/>
  <c r="G22" i="37"/>
  <c r="G13" i="37"/>
  <c r="E38" i="37"/>
  <c r="E29" i="37"/>
  <c r="E22" i="37"/>
  <c r="U22" i="37" s="1"/>
  <c r="E13" i="37"/>
  <c r="W12" i="34"/>
  <c r="W15" i="34"/>
  <c r="W16" i="34"/>
  <c r="W18" i="34"/>
  <c r="W23" i="34"/>
  <c r="W24" i="34"/>
  <c r="W25" i="34"/>
  <c r="W26" i="34"/>
  <c r="W27" i="34"/>
  <c r="W31" i="34"/>
  <c r="W32" i="34"/>
  <c r="W34" i="34"/>
  <c r="W35" i="34"/>
  <c r="W36" i="34"/>
  <c r="W37" i="34"/>
  <c r="W40" i="34"/>
  <c r="W45" i="34"/>
  <c r="W46" i="34"/>
  <c r="W51" i="34"/>
  <c r="U47" i="34"/>
  <c r="U48" i="34"/>
  <c r="U38" i="34"/>
  <c r="U39" i="34"/>
  <c r="U22" i="34"/>
  <c r="U19" i="34"/>
  <c r="U29" i="34" s="1"/>
  <c r="U13" i="34"/>
  <c r="U21" i="34" s="1"/>
  <c r="S47" i="34"/>
  <c r="S48" i="34"/>
  <c r="S38" i="34"/>
  <c r="S39" i="34"/>
  <c r="S19" i="34"/>
  <c r="S29" i="34" s="1"/>
  <c r="S13" i="34"/>
  <c r="S28" i="34" s="1"/>
  <c r="Q47" i="34"/>
  <c r="Q48" i="34"/>
  <c r="Q38" i="34"/>
  <c r="Q39" i="34"/>
  <c r="Q22" i="34"/>
  <c r="Q19" i="34"/>
  <c r="Q29" i="34" s="1"/>
  <c r="Q13" i="34"/>
  <c r="O47" i="34"/>
  <c r="O48" i="34"/>
  <c r="O38" i="34"/>
  <c r="O39" i="34"/>
  <c r="O22" i="34"/>
  <c r="O19" i="34"/>
  <c r="O29" i="34" s="1"/>
  <c r="O13" i="34"/>
  <c r="O21" i="34" s="1"/>
  <c r="M50" i="34"/>
  <c r="M47" i="34"/>
  <c r="M48" i="34"/>
  <c r="M38" i="34"/>
  <c r="M39" i="34"/>
  <c r="M22" i="34"/>
  <c r="M19" i="34"/>
  <c r="M13" i="34"/>
  <c r="K50" i="34"/>
  <c r="K48" i="34"/>
  <c r="K39" i="34"/>
  <c r="K22" i="34"/>
  <c r="K19" i="34"/>
  <c r="K13" i="34"/>
  <c r="I50" i="34"/>
  <c r="I49" i="41" s="1"/>
  <c r="I49" i="43" s="1"/>
  <c r="I9" i="41"/>
  <c r="I9" i="43" s="1"/>
  <c r="I39" i="34"/>
  <c r="I48" i="34"/>
  <c r="I47" i="41" s="1"/>
  <c r="I47" i="43" s="1"/>
  <c r="I22" i="34"/>
  <c r="I19" i="34"/>
  <c r="I18" i="41" s="1"/>
  <c r="I18" i="43" s="1"/>
  <c r="I13" i="34"/>
  <c r="G50" i="34"/>
  <c r="E49" i="41" s="1"/>
  <c r="G48" i="34"/>
  <c r="G39" i="34"/>
  <c r="G22" i="34"/>
  <c r="G13" i="34"/>
  <c r="E12" i="41" s="1"/>
  <c r="E22" i="34"/>
  <c r="E21" i="41" s="1"/>
  <c r="E29" i="34"/>
  <c r="K49" i="37" l="1"/>
  <c r="G28" i="35"/>
  <c r="Q49" i="34"/>
  <c r="U38" i="37"/>
  <c r="O49" i="39"/>
  <c r="U49" i="40"/>
  <c r="W49" i="40"/>
  <c r="AG49" i="40"/>
  <c r="O30" i="37"/>
  <c r="Q13" i="38"/>
  <c r="O30" i="38"/>
  <c r="M49" i="40"/>
  <c r="Q21" i="34"/>
  <c r="O49" i="37"/>
  <c r="O22" i="36"/>
  <c r="E30" i="34"/>
  <c r="S49" i="37"/>
  <c r="O49" i="38"/>
  <c r="O50" i="36"/>
  <c r="I49" i="39"/>
  <c r="O49" i="35"/>
  <c r="M49" i="37"/>
  <c r="O42" i="36"/>
  <c r="K41" i="41"/>
  <c r="E21" i="40"/>
  <c r="G49" i="35"/>
  <c r="W13" i="34"/>
  <c r="O49" i="34"/>
  <c r="E28" i="37"/>
  <c r="U13" i="37"/>
  <c r="O21" i="38"/>
  <c r="E21" i="35"/>
  <c r="U28" i="34"/>
  <c r="L28" i="37"/>
  <c r="L30" i="37" s="1"/>
  <c r="M21" i="37"/>
  <c r="O13" i="36"/>
  <c r="E21" i="39"/>
  <c r="Q49" i="40"/>
  <c r="AI49" i="40"/>
  <c r="AM30" i="40"/>
  <c r="O28" i="34"/>
  <c r="O30" i="34" s="1"/>
  <c r="I28" i="37"/>
  <c r="S28" i="37"/>
  <c r="S30" i="37" s="1"/>
  <c r="Q22" i="38"/>
  <c r="K49" i="38"/>
  <c r="M28" i="39"/>
  <c r="M30" i="39" s="1"/>
  <c r="Q49" i="39"/>
  <c r="E28" i="40"/>
  <c r="E30" i="40" s="1"/>
  <c r="I47" i="40"/>
  <c r="I49" i="40" s="1"/>
  <c r="AK30" i="40"/>
  <c r="I49" i="36"/>
  <c r="K28" i="39"/>
  <c r="O49" i="40"/>
  <c r="I49" i="35"/>
  <c r="M28" i="35"/>
  <c r="M30" i="35" s="1"/>
  <c r="M21" i="35"/>
  <c r="U21" i="35"/>
  <c r="U28" i="35"/>
  <c r="U30" i="35" s="1"/>
  <c r="E28" i="38"/>
  <c r="S30" i="34"/>
  <c r="M49" i="34"/>
  <c r="I12" i="41"/>
  <c r="I12" i="43" s="1"/>
  <c r="M28" i="38"/>
  <c r="M30" i="38" s="1"/>
  <c r="K49" i="36"/>
  <c r="G38" i="41"/>
  <c r="AE49" i="40"/>
  <c r="E30" i="35"/>
  <c r="Q49" i="35"/>
  <c r="S49" i="34"/>
  <c r="G49" i="37"/>
  <c r="I49" i="37"/>
  <c r="O21" i="37"/>
  <c r="L49" i="38"/>
  <c r="G49" i="39"/>
  <c r="I28" i="39"/>
  <c r="I30" i="39" s="1"/>
  <c r="M49" i="39"/>
  <c r="S10" i="39"/>
  <c r="K38" i="40"/>
  <c r="AK21" i="40"/>
  <c r="M38" i="40"/>
  <c r="M21" i="39"/>
  <c r="O21" i="35"/>
  <c r="U38" i="35"/>
  <c r="W38" i="35" s="1"/>
  <c r="U30" i="34"/>
  <c r="I21" i="41"/>
  <c r="I21" i="43" s="1"/>
  <c r="L49" i="37"/>
  <c r="E21" i="38"/>
  <c r="M49" i="38"/>
  <c r="L38" i="36"/>
  <c r="M34" i="36"/>
  <c r="E33" i="41" s="1"/>
  <c r="D33" i="41"/>
  <c r="M21" i="36"/>
  <c r="G12" i="41"/>
  <c r="K47" i="40"/>
  <c r="K49" i="40" s="1"/>
  <c r="AM21" i="40"/>
  <c r="AQ49" i="40"/>
  <c r="W13" i="35"/>
  <c r="W50" i="34"/>
  <c r="M30" i="36"/>
  <c r="G49" i="41"/>
  <c r="W22" i="35"/>
  <c r="U47" i="35"/>
  <c r="U49" i="35" s="1"/>
  <c r="I38" i="41"/>
  <c r="I38" i="43" s="1"/>
  <c r="W22" i="34"/>
  <c r="L28" i="38"/>
  <c r="L30" i="38" s="1"/>
  <c r="E28" i="39"/>
  <c r="E30" i="39" s="1"/>
  <c r="K49" i="39"/>
  <c r="G47" i="40"/>
  <c r="G49" i="40" s="1"/>
  <c r="K49" i="35"/>
  <c r="U49" i="34"/>
  <c r="Q38" i="38"/>
  <c r="G30" i="35"/>
  <c r="S38" i="39"/>
  <c r="S49" i="40"/>
  <c r="M30" i="37"/>
  <c r="Q28" i="34"/>
  <c r="Q30" i="34" s="1"/>
  <c r="I28" i="35"/>
  <c r="I30" i="35" s="1"/>
  <c r="L47" i="36"/>
  <c r="L49" i="36" s="1"/>
  <c r="L28" i="36"/>
  <c r="L30" i="36" s="1"/>
  <c r="G47" i="36"/>
  <c r="G49" i="36" s="1"/>
  <c r="G49" i="38"/>
  <c r="E30" i="38"/>
  <c r="K28" i="37"/>
  <c r="K30" i="37" s="1"/>
  <c r="E21" i="37"/>
  <c r="G46" i="41" l="1"/>
  <c r="E30" i="37"/>
  <c r="G48" i="41"/>
  <c r="K12" i="41"/>
  <c r="G37" i="41"/>
  <c r="K49" i="41"/>
  <c r="K33" i="41"/>
  <c r="O34" i="36"/>
  <c r="M47" i="36"/>
  <c r="M49" i="36" s="1"/>
  <c r="M38" i="36"/>
  <c r="O38" i="36" s="1"/>
  <c r="K21" i="41"/>
  <c r="CB8" i="128" l="1"/>
  <c r="H8" i="43" s="1"/>
  <c r="ID44" i="23"/>
  <c r="CA50" i="128"/>
  <c r="G50" i="43" s="1"/>
  <c r="CA11" i="128"/>
  <c r="G11" i="43" s="1"/>
  <c r="CA14" i="128"/>
  <c r="G14" i="43" s="1"/>
  <c r="CA15" i="128"/>
  <c r="G15" i="43" s="1"/>
  <c r="CA17" i="128"/>
  <c r="G17" i="43" s="1"/>
  <c r="CA22" i="128"/>
  <c r="G22" i="43" s="1"/>
  <c r="CA23" i="128"/>
  <c r="G23" i="43" s="1"/>
  <c r="CA24" i="128"/>
  <c r="G24" i="43" s="1"/>
  <c r="CA26" i="128"/>
  <c r="G26" i="43" s="1"/>
  <c r="CA30" i="128"/>
  <c r="G30" i="43" s="1"/>
  <c r="CA31" i="128"/>
  <c r="G31" i="43" s="1"/>
  <c r="CA32" i="128"/>
  <c r="G32" i="43" s="1"/>
  <c r="CA35" i="128"/>
  <c r="G35" i="43" s="1"/>
  <c r="CA36" i="128"/>
  <c r="G36" i="43" s="1"/>
  <c r="CA39" i="128"/>
  <c r="G39" i="43" s="1"/>
  <c r="CA40" i="128"/>
  <c r="G40" i="43" s="1"/>
  <c r="CA41" i="128"/>
  <c r="G41" i="43" s="1"/>
  <c r="CA42" i="128"/>
  <c r="G42" i="43" s="1"/>
  <c r="CA43" i="128"/>
  <c r="G43" i="43" s="1"/>
  <c r="CA44" i="128"/>
  <c r="G44" i="43" s="1"/>
  <c r="CA45" i="128"/>
  <c r="G45" i="43" s="1"/>
  <c r="CJ9" i="128"/>
  <c r="CJ11" i="128"/>
  <c r="BZ11" i="128" s="1"/>
  <c r="F11" i="43" s="1"/>
  <c r="CJ14" i="128"/>
  <c r="BZ14" i="128" s="1"/>
  <c r="F14" i="43" s="1"/>
  <c r="CJ15" i="128"/>
  <c r="CJ16" i="128"/>
  <c r="CJ17" i="128"/>
  <c r="BZ17" i="128" s="1"/>
  <c r="F17" i="43" s="1"/>
  <c r="CJ22" i="128"/>
  <c r="BZ22" i="128" s="1"/>
  <c r="F22" i="43" s="1"/>
  <c r="CJ23" i="128"/>
  <c r="CJ24" i="128"/>
  <c r="CJ25" i="128"/>
  <c r="BZ25" i="128" s="1"/>
  <c r="F25" i="43" s="1"/>
  <c r="CJ26" i="128"/>
  <c r="BZ26" i="128" s="1"/>
  <c r="F26" i="43" s="1"/>
  <c r="CJ30" i="128"/>
  <c r="CJ31" i="128"/>
  <c r="CJ32" i="128"/>
  <c r="BZ32" i="128" s="1"/>
  <c r="F32" i="43" s="1"/>
  <c r="CJ33" i="128"/>
  <c r="BZ33" i="128" s="1"/>
  <c r="F33" i="43" s="1"/>
  <c r="CJ34" i="128"/>
  <c r="CJ35" i="128"/>
  <c r="BZ35" i="128" s="1"/>
  <c r="F35" i="43" s="1"/>
  <c r="CJ36" i="128"/>
  <c r="BZ36" i="128" s="1"/>
  <c r="F36" i="43" s="1"/>
  <c r="CJ39" i="128"/>
  <c r="BZ39" i="128" s="1"/>
  <c r="F39" i="43" s="1"/>
  <c r="CJ40" i="128"/>
  <c r="CJ41" i="128"/>
  <c r="BZ41" i="128" s="1"/>
  <c r="F41" i="43" s="1"/>
  <c r="CJ42" i="128"/>
  <c r="BZ42" i="128" s="1"/>
  <c r="F42" i="43" s="1"/>
  <c r="CJ43" i="128"/>
  <c r="BZ43" i="128" s="1"/>
  <c r="F43" i="43" s="1"/>
  <c r="CJ44" i="128"/>
  <c r="CJ45" i="128"/>
  <c r="BZ45" i="128" s="1"/>
  <c r="F45" i="43" s="1"/>
  <c r="CJ49" i="128"/>
  <c r="BZ49" i="128" s="1"/>
  <c r="F49" i="43" s="1"/>
  <c r="CJ50" i="128"/>
  <c r="BZ50" i="128" s="1"/>
  <c r="F50" i="43" s="1"/>
  <c r="CJ8" i="128"/>
  <c r="CI9" i="128"/>
  <c r="CI14" i="128"/>
  <c r="CI15" i="128"/>
  <c r="CI16" i="128"/>
  <c r="CI17" i="128"/>
  <c r="CI19" i="128"/>
  <c r="BY19" i="128" s="1"/>
  <c r="CI22" i="128"/>
  <c r="BY22" i="128" s="1"/>
  <c r="E22" i="43" s="1"/>
  <c r="CI23" i="128"/>
  <c r="CI24" i="128"/>
  <c r="CI25" i="128"/>
  <c r="BY25" i="128" s="1"/>
  <c r="E25" i="43" s="1"/>
  <c r="CI26" i="128"/>
  <c r="BY26" i="128" s="1"/>
  <c r="E26" i="43" s="1"/>
  <c r="CI31" i="128"/>
  <c r="BY31" i="128" s="1"/>
  <c r="E31" i="43" s="1"/>
  <c r="CI33" i="128"/>
  <c r="CI34" i="128"/>
  <c r="BY34" i="128" s="1"/>
  <c r="E34" i="43" s="1"/>
  <c r="CI35" i="128"/>
  <c r="BY35" i="128" s="1"/>
  <c r="E35" i="43" s="1"/>
  <c r="CI36" i="128"/>
  <c r="BY36" i="128" s="1"/>
  <c r="E36" i="43" s="1"/>
  <c r="CI39" i="128"/>
  <c r="BY39" i="128" s="1"/>
  <c r="E39" i="43" s="1"/>
  <c r="CI40" i="128"/>
  <c r="CI41" i="128"/>
  <c r="CI42" i="128"/>
  <c r="BY42" i="128" s="1"/>
  <c r="CI43" i="128"/>
  <c r="BY43" i="128" s="1"/>
  <c r="CI44" i="128"/>
  <c r="BY44" i="128" s="1"/>
  <c r="E44" i="43" s="1"/>
  <c r="CI45" i="128"/>
  <c r="BY45" i="128" s="1"/>
  <c r="E45" i="43" s="1"/>
  <c r="CI49" i="128"/>
  <c r="CI50" i="128"/>
  <c r="CI8" i="128"/>
  <c r="BT12" i="128"/>
  <c r="BT27" i="128"/>
  <c r="CH9" i="128"/>
  <c r="CH14" i="128"/>
  <c r="CH15" i="128"/>
  <c r="CH16" i="128"/>
  <c r="CH17" i="128"/>
  <c r="CH19" i="128"/>
  <c r="CH22" i="128"/>
  <c r="CH23" i="128"/>
  <c r="CH24" i="128"/>
  <c r="CH25" i="128"/>
  <c r="CH26" i="128"/>
  <c r="CH31" i="128"/>
  <c r="CH33" i="128"/>
  <c r="CH34" i="128"/>
  <c r="CH35" i="128"/>
  <c r="CH36" i="128"/>
  <c r="CH39" i="128"/>
  <c r="CH40" i="128"/>
  <c r="CH41" i="128"/>
  <c r="CH42" i="128"/>
  <c r="CH43" i="128"/>
  <c r="CH44" i="128"/>
  <c r="CH45" i="128"/>
  <c r="CH49" i="128"/>
  <c r="CH50" i="128"/>
  <c r="CH8" i="128"/>
  <c r="BZ15" i="128"/>
  <c r="F15" i="43" s="1"/>
  <c r="BZ23" i="128"/>
  <c r="F23" i="43" s="1"/>
  <c r="BZ30" i="128"/>
  <c r="F30" i="43" s="1"/>
  <c r="BZ40" i="128"/>
  <c r="F40" i="43" s="1"/>
  <c r="BZ44" i="128"/>
  <c r="F44" i="43" s="1"/>
  <c r="BZ9" i="128"/>
  <c r="ID25" i="23"/>
  <c r="ID26" i="23"/>
  <c r="ID30" i="23"/>
  <c r="ID31" i="23"/>
  <c r="BX31" i="128" s="1"/>
  <c r="D31" i="43" s="1"/>
  <c r="ID32" i="23"/>
  <c r="ID33" i="23"/>
  <c r="ID34" i="23"/>
  <c r="ID35" i="23"/>
  <c r="ID36" i="23"/>
  <c r="BX36" i="128" s="1"/>
  <c r="D36" i="43" s="1"/>
  <c r="ID39" i="23"/>
  <c r="ID42" i="23"/>
  <c r="ID43" i="23"/>
  <c r="ID45" i="23"/>
  <c r="ID49" i="23"/>
  <c r="BX49" i="128" s="1"/>
  <c r="D49" i="43" s="1"/>
  <c r="ID19" i="23"/>
  <c r="ID22" i="23"/>
  <c r="ID13" i="23"/>
  <c r="ID15" i="23"/>
  <c r="ID11" i="23"/>
  <c r="BX25" i="128" l="1"/>
  <c r="D25" i="43" s="1"/>
  <c r="BX19" i="128"/>
  <c r="BX34" i="128"/>
  <c r="D34" i="43" s="1"/>
  <c r="BX15" i="128"/>
  <c r="D15" i="43" s="1"/>
  <c r="BX22" i="128"/>
  <c r="D22" i="43" s="1"/>
  <c r="BX35" i="128"/>
  <c r="D35" i="43" s="1"/>
  <c r="BX26" i="128"/>
  <c r="D26" i="43" s="1"/>
  <c r="BX45" i="128"/>
  <c r="D45" i="43" s="1"/>
  <c r="K35" i="43"/>
  <c r="K26" i="43"/>
  <c r="J22" i="119" s="1"/>
  <c r="BX39" i="128"/>
  <c r="D39" i="43" s="1"/>
  <c r="BZ31" i="128"/>
  <c r="F31" i="43" s="1"/>
  <c r="BZ24" i="128"/>
  <c r="F24" i="43" s="1"/>
  <c r="K44" i="43"/>
  <c r="E22" i="119" s="1"/>
  <c r="BX43" i="128"/>
  <c r="CD43" i="128" s="1"/>
  <c r="CE42" i="128"/>
  <c r="K31" i="43"/>
  <c r="F29" i="120" s="1"/>
  <c r="BX44" i="128"/>
  <c r="D44" i="43" s="1"/>
  <c r="BX42" i="128"/>
  <c r="CD42" i="128" s="1"/>
  <c r="BX33" i="128"/>
  <c r="D33" i="43" s="1"/>
  <c r="K22" i="43"/>
  <c r="K70" i="43" s="1"/>
  <c r="CE43" i="128"/>
  <c r="K39" i="43"/>
  <c r="F45" i="120" s="1"/>
  <c r="CD25" i="128"/>
  <c r="CE45" i="128"/>
  <c r="CE36" i="128"/>
  <c r="CD39" i="128"/>
  <c r="CD22" i="128"/>
  <c r="CE44" i="128"/>
  <c r="CE35" i="128"/>
  <c r="CE22" i="128"/>
  <c r="K45" i="43"/>
  <c r="K36" i="43"/>
  <c r="F24" i="120"/>
  <c r="F9" i="43"/>
  <c r="CD49" i="128"/>
  <c r="CD15" i="128"/>
  <c r="CE39" i="128"/>
  <c r="CE31" i="128"/>
  <c r="F33" i="120"/>
  <c r="E11" i="119"/>
  <c r="CD45" i="128"/>
  <c r="CD36" i="128"/>
  <c r="CD26" i="128"/>
  <c r="CE26" i="128"/>
  <c r="F43" i="120" l="1"/>
  <c r="W1269" i="129"/>
  <c r="W1270" i="129" s="1"/>
  <c r="CD35" i="128"/>
  <c r="V1269" i="129" s="1"/>
  <c r="V1270" i="129" s="1"/>
  <c r="CD33" i="128"/>
  <c r="CD31" i="128"/>
  <c r="R1269" i="129" s="1"/>
  <c r="R1270" i="129" s="1"/>
  <c r="E7" i="119"/>
  <c r="F20" i="120"/>
  <c r="J18" i="119"/>
  <c r="E24" i="119"/>
  <c r="K71" i="43"/>
  <c r="CD44" i="128"/>
  <c r="F34" i="120"/>
  <c r="E12" i="119"/>
  <c r="E23" i="119"/>
  <c r="F44" i="120"/>
  <c r="BU47" i="128"/>
  <c r="BU38" i="128"/>
  <c r="BU27" i="128"/>
  <c r="BU21" i="128"/>
  <c r="BU18" i="128"/>
  <c r="BU12" i="128"/>
  <c r="BS27" i="128"/>
  <c r="BS18" i="128"/>
  <c r="BS28" i="128" s="1"/>
  <c r="BS12" i="128"/>
  <c r="BQ47" i="128"/>
  <c r="BQ38" i="128"/>
  <c r="BQ27" i="128"/>
  <c r="BQ21" i="128"/>
  <c r="BQ18" i="128"/>
  <c r="BQ12" i="128"/>
  <c r="BO25" i="128"/>
  <c r="BO10" i="128"/>
  <c r="BO27" i="128" s="1"/>
  <c r="BO47" i="128"/>
  <c r="BO38" i="128"/>
  <c r="BO18" i="128"/>
  <c r="BO28" i="128" s="1"/>
  <c r="BO12" i="128"/>
  <c r="BM46" i="128"/>
  <c r="BM47" i="128"/>
  <c r="BM37" i="128"/>
  <c r="BM38" i="128"/>
  <c r="BM21" i="128"/>
  <c r="BK46" i="128"/>
  <c r="BK47" i="128"/>
  <c r="BK37" i="128"/>
  <c r="BK38" i="128"/>
  <c r="BK27" i="128"/>
  <c r="BK21" i="128"/>
  <c r="BK18" i="128"/>
  <c r="BK28" i="128" s="1"/>
  <c r="BK12" i="128"/>
  <c r="BI47" i="128"/>
  <c r="BI38" i="128"/>
  <c r="BI21" i="128"/>
  <c r="BI18" i="128"/>
  <c r="BI28" i="128" s="1"/>
  <c r="BG46" i="128"/>
  <c r="BG47" i="128"/>
  <c r="BG37" i="128"/>
  <c r="BG38" i="128"/>
  <c r="BG21" i="128"/>
  <c r="BG18" i="128"/>
  <c r="BG28" i="128" s="1"/>
  <c r="BE46" i="128"/>
  <c r="BE48" i="128" s="1"/>
  <c r="BE47" i="128"/>
  <c r="BE37" i="128"/>
  <c r="BE38" i="128"/>
  <c r="BE21" i="128"/>
  <c r="BE18" i="128"/>
  <c r="BE28" i="128" s="1"/>
  <c r="BC46" i="128"/>
  <c r="BC47" i="128"/>
  <c r="BC37" i="128"/>
  <c r="BC38" i="128"/>
  <c r="BC21" i="128"/>
  <c r="BC18" i="128"/>
  <c r="BC28" i="128" s="1"/>
  <c r="BA46" i="128"/>
  <c r="BA48" i="128" s="1"/>
  <c r="BA47" i="128"/>
  <c r="BA37" i="128"/>
  <c r="BA38" i="128"/>
  <c r="BA21" i="128"/>
  <c r="BA18" i="128"/>
  <c r="BA28" i="128" s="1"/>
  <c r="AY46" i="128"/>
  <c r="AY47" i="128"/>
  <c r="AY37" i="128"/>
  <c r="AY38" i="128"/>
  <c r="AY27" i="128"/>
  <c r="AY28" i="128"/>
  <c r="AY21" i="128"/>
  <c r="AY12" i="128"/>
  <c r="AY20" i="128" s="1"/>
  <c r="AW46" i="128"/>
  <c r="AW47" i="128"/>
  <c r="AW37" i="128"/>
  <c r="AW38" i="128"/>
  <c r="AW21" i="128"/>
  <c r="AU46" i="128"/>
  <c r="AU47" i="128"/>
  <c r="AU37" i="128"/>
  <c r="AU38" i="128"/>
  <c r="AU27" i="128"/>
  <c r="AU21" i="128"/>
  <c r="AU18" i="128"/>
  <c r="AU28" i="128" s="1"/>
  <c r="AU12" i="128"/>
  <c r="AS46" i="128"/>
  <c r="AS47" i="128"/>
  <c r="AS37" i="128"/>
  <c r="AS38" i="128"/>
  <c r="AS21" i="128"/>
  <c r="AS18" i="128"/>
  <c r="AS28" i="128" s="1"/>
  <c r="AQ46" i="128"/>
  <c r="AQ47" i="128"/>
  <c r="AQ37" i="128"/>
  <c r="AQ38" i="128"/>
  <c r="AQ27" i="128"/>
  <c r="AQ21" i="128"/>
  <c r="AQ18" i="128"/>
  <c r="AQ12" i="128"/>
  <c r="AO46" i="128"/>
  <c r="AO47" i="128"/>
  <c r="AO37" i="128"/>
  <c r="AO38" i="128"/>
  <c r="AO27" i="128"/>
  <c r="AO21" i="128"/>
  <c r="AO18" i="128"/>
  <c r="AO28" i="128" s="1"/>
  <c r="AO12" i="128"/>
  <c r="AM46" i="128"/>
  <c r="AM47" i="128"/>
  <c r="AM37" i="128"/>
  <c r="AM38" i="128"/>
  <c r="AM21" i="128"/>
  <c r="AK46" i="128"/>
  <c r="AK47" i="128"/>
  <c r="AK37" i="128"/>
  <c r="AK38" i="128"/>
  <c r="AK21" i="128"/>
  <c r="AK18" i="128"/>
  <c r="AK28" i="128" s="1"/>
  <c r="AS48" i="128" l="1"/>
  <c r="AU48" i="128"/>
  <c r="CK25" i="128"/>
  <c r="CA25" i="128" s="1"/>
  <c r="AY29" i="128"/>
  <c r="AY48" i="128"/>
  <c r="BG48" i="128"/>
  <c r="BO21" i="128"/>
  <c r="BM48" i="128"/>
  <c r="AO48" i="128"/>
  <c r="BO37" i="128"/>
  <c r="CA33" i="128"/>
  <c r="G33" i="43" s="1"/>
  <c r="AM48" i="128"/>
  <c r="BK48" i="128"/>
  <c r="BK29" i="128"/>
  <c r="BO46" i="128"/>
  <c r="BC48" i="128"/>
  <c r="AQ48" i="128"/>
  <c r="AW48" i="128"/>
  <c r="AO29" i="128"/>
  <c r="BQ20" i="128"/>
  <c r="BU20" i="128"/>
  <c r="BU28" i="128"/>
  <c r="BU29" i="128" s="1"/>
  <c r="BS20" i="128"/>
  <c r="BQ28" i="128"/>
  <c r="BQ29" i="128" s="1"/>
  <c r="BS29" i="128"/>
  <c r="BO20" i="128"/>
  <c r="BO29" i="128"/>
  <c r="BK20" i="128"/>
  <c r="AQ20" i="128"/>
  <c r="AU29" i="128"/>
  <c r="AU20" i="128"/>
  <c r="AO20" i="128"/>
  <c r="AQ28" i="128"/>
  <c r="AQ29" i="128" s="1"/>
  <c r="AK48" i="128"/>
  <c r="AI46" i="128"/>
  <c r="AI47" i="128"/>
  <c r="AI37" i="128"/>
  <c r="AI38" i="128"/>
  <c r="AI21" i="128"/>
  <c r="AI18" i="128"/>
  <c r="AI28" i="128" s="1"/>
  <c r="AG46" i="128"/>
  <c r="AG47" i="128"/>
  <c r="AG37" i="128"/>
  <c r="AG38" i="128"/>
  <c r="AG27" i="128"/>
  <c r="AG21" i="128"/>
  <c r="AG18" i="128"/>
  <c r="AG12" i="128"/>
  <c r="AE46" i="128"/>
  <c r="AE47" i="128"/>
  <c r="AE37" i="128"/>
  <c r="AE38" i="128"/>
  <c r="AE27" i="128"/>
  <c r="AE21" i="128"/>
  <c r="AE12" i="128"/>
  <c r="AC46" i="128"/>
  <c r="AC47" i="128"/>
  <c r="CK47" i="128" s="1"/>
  <c r="AC37" i="128"/>
  <c r="AC38" i="128"/>
  <c r="CK38" i="128" s="1"/>
  <c r="AC27" i="128"/>
  <c r="AC21" i="128"/>
  <c r="CK21" i="128" s="1"/>
  <c r="AC12" i="128"/>
  <c r="AA46" i="128"/>
  <c r="AA47" i="128"/>
  <c r="AA37" i="128"/>
  <c r="AA38" i="128"/>
  <c r="AA21" i="128"/>
  <c r="AA18" i="128"/>
  <c r="AA28" i="128" s="1"/>
  <c r="AA12" i="128"/>
  <c r="Y46" i="128"/>
  <c r="Y47" i="128"/>
  <c r="Y37" i="128"/>
  <c r="Y38" i="128"/>
  <c r="Y21" i="128"/>
  <c r="Y18" i="128"/>
  <c r="Y28" i="128" s="1"/>
  <c r="Y12" i="128"/>
  <c r="W46" i="128"/>
  <c r="W47" i="128"/>
  <c r="W37" i="128"/>
  <c r="W38" i="128"/>
  <c r="W21" i="128"/>
  <c r="W18" i="128"/>
  <c r="W28" i="128" s="1"/>
  <c r="W12" i="128"/>
  <c r="U46" i="128"/>
  <c r="U47" i="128"/>
  <c r="U37" i="128"/>
  <c r="U38" i="128"/>
  <c r="U21" i="128"/>
  <c r="U18" i="128"/>
  <c r="U28" i="128" s="1"/>
  <c r="U12" i="128"/>
  <c r="S46" i="128"/>
  <c r="S47" i="128"/>
  <c r="S37" i="128"/>
  <c r="S38" i="128"/>
  <c r="S27" i="128"/>
  <c r="S21" i="128"/>
  <c r="S18" i="128"/>
  <c r="S28" i="128" s="1"/>
  <c r="S12" i="128"/>
  <c r="Q46" i="128"/>
  <c r="Q47" i="128"/>
  <c r="Q37" i="128"/>
  <c r="Q38" i="128"/>
  <c r="Q21" i="128"/>
  <c r="Q18" i="128"/>
  <c r="Q28" i="128" s="1"/>
  <c r="Q12" i="128"/>
  <c r="O46" i="128"/>
  <c r="O47" i="128"/>
  <c r="O37" i="128"/>
  <c r="O38" i="128"/>
  <c r="O21" i="128"/>
  <c r="O18" i="128"/>
  <c r="O28" i="128" s="1"/>
  <c r="O12" i="128"/>
  <c r="M46" i="128"/>
  <c r="M47" i="128"/>
  <c r="M37" i="128"/>
  <c r="M38" i="128"/>
  <c r="M21" i="128"/>
  <c r="M18" i="128"/>
  <c r="M28" i="128" s="1"/>
  <c r="M12" i="128"/>
  <c r="K46" i="128"/>
  <c r="K47" i="128"/>
  <c r="K37" i="128"/>
  <c r="K38" i="128"/>
  <c r="K21" i="128"/>
  <c r="K18" i="128"/>
  <c r="K28" i="128" s="1"/>
  <c r="K12" i="128"/>
  <c r="I46" i="128"/>
  <c r="I47" i="128"/>
  <c r="I37" i="128"/>
  <c r="I38" i="128"/>
  <c r="I21" i="128"/>
  <c r="I18" i="128"/>
  <c r="I28" i="128" s="1"/>
  <c r="I12" i="128"/>
  <c r="G46" i="128"/>
  <c r="G47" i="128"/>
  <c r="G37" i="128"/>
  <c r="G38" i="128"/>
  <c r="G21" i="128"/>
  <c r="G18" i="128"/>
  <c r="G28" i="128" s="1"/>
  <c r="G12" i="128"/>
  <c r="E46" i="128"/>
  <c r="E47" i="128"/>
  <c r="E37" i="128"/>
  <c r="E38" i="128"/>
  <c r="E21" i="128"/>
  <c r="E18" i="128"/>
  <c r="E12" i="128"/>
  <c r="IB46" i="23"/>
  <c r="IC46" i="23"/>
  <c r="IB47" i="23"/>
  <c r="IC47" i="23"/>
  <c r="IC48" i="23" s="1"/>
  <c r="IB37" i="23"/>
  <c r="IC37" i="23"/>
  <c r="IB38" i="23"/>
  <c r="IC38" i="23"/>
  <c r="IB27" i="23"/>
  <c r="IC27" i="23"/>
  <c r="IB21" i="23"/>
  <c r="IC21" i="23"/>
  <c r="IB18" i="23"/>
  <c r="IB28" i="23" s="1"/>
  <c r="IC18" i="23"/>
  <c r="IC28" i="23" s="1"/>
  <c r="IC29" i="23" s="1"/>
  <c r="IB12" i="23"/>
  <c r="IC12" i="23"/>
  <c r="HW46" i="23"/>
  <c r="HW47" i="23"/>
  <c r="HW37" i="23"/>
  <c r="HW38" i="23"/>
  <c r="HW27" i="23"/>
  <c r="HW21" i="23"/>
  <c r="HW18" i="23"/>
  <c r="HW28" i="23" s="1"/>
  <c r="HW12" i="23"/>
  <c r="HU46" i="23"/>
  <c r="HU47" i="23"/>
  <c r="HU37" i="23"/>
  <c r="HU38" i="23"/>
  <c r="HU27" i="23"/>
  <c r="HU21" i="23"/>
  <c r="HU18" i="23"/>
  <c r="HU28" i="23" s="1"/>
  <c r="HU12" i="23"/>
  <c r="HS46" i="23"/>
  <c r="HS47" i="23"/>
  <c r="HS37" i="23"/>
  <c r="HS38" i="23"/>
  <c r="HS27" i="23"/>
  <c r="HS21" i="23"/>
  <c r="HS18" i="23"/>
  <c r="HS28" i="23" s="1"/>
  <c r="HS12" i="23"/>
  <c r="HQ46" i="23"/>
  <c r="HQ47" i="23"/>
  <c r="HQ37" i="23"/>
  <c r="HQ38" i="23"/>
  <c r="HQ27" i="23"/>
  <c r="HQ21" i="23"/>
  <c r="HQ18" i="23"/>
  <c r="HQ28" i="23" s="1"/>
  <c r="HQ12" i="23"/>
  <c r="HO46" i="23"/>
  <c r="HO47" i="23"/>
  <c r="HO37" i="23"/>
  <c r="HO38" i="23"/>
  <c r="HO27" i="23"/>
  <c r="HO21" i="23"/>
  <c r="HO18" i="23"/>
  <c r="HO28" i="23" s="1"/>
  <c r="HO12" i="23"/>
  <c r="HM46" i="23"/>
  <c r="HM47" i="23"/>
  <c r="HM37" i="23"/>
  <c r="HM38" i="23"/>
  <c r="HM27" i="23"/>
  <c r="HM21" i="23"/>
  <c r="HM18" i="23"/>
  <c r="HM12" i="23"/>
  <c r="HK46" i="23"/>
  <c r="HK47" i="23"/>
  <c r="HK37" i="23"/>
  <c r="HK38" i="23"/>
  <c r="HK27" i="23"/>
  <c r="HK21" i="23"/>
  <c r="HK18" i="23"/>
  <c r="HK28" i="23" s="1"/>
  <c r="HK12" i="23"/>
  <c r="HI46" i="23"/>
  <c r="HI47" i="23"/>
  <c r="HI37" i="23"/>
  <c r="HI38" i="23"/>
  <c r="HI27" i="23"/>
  <c r="HI21" i="23"/>
  <c r="HI18" i="23"/>
  <c r="HI28" i="23" s="1"/>
  <c r="HI12" i="23"/>
  <c r="HG46" i="23"/>
  <c r="HG47" i="23"/>
  <c r="HG37" i="23"/>
  <c r="HG38" i="23"/>
  <c r="HG27" i="23"/>
  <c r="HG21" i="23"/>
  <c r="HH21" i="23"/>
  <c r="HG18" i="23"/>
  <c r="HG12" i="23"/>
  <c r="HF46" i="23"/>
  <c r="HF47" i="23"/>
  <c r="HF37" i="23"/>
  <c r="HF38" i="23"/>
  <c r="HF27" i="23"/>
  <c r="HF21" i="23"/>
  <c r="HF18" i="23"/>
  <c r="HF28" i="23" s="1"/>
  <c r="HF12" i="23"/>
  <c r="HE46" i="23"/>
  <c r="CG46" i="128" s="1"/>
  <c r="M46" i="43" s="1"/>
  <c r="HE47" i="23"/>
  <c r="CG47" i="128" s="1"/>
  <c r="M47" i="43" s="1"/>
  <c r="HE37" i="23"/>
  <c r="CG37" i="128" s="1"/>
  <c r="M37" i="43" s="1"/>
  <c r="HE38" i="23"/>
  <c r="CG38" i="128" s="1"/>
  <c r="M38" i="43" s="1"/>
  <c r="HE27" i="23"/>
  <c r="HE21" i="23"/>
  <c r="HE18" i="23"/>
  <c r="CG18" i="128" s="1"/>
  <c r="M18" i="43" s="1"/>
  <c r="HE12" i="23"/>
  <c r="HC46" i="23"/>
  <c r="HC48" i="23" s="1"/>
  <c r="HC47" i="23"/>
  <c r="HC37" i="23"/>
  <c r="HC38" i="23"/>
  <c r="HC27" i="23"/>
  <c r="HC21" i="23"/>
  <c r="HC18" i="23"/>
  <c r="HC28" i="23" s="1"/>
  <c r="HC12" i="23"/>
  <c r="HA46" i="23"/>
  <c r="HA47" i="23"/>
  <c r="HA37" i="23"/>
  <c r="HA38" i="23"/>
  <c r="HA27" i="23"/>
  <c r="HA21" i="23"/>
  <c r="HA18" i="23"/>
  <c r="HA12" i="23"/>
  <c r="GY27" i="23"/>
  <c r="GY46" i="23"/>
  <c r="GY47" i="23"/>
  <c r="GY37" i="23"/>
  <c r="GY38" i="23"/>
  <c r="GY21" i="23"/>
  <c r="GY18" i="23"/>
  <c r="GY12" i="23"/>
  <c r="GW46" i="23"/>
  <c r="GW48" i="23" s="1"/>
  <c r="GW47" i="23"/>
  <c r="GW37" i="23"/>
  <c r="GW38" i="23"/>
  <c r="GW27" i="23"/>
  <c r="GW21" i="23"/>
  <c r="GW18" i="23"/>
  <c r="GW28" i="23" s="1"/>
  <c r="GW12" i="23"/>
  <c r="GU46" i="23"/>
  <c r="GU48" i="23" s="1"/>
  <c r="GU47" i="23"/>
  <c r="GU37" i="23"/>
  <c r="GU38" i="23"/>
  <c r="GU27" i="23"/>
  <c r="GU21" i="23"/>
  <c r="GU18" i="23"/>
  <c r="GU28" i="23" s="1"/>
  <c r="GU12" i="23"/>
  <c r="GS46" i="23"/>
  <c r="GS48" i="23" s="1"/>
  <c r="GS47" i="23"/>
  <c r="GS37" i="23"/>
  <c r="GS38" i="23"/>
  <c r="GS27" i="23"/>
  <c r="GS21" i="23"/>
  <c r="GS18" i="23"/>
  <c r="GS28" i="23" s="1"/>
  <c r="GS12" i="23"/>
  <c r="GQ46" i="23"/>
  <c r="GQ47" i="23"/>
  <c r="GQ37" i="23"/>
  <c r="GQ38" i="23"/>
  <c r="GQ27" i="23"/>
  <c r="GQ21" i="23"/>
  <c r="GQ18" i="23"/>
  <c r="GQ12" i="23"/>
  <c r="GO46" i="23"/>
  <c r="GO48" i="23" s="1"/>
  <c r="GO47" i="23"/>
  <c r="GO37" i="23"/>
  <c r="GO38" i="23"/>
  <c r="GO27" i="23"/>
  <c r="GO21" i="23"/>
  <c r="GO18" i="23"/>
  <c r="GO12" i="23"/>
  <c r="GM10" i="23"/>
  <c r="GM27" i="23" s="1"/>
  <c r="GM46" i="23"/>
  <c r="GM47" i="23"/>
  <c r="GM37" i="23"/>
  <c r="GM38" i="23"/>
  <c r="GM21" i="23"/>
  <c r="GM18" i="23"/>
  <c r="GM28" i="23" s="1"/>
  <c r="GM12" i="23"/>
  <c r="GK15" i="23"/>
  <c r="GK27" i="23" s="1"/>
  <c r="GK46" i="23"/>
  <c r="GK47" i="23"/>
  <c r="GK37" i="23"/>
  <c r="GK38" i="23"/>
  <c r="GK21" i="23"/>
  <c r="GK18" i="23"/>
  <c r="GK28" i="23" s="1"/>
  <c r="GI27" i="23"/>
  <c r="GI46" i="23"/>
  <c r="GI47" i="23"/>
  <c r="GI37" i="23"/>
  <c r="GI38" i="23"/>
  <c r="GI21" i="23"/>
  <c r="GI18" i="23"/>
  <c r="GI28" i="23" s="1"/>
  <c r="GI12" i="23"/>
  <c r="GG46" i="23"/>
  <c r="GG47" i="23"/>
  <c r="GG37" i="23"/>
  <c r="GG38" i="23"/>
  <c r="GG27" i="23"/>
  <c r="GG21" i="23"/>
  <c r="GG18" i="23"/>
  <c r="GG12" i="23"/>
  <c r="GE15" i="23"/>
  <c r="GE46" i="23"/>
  <c r="GE47" i="23"/>
  <c r="GE37" i="23"/>
  <c r="GE38" i="23"/>
  <c r="GE21" i="23"/>
  <c r="GE18" i="23"/>
  <c r="GE28" i="23" s="1"/>
  <c r="GC46" i="23"/>
  <c r="GC47" i="23"/>
  <c r="GC37" i="23"/>
  <c r="GC38" i="23"/>
  <c r="GC27" i="23"/>
  <c r="GC21" i="23"/>
  <c r="GC18" i="23"/>
  <c r="GC28" i="23" s="1"/>
  <c r="GC12" i="23"/>
  <c r="GA46" i="23"/>
  <c r="GA47" i="23"/>
  <c r="GA37" i="23"/>
  <c r="GA38" i="23"/>
  <c r="GA27" i="23"/>
  <c r="GA21" i="23"/>
  <c r="GA18" i="23"/>
  <c r="GA28" i="23" s="1"/>
  <c r="GA12" i="23"/>
  <c r="FY46" i="23"/>
  <c r="FY47" i="23"/>
  <c r="FY37" i="23"/>
  <c r="FY38" i="23"/>
  <c r="FY27" i="23"/>
  <c r="FY21" i="23"/>
  <c r="FY18" i="23"/>
  <c r="FY28" i="23" s="1"/>
  <c r="FY12" i="23"/>
  <c r="FW46" i="23"/>
  <c r="FW47" i="23"/>
  <c r="FW37" i="23"/>
  <c r="FW38" i="23"/>
  <c r="FW27" i="23"/>
  <c r="FW21" i="23"/>
  <c r="FW18" i="23"/>
  <c r="FW12" i="23"/>
  <c r="FU46" i="23"/>
  <c r="FU47" i="23"/>
  <c r="FU37" i="23"/>
  <c r="FU38" i="23"/>
  <c r="FU21" i="23"/>
  <c r="FU18" i="23"/>
  <c r="FU28" i="23" s="1"/>
  <c r="FU12" i="23"/>
  <c r="FS46" i="23"/>
  <c r="FS47" i="23"/>
  <c r="FS37" i="23"/>
  <c r="FS38" i="23"/>
  <c r="FS21" i="23"/>
  <c r="FS18" i="23"/>
  <c r="FS28" i="23" s="1"/>
  <c r="FS12" i="23"/>
  <c r="FQ46" i="23"/>
  <c r="FQ48" i="23" s="1"/>
  <c r="FQ47" i="23"/>
  <c r="FQ37" i="23"/>
  <c r="FQ38" i="23"/>
  <c r="FQ27" i="23"/>
  <c r="FQ21" i="23"/>
  <c r="FQ18" i="23"/>
  <c r="FQ28" i="23" s="1"/>
  <c r="FQ12" i="23"/>
  <c r="FO46" i="23"/>
  <c r="FO47" i="23"/>
  <c r="FO37" i="23"/>
  <c r="FO38" i="23"/>
  <c r="FO18" i="23"/>
  <c r="FO12" i="23"/>
  <c r="FM46" i="23"/>
  <c r="FM47" i="23"/>
  <c r="FM37" i="23"/>
  <c r="FM38" i="23"/>
  <c r="FM21" i="23"/>
  <c r="FM18" i="23"/>
  <c r="FM28" i="23" s="1"/>
  <c r="FK46" i="23"/>
  <c r="FK47" i="23"/>
  <c r="FK37" i="23"/>
  <c r="FK38" i="23"/>
  <c r="FK27" i="23"/>
  <c r="FK21" i="23"/>
  <c r="FK18" i="23"/>
  <c r="FK28" i="23" s="1"/>
  <c r="FI46" i="23"/>
  <c r="FI47" i="23"/>
  <c r="FI37" i="23"/>
  <c r="FI38" i="23"/>
  <c r="FI27" i="23"/>
  <c r="FI21" i="23"/>
  <c r="FI18" i="23"/>
  <c r="FI28" i="23" s="1"/>
  <c r="FI12" i="23"/>
  <c r="FG46" i="23"/>
  <c r="FG47" i="23"/>
  <c r="FG37" i="23"/>
  <c r="FG38" i="23"/>
  <c r="FG27" i="23"/>
  <c r="FG21" i="23"/>
  <c r="FG18" i="23"/>
  <c r="FG28" i="23" s="1"/>
  <c r="FG12" i="23"/>
  <c r="FE46" i="23"/>
  <c r="FE47" i="23"/>
  <c r="FE37" i="23"/>
  <c r="FE38" i="23"/>
  <c r="FE27" i="23"/>
  <c r="FE21" i="23"/>
  <c r="FE18" i="23"/>
  <c r="FE28" i="23" s="1"/>
  <c r="FE12" i="23"/>
  <c r="FC46" i="23"/>
  <c r="FC47" i="23"/>
  <c r="FC37" i="23"/>
  <c r="FC38" i="23"/>
  <c r="FC27" i="23"/>
  <c r="FC21" i="23"/>
  <c r="FC18" i="23"/>
  <c r="FC28" i="23" s="1"/>
  <c r="FC12" i="23"/>
  <c r="FA46" i="23"/>
  <c r="FA47" i="23"/>
  <c r="FA37" i="23"/>
  <c r="FA38" i="23"/>
  <c r="FA21" i="23"/>
  <c r="FA18" i="23"/>
  <c r="FA28" i="23" s="1"/>
  <c r="FA12" i="23"/>
  <c r="EY10" i="23"/>
  <c r="EY8" i="23"/>
  <c r="EY46" i="23"/>
  <c r="EY47" i="23"/>
  <c r="EY37" i="23"/>
  <c r="EY38" i="23"/>
  <c r="EY21" i="23"/>
  <c r="EY18" i="23"/>
  <c r="EY28" i="23" s="1"/>
  <c r="EY12" i="23"/>
  <c r="EW10" i="23"/>
  <c r="EW27" i="23" s="1"/>
  <c r="EW46" i="23"/>
  <c r="EW48" i="23" s="1"/>
  <c r="EW47" i="23"/>
  <c r="EW37" i="23"/>
  <c r="EW38" i="23"/>
  <c r="EW21" i="23"/>
  <c r="EW18" i="23"/>
  <c r="EW28" i="23" s="1"/>
  <c r="EW12" i="23"/>
  <c r="EU10" i="23"/>
  <c r="EU27" i="23" s="1"/>
  <c r="EU46" i="23"/>
  <c r="EU47" i="23"/>
  <c r="EU37" i="23"/>
  <c r="EU38" i="23"/>
  <c r="EU21" i="23"/>
  <c r="EU18" i="23"/>
  <c r="EU12" i="23"/>
  <c r="ES10" i="23"/>
  <c r="ES9" i="23"/>
  <c r="ES8" i="23"/>
  <c r="ES46" i="23"/>
  <c r="ES47" i="23"/>
  <c r="ES37" i="23"/>
  <c r="ES38" i="23"/>
  <c r="ES21" i="23"/>
  <c r="ES18" i="23"/>
  <c r="ES28" i="23" s="1"/>
  <c r="ES12" i="23"/>
  <c r="EQ46" i="23"/>
  <c r="EQ47" i="23"/>
  <c r="EQ37" i="23"/>
  <c r="EQ38" i="23"/>
  <c r="EQ21" i="23"/>
  <c r="EQ18" i="23"/>
  <c r="EQ28" i="23" s="1"/>
  <c r="EQ12" i="23"/>
  <c r="EO46" i="23"/>
  <c r="EO47" i="23"/>
  <c r="EO37" i="23"/>
  <c r="EO38" i="23"/>
  <c r="EO21" i="23"/>
  <c r="EO18" i="23"/>
  <c r="EO28" i="23" s="1"/>
  <c r="EO12" i="23"/>
  <c r="EM37" i="23"/>
  <c r="EM47" i="23"/>
  <c r="EM38" i="23"/>
  <c r="EM27" i="23"/>
  <c r="EM21" i="23"/>
  <c r="EM18" i="23"/>
  <c r="EM12" i="23"/>
  <c r="EI33" i="23"/>
  <c r="EI46" i="23" s="1"/>
  <c r="EI47" i="23"/>
  <c r="EI38" i="23"/>
  <c r="EI27" i="23"/>
  <c r="EI21" i="23"/>
  <c r="EI18" i="23"/>
  <c r="EI12" i="23"/>
  <c r="EG37" i="23"/>
  <c r="EG47" i="23"/>
  <c r="EG38" i="23"/>
  <c r="EG27" i="23"/>
  <c r="EG21" i="23"/>
  <c r="EG18" i="23"/>
  <c r="EG12" i="23"/>
  <c r="EC33" i="23"/>
  <c r="EC46" i="23" s="1"/>
  <c r="EC47" i="23"/>
  <c r="EC38" i="23"/>
  <c r="EC27" i="23"/>
  <c r="EC21" i="23"/>
  <c r="EC18" i="23"/>
  <c r="EC12" i="23"/>
  <c r="EA46" i="23"/>
  <c r="EA47" i="23"/>
  <c r="EA37" i="23"/>
  <c r="EA38" i="23"/>
  <c r="EA27" i="23"/>
  <c r="EA21" i="23"/>
  <c r="EA18" i="23"/>
  <c r="EA28" i="23" s="1"/>
  <c r="EA12" i="23"/>
  <c r="DY46" i="23"/>
  <c r="DY47" i="23"/>
  <c r="DY37" i="23"/>
  <c r="DY38" i="23"/>
  <c r="DY27" i="23"/>
  <c r="DY21" i="23"/>
  <c r="DY18" i="23"/>
  <c r="DY12" i="23"/>
  <c r="DW46" i="23"/>
  <c r="DW47" i="23"/>
  <c r="DW37" i="23"/>
  <c r="DW38" i="23"/>
  <c r="DW21" i="23"/>
  <c r="DW18" i="23"/>
  <c r="DW28" i="23" s="1"/>
  <c r="DW12" i="23"/>
  <c r="DU10" i="23"/>
  <c r="DU27" i="23" s="1"/>
  <c r="DU46" i="23"/>
  <c r="DU47" i="23"/>
  <c r="DU37" i="23"/>
  <c r="DU38" i="23"/>
  <c r="DU21" i="23"/>
  <c r="DU18" i="23"/>
  <c r="DU28" i="23" s="1"/>
  <c r="DU12" i="23"/>
  <c r="DS46" i="23"/>
  <c r="DS47" i="23"/>
  <c r="DS37" i="23"/>
  <c r="DS38" i="23"/>
  <c r="DS21" i="23"/>
  <c r="DS18" i="23"/>
  <c r="DS28" i="23" s="1"/>
  <c r="DS12" i="23"/>
  <c r="DQ10" i="23"/>
  <c r="DQ27" i="23" s="1"/>
  <c r="DQ46" i="23"/>
  <c r="DQ47" i="23"/>
  <c r="DQ37" i="23"/>
  <c r="DQ38" i="23"/>
  <c r="DQ21" i="23"/>
  <c r="DQ18" i="23"/>
  <c r="DQ28" i="23" s="1"/>
  <c r="DQ12" i="23"/>
  <c r="DO46" i="23"/>
  <c r="DO47" i="23"/>
  <c r="DO37" i="23"/>
  <c r="DO38" i="23"/>
  <c r="DO27" i="23"/>
  <c r="DO21" i="23"/>
  <c r="DO18" i="23"/>
  <c r="DO28" i="23" s="1"/>
  <c r="DO12" i="23"/>
  <c r="DM37" i="23"/>
  <c r="DM49" i="23"/>
  <c r="IG49" i="23" s="1"/>
  <c r="CA49" i="128" s="1"/>
  <c r="G49" i="43" s="1"/>
  <c r="DM47" i="23"/>
  <c r="DM38" i="23"/>
  <c r="DM21" i="23"/>
  <c r="DM18" i="23"/>
  <c r="DM12" i="23"/>
  <c r="DK27" i="23"/>
  <c r="DK46" i="23"/>
  <c r="DK47" i="23"/>
  <c r="DK37" i="23"/>
  <c r="DK38" i="23"/>
  <c r="DK21" i="23"/>
  <c r="DK18" i="23"/>
  <c r="DK28" i="23" s="1"/>
  <c r="DK12" i="23"/>
  <c r="DI46" i="23"/>
  <c r="DI47" i="23"/>
  <c r="DI37" i="23"/>
  <c r="DI38" i="23"/>
  <c r="DI21" i="23"/>
  <c r="DI18" i="23"/>
  <c r="DI28" i="23" s="1"/>
  <c r="DI12" i="23"/>
  <c r="DG46" i="23"/>
  <c r="DG47" i="23"/>
  <c r="DG37" i="23"/>
  <c r="DG38" i="23"/>
  <c r="DG21" i="23"/>
  <c r="DG18" i="23"/>
  <c r="DG28" i="23" s="1"/>
  <c r="DG12" i="23"/>
  <c r="DE46" i="23"/>
  <c r="DE47" i="23"/>
  <c r="DE37" i="23"/>
  <c r="DE38" i="23"/>
  <c r="DE21" i="23"/>
  <c r="DE18" i="23"/>
  <c r="DE28" i="23" s="1"/>
  <c r="DE12" i="23"/>
  <c r="DC46" i="23"/>
  <c r="DC49" i="23"/>
  <c r="DC47" i="23"/>
  <c r="DC38" i="23"/>
  <c r="DC21" i="23"/>
  <c r="DC18" i="23"/>
  <c r="DC12" i="23"/>
  <c r="DA46" i="23"/>
  <c r="DA49" i="23"/>
  <c r="DA47" i="23"/>
  <c r="DA38" i="23"/>
  <c r="DA21" i="23"/>
  <c r="DA18" i="23"/>
  <c r="DA12" i="23"/>
  <c r="CW46" i="23"/>
  <c r="CW47" i="23"/>
  <c r="CW38" i="23"/>
  <c r="CW21" i="23"/>
  <c r="CW18" i="23"/>
  <c r="CW28" i="23" s="1"/>
  <c r="CW12" i="23"/>
  <c r="CU46" i="23"/>
  <c r="CU47" i="23"/>
  <c r="CU38" i="23"/>
  <c r="CU21" i="23"/>
  <c r="CU18" i="23"/>
  <c r="CU28" i="23" s="1"/>
  <c r="CU12" i="23"/>
  <c r="CS27" i="23"/>
  <c r="CS46" i="23"/>
  <c r="CS47" i="23"/>
  <c r="CS37" i="23"/>
  <c r="CS38" i="23"/>
  <c r="CS21" i="23"/>
  <c r="CS18" i="23"/>
  <c r="CS28" i="23" s="1"/>
  <c r="CS12" i="23"/>
  <c r="CQ49" i="23"/>
  <c r="CQ46" i="23"/>
  <c r="CQ47" i="23"/>
  <c r="CQ37" i="23"/>
  <c r="CQ38" i="23"/>
  <c r="CQ21" i="23"/>
  <c r="CQ18" i="23"/>
  <c r="CQ12" i="23"/>
  <c r="CO49" i="23"/>
  <c r="CO46" i="23"/>
  <c r="CO47" i="23"/>
  <c r="CO37" i="23"/>
  <c r="CO38" i="23"/>
  <c r="CO21" i="23"/>
  <c r="CO18" i="23"/>
  <c r="CO28" i="23" s="1"/>
  <c r="CO12" i="23"/>
  <c r="CM27" i="23"/>
  <c r="CM46" i="23"/>
  <c r="CM47" i="23"/>
  <c r="CM37" i="23"/>
  <c r="CM38" i="23"/>
  <c r="CM21" i="23"/>
  <c r="CM18" i="23"/>
  <c r="CM28" i="23" s="1"/>
  <c r="CM12" i="23"/>
  <c r="CK10" i="23"/>
  <c r="CK9" i="23"/>
  <c r="CK8" i="23"/>
  <c r="CK46" i="23"/>
  <c r="CK47" i="23"/>
  <c r="CK37" i="23"/>
  <c r="CK38" i="23"/>
  <c r="CK21" i="23"/>
  <c r="CK18" i="23"/>
  <c r="CK28" i="23" s="1"/>
  <c r="CK12" i="23"/>
  <c r="CI46" i="23"/>
  <c r="CI47" i="23"/>
  <c r="CI37" i="23"/>
  <c r="CI38" i="23"/>
  <c r="CI27" i="23"/>
  <c r="CI21" i="23"/>
  <c r="CI18" i="23"/>
  <c r="CI28" i="23" s="1"/>
  <c r="CI12" i="23"/>
  <c r="CG46" i="23"/>
  <c r="CG47" i="23"/>
  <c r="CG37" i="23"/>
  <c r="CG38" i="23"/>
  <c r="CG27" i="23"/>
  <c r="CG21" i="23"/>
  <c r="CG18" i="23"/>
  <c r="CG12" i="23"/>
  <c r="CE27" i="23"/>
  <c r="CE46" i="23"/>
  <c r="CE47" i="23"/>
  <c r="CE37" i="23"/>
  <c r="CE38" i="23"/>
  <c r="CE21" i="23"/>
  <c r="CE18" i="23"/>
  <c r="CE28" i="23" s="1"/>
  <c r="CE12" i="23"/>
  <c r="CC46" i="23"/>
  <c r="CC47" i="23"/>
  <c r="CC38" i="23"/>
  <c r="CC27" i="23"/>
  <c r="CC21" i="23"/>
  <c r="CC18" i="23"/>
  <c r="CC28" i="23" s="1"/>
  <c r="CC12" i="23"/>
  <c r="CA9" i="23"/>
  <c r="IE33" i="23"/>
  <c r="CA49" i="23"/>
  <c r="CA47" i="23"/>
  <c r="CA38" i="23"/>
  <c r="CA21" i="23"/>
  <c r="CA18" i="23"/>
  <c r="CA12" i="23"/>
  <c r="BY46" i="23"/>
  <c r="BY47" i="23"/>
  <c r="BY37" i="23"/>
  <c r="BY38" i="23"/>
  <c r="BY21" i="23"/>
  <c r="BY18" i="23"/>
  <c r="BY12" i="23"/>
  <c r="BW46" i="23"/>
  <c r="BW47" i="23"/>
  <c r="BW37" i="23"/>
  <c r="BW38" i="23"/>
  <c r="BW21" i="23"/>
  <c r="BW18" i="23"/>
  <c r="BW28" i="23" s="1"/>
  <c r="BW12" i="23"/>
  <c r="BU46" i="23"/>
  <c r="BU47" i="23"/>
  <c r="BU37" i="23"/>
  <c r="BU38" i="23"/>
  <c r="BU21" i="23"/>
  <c r="BU18" i="23"/>
  <c r="BU28" i="23" s="1"/>
  <c r="BU12" i="23"/>
  <c r="BS8" i="23"/>
  <c r="BS46" i="23"/>
  <c r="BS47" i="23"/>
  <c r="BS37" i="23"/>
  <c r="BS38" i="23"/>
  <c r="BS21" i="23"/>
  <c r="BS18" i="23"/>
  <c r="BS28" i="23" s="1"/>
  <c r="BS12" i="23"/>
  <c r="BQ9" i="23"/>
  <c r="BQ8" i="23"/>
  <c r="BQ46" i="23"/>
  <c r="BQ47" i="23"/>
  <c r="BQ37" i="23"/>
  <c r="BQ38" i="23"/>
  <c r="BQ21" i="23"/>
  <c r="BQ18" i="23"/>
  <c r="BQ28" i="23" s="1"/>
  <c r="BQ12" i="23"/>
  <c r="BO46" i="23"/>
  <c r="BO47" i="23"/>
  <c r="BO37" i="23"/>
  <c r="BO38" i="23"/>
  <c r="BO21" i="23"/>
  <c r="BO18" i="23"/>
  <c r="BO28" i="23" s="1"/>
  <c r="BO12" i="23"/>
  <c r="BM46" i="23"/>
  <c r="BM47" i="23"/>
  <c r="BM37" i="23"/>
  <c r="BM38" i="23"/>
  <c r="BM21" i="23"/>
  <c r="BM18" i="23"/>
  <c r="BM28" i="23" s="1"/>
  <c r="BM12" i="23"/>
  <c r="BK46" i="23"/>
  <c r="BK47" i="23"/>
  <c r="BK37" i="23"/>
  <c r="BK38" i="23"/>
  <c r="BK21" i="23"/>
  <c r="BK12" i="23"/>
  <c r="BK18" i="23"/>
  <c r="BI46" i="23"/>
  <c r="BI47" i="23"/>
  <c r="BI37" i="23"/>
  <c r="BI38" i="23"/>
  <c r="BI21" i="23"/>
  <c r="BI18" i="23"/>
  <c r="BI12" i="23"/>
  <c r="BG46" i="23"/>
  <c r="BG47" i="23"/>
  <c r="BG37" i="23"/>
  <c r="BG38" i="23"/>
  <c r="BG21" i="23"/>
  <c r="BG18" i="23"/>
  <c r="BG28" i="23" s="1"/>
  <c r="BG12" i="23"/>
  <c r="BE46" i="23"/>
  <c r="BE47" i="23"/>
  <c r="BE37" i="23"/>
  <c r="BE38" i="23"/>
  <c r="BE21" i="23"/>
  <c r="BE18" i="23"/>
  <c r="BE28" i="23" s="1"/>
  <c r="BE12" i="23"/>
  <c r="BC27" i="23"/>
  <c r="BC46" i="23"/>
  <c r="BC47" i="23"/>
  <c r="BC37" i="23"/>
  <c r="BC38" i="23"/>
  <c r="BC21" i="23"/>
  <c r="BC18" i="23"/>
  <c r="BC12" i="23"/>
  <c r="BA46" i="23"/>
  <c r="BA47" i="23"/>
  <c r="BA37" i="23"/>
  <c r="BA38" i="23"/>
  <c r="BA21" i="23"/>
  <c r="BA18" i="23"/>
  <c r="BA28" i="23" s="1"/>
  <c r="BA12" i="23"/>
  <c r="AY27" i="23"/>
  <c r="AY46" i="23"/>
  <c r="AY47" i="23"/>
  <c r="AY37" i="23"/>
  <c r="AY38" i="23"/>
  <c r="AY21" i="23"/>
  <c r="AY18" i="23"/>
  <c r="AY12" i="23"/>
  <c r="AW9" i="23"/>
  <c r="AW8" i="23"/>
  <c r="AW46" i="23"/>
  <c r="AW47" i="23"/>
  <c r="AW37" i="23"/>
  <c r="AW38" i="23"/>
  <c r="AW21" i="23"/>
  <c r="AW18" i="23"/>
  <c r="AW28" i="23" s="1"/>
  <c r="AW12" i="23"/>
  <c r="AU46" i="23"/>
  <c r="AU47" i="23"/>
  <c r="AU37" i="23"/>
  <c r="AU38" i="23"/>
  <c r="AU27" i="23"/>
  <c r="AU21" i="23"/>
  <c r="AU18" i="23"/>
  <c r="AU12" i="23"/>
  <c r="AS46" i="23"/>
  <c r="AS47" i="23"/>
  <c r="AS37" i="23"/>
  <c r="AS38" i="23"/>
  <c r="AS27" i="23"/>
  <c r="AS21" i="23"/>
  <c r="AS18" i="23"/>
  <c r="AS12" i="23"/>
  <c r="AQ46" i="23"/>
  <c r="AQ47" i="23"/>
  <c r="AQ37" i="23"/>
  <c r="AQ38" i="23"/>
  <c r="AQ21" i="23"/>
  <c r="AQ18" i="23"/>
  <c r="AQ28" i="23" s="1"/>
  <c r="AQ12" i="23"/>
  <c r="AO46" i="23"/>
  <c r="AO47" i="23"/>
  <c r="AO37" i="23"/>
  <c r="AO38" i="23"/>
  <c r="AO27" i="23"/>
  <c r="AO21" i="23"/>
  <c r="AO18" i="23"/>
  <c r="AO12" i="23"/>
  <c r="AM49" i="23"/>
  <c r="AM46" i="23"/>
  <c r="AM47" i="23"/>
  <c r="AM37" i="23"/>
  <c r="AM38" i="23"/>
  <c r="AM21" i="23"/>
  <c r="AM18" i="23"/>
  <c r="AM12" i="23"/>
  <c r="AK49" i="23"/>
  <c r="AK46" i="23"/>
  <c r="AK47" i="23"/>
  <c r="AK37" i="23"/>
  <c r="AK38" i="23"/>
  <c r="AK21" i="23"/>
  <c r="AK18" i="23"/>
  <c r="AK12" i="23"/>
  <c r="AI46" i="23"/>
  <c r="AI47" i="23"/>
  <c r="AI37" i="23"/>
  <c r="AI38" i="23"/>
  <c r="AI27" i="23"/>
  <c r="AI21" i="23"/>
  <c r="AI18" i="23"/>
  <c r="AI28" i="23" s="1"/>
  <c r="AI12" i="23"/>
  <c r="AG46" i="23"/>
  <c r="AG47" i="23"/>
  <c r="AG37" i="23"/>
  <c r="AG38" i="23"/>
  <c r="AG27" i="23"/>
  <c r="AG21" i="23"/>
  <c r="AG18" i="23"/>
  <c r="AG12" i="23"/>
  <c r="AE46" i="23"/>
  <c r="AE47" i="23"/>
  <c r="AE37" i="23"/>
  <c r="AE38" i="23"/>
  <c r="AE27" i="23"/>
  <c r="AE21" i="23"/>
  <c r="AE18" i="23"/>
  <c r="AE28" i="23" s="1"/>
  <c r="AE12" i="23"/>
  <c r="AC27" i="23"/>
  <c r="AC21" i="23"/>
  <c r="AC18" i="23"/>
  <c r="AC12" i="23"/>
  <c r="AA46" i="23"/>
  <c r="AA38" i="23"/>
  <c r="AA27" i="23"/>
  <c r="AA21" i="23"/>
  <c r="AA18" i="23"/>
  <c r="AA28" i="23" s="1"/>
  <c r="AA12" i="23"/>
  <c r="Y47" i="23"/>
  <c r="Y46" i="23"/>
  <c r="Y38" i="23"/>
  <c r="Y27" i="23"/>
  <c r="Y21" i="23"/>
  <c r="Y12" i="23"/>
  <c r="W37" i="23"/>
  <c r="W47" i="23"/>
  <c r="W38" i="23"/>
  <c r="W21" i="23"/>
  <c r="W18" i="23"/>
  <c r="W28" i="23" s="1"/>
  <c r="W12" i="23"/>
  <c r="U46" i="23"/>
  <c r="U47" i="23"/>
  <c r="U37" i="23"/>
  <c r="U38" i="23"/>
  <c r="U21" i="23"/>
  <c r="U18" i="23"/>
  <c r="U28" i="23" s="1"/>
  <c r="U12" i="23"/>
  <c r="S46" i="23"/>
  <c r="S47" i="23"/>
  <c r="S37" i="23"/>
  <c r="S38" i="23"/>
  <c r="S27" i="23"/>
  <c r="S21" i="23"/>
  <c r="S18" i="23"/>
  <c r="S28" i="23" s="1"/>
  <c r="S12" i="23"/>
  <c r="Q46" i="23"/>
  <c r="Q47" i="23"/>
  <c r="Q37" i="23"/>
  <c r="Q38" i="23"/>
  <c r="Q27" i="23"/>
  <c r="Q21" i="23"/>
  <c r="Q18" i="23"/>
  <c r="Q12" i="23"/>
  <c r="O46" i="23"/>
  <c r="O47" i="23"/>
  <c r="O37" i="23"/>
  <c r="O38" i="23"/>
  <c r="O27" i="23"/>
  <c r="O21" i="23"/>
  <c r="O18" i="23"/>
  <c r="O28" i="23" s="1"/>
  <c r="O12" i="23"/>
  <c r="M46" i="23"/>
  <c r="M47" i="23"/>
  <c r="M37" i="23"/>
  <c r="M38" i="23"/>
  <c r="M27" i="23"/>
  <c r="M21" i="23"/>
  <c r="M18" i="23"/>
  <c r="M12" i="23"/>
  <c r="K46" i="23"/>
  <c r="K47" i="23"/>
  <c r="K37" i="23"/>
  <c r="K38" i="23"/>
  <c r="IG38" i="23" s="1"/>
  <c r="K27" i="23"/>
  <c r="K21" i="23"/>
  <c r="K18" i="23"/>
  <c r="K12" i="23"/>
  <c r="IG12" i="23" s="1"/>
  <c r="I46" i="23"/>
  <c r="I47" i="23"/>
  <c r="I37" i="23"/>
  <c r="I38" i="23"/>
  <c r="I27" i="23"/>
  <c r="I21" i="23"/>
  <c r="I18" i="23"/>
  <c r="I12" i="23"/>
  <c r="G46" i="23"/>
  <c r="G47" i="23"/>
  <c r="G37" i="23"/>
  <c r="G38" i="23"/>
  <c r="G27" i="23"/>
  <c r="G21" i="23"/>
  <c r="G18" i="23"/>
  <c r="G12" i="23"/>
  <c r="E46" i="23"/>
  <c r="E47" i="23"/>
  <c r="E37" i="23"/>
  <c r="E38" i="23"/>
  <c r="E27" i="23"/>
  <c r="E21" i="23"/>
  <c r="E18" i="23"/>
  <c r="E12" i="23"/>
  <c r="AF61" i="128"/>
  <c r="CB57" i="128"/>
  <c r="CG53" i="128"/>
  <c r="CG56" i="128" s="1"/>
  <c r="CB53" i="128"/>
  <c r="BZ53" i="128"/>
  <c r="BX53" i="128"/>
  <c r="BT53" i="128"/>
  <c r="BR53" i="128"/>
  <c r="BP53" i="128"/>
  <c r="BN53" i="128"/>
  <c r="BH53" i="128"/>
  <c r="BF53" i="128"/>
  <c r="BD53" i="128"/>
  <c r="BB53" i="128"/>
  <c r="AZ53" i="128"/>
  <c r="AX53" i="128"/>
  <c r="AV53" i="128"/>
  <c r="AT53" i="128"/>
  <c r="AR53" i="128"/>
  <c r="AP53" i="128"/>
  <c r="AN53" i="128"/>
  <c r="AL53" i="128"/>
  <c r="AJ53" i="128"/>
  <c r="AH53" i="128"/>
  <c r="AF53" i="128"/>
  <c r="AD53" i="128"/>
  <c r="AB53" i="128"/>
  <c r="T53" i="128"/>
  <c r="L53" i="128"/>
  <c r="D53" i="128"/>
  <c r="CB52" i="128"/>
  <c r="BZ52" i="128"/>
  <c r="BX52" i="128"/>
  <c r="BT52" i="128"/>
  <c r="BR52" i="128"/>
  <c r="BP52" i="128"/>
  <c r="BN52" i="128"/>
  <c r="BH52" i="128"/>
  <c r="BF52" i="128"/>
  <c r="BD52" i="128"/>
  <c r="BB52" i="128"/>
  <c r="AZ52" i="128"/>
  <c r="AX52" i="128"/>
  <c r="AV52" i="128"/>
  <c r="AT52" i="128"/>
  <c r="AR52" i="128"/>
  <c r="AP52" i="128"/>
  <c r="AN52" i="128"/>
  <c r="AL52" i="128"/>
  <c r="AJ52" i="128"/>
  <c r="AH52" i="128"/>
  <c r="AF52" i="128"/>
  <c r="AD52" i="128"/>
  <c r="AB52" i="128"/>
  <c r="T52" i="128"/>
  <c r="L52" i="128"/>
  <c r="D52" i="128"/>
  <c r="CB51" i="128"/>
  <c r="BZ51" i="128"/>
  <c r="BX51" i="128"/>
  <c r="BT51" i="128"/>
  <c r="BR51" i="128"/>
  <c r="BP51" i="128"/>
  <c r="BN51" i="128"/>
  <c r="BH51" i="128"/>
  <c r="BF51" i="128"/>
  <c r="BD51" i="128"/>
  <c r="BB51" i="128"/>
  <c r="AZ51" i="128"/>
  <c r="AX51" i="128"/>
  <c r="AV51" i="128"/>
  <c r="AT51" i="128"/>
  <c r="AR51" i="128"/>
  <c r="AP51" i="128"/>
  <c r="AN51" i="128"/>
  <c r="AL51" i="128"/>
  <c r="AJ51" i="128"/>
  <c r="AH51" i="128"/>
  <c r="AF51" i="128"/>
  <c r="AD51" i="128"/>
  <c r="AB51" i="128"/>
  <c r="T51" i="128"/>
  <c r="L51" i="128"/>
  <c r="D51" i="128"/>
  <c r="CB50" i="128"/>
  <c r="H50" i="43" s="1"/>
  <c r="CG51" i="128"/>
  <c r="CB49" i="128"/>
  <c r="H49" i="43" s="1"/>
  <c r="CB48" i="128"/>
  <c r="CB47" i="128"/>
  <c r="BT47" i="128"/>
  <c r="BR47" i="128"/>
  <c r="BP47" i="128"/>
  <c r="BN47" i="128"/>
  <c r="BL47" i="128"/>
  <c r="BJ47" i="128"/>
  <c r="BH47" i="128"/>
  <c r="BF47" i="128"/>
  <c r="BD47" i="128"/>
  <c r="BB47" i="128"/>
  <c r="AZ47" i="128"/>
  <c r="AX47" i="128"/>
  <c r="AV47" i="128"/>
  <c r="AT47" i="128"/>
  <c r="AR47" i="128"/>
  <c r="AP47" i="128"/>
  <c r="AN47" i="128"/>
  <c r="AL47" i="128"/>
  <c r="AJ47" i="128"/>
  <c r="AH47" i="128"/>
  <c r="AF47" i="128"/>
  <c r="AD47" i="128"/>
  <c r="AB47" i="128"/>
  <c r="Z47" i="128"/>
  <c r="X47" i="128"/>
  <c r="V47" i="128"/>
  <c r="T47" i="128"/>
  <c r="R47" i="128"/>
  <c r="P47" i="128"/>
  <c r="N47" i="128"/>
  <c r="L47" i="128"/>
  <c r="J47" i="128"/>
  <c r="H47" i="128"/>
  <c r="F47" i="128"/>
  <c r="D47" i="128"/>
  <c r="CB46" i="128"/>
  <c r="BN46" i="128"/>
  <c r="BL46" i="128"/>
  <c r="BJ46" i="128"/>
  <c r="BF46" i="128"/>
  <c r="BD46" i="128"/>
  <c r="BB46" i="128"/>
  <c r="AZ46" i="128"/>
  <c r="AX46" i="128"/>
  <c r="AV46" i="128"/>
  <c r="AT46" i="128"/>
  <c r="AR46" i="128"/>
  <c r="AP46" i="128"/>
  <c r="AN46" i="128"/>
  <c r="AL46" i="128"/>
  <c r="AJ46" i="128"/>
  <c r="AH46" i="128"/>
  <c r="AF46" i="128"/>
  <c r="AD46" i="128"/>
  <c r="AB46" i="128"/>
  <c r="Z46" i="128"/>
  <c r="X46" i="128"/>
  <c r="V46" i="128"/>
  <c r="T46" i="128"/>
  <c r="R46" i="128"/>
  <c r="P46" i="128"/>
  <c r="N46" i="128"/>
  <c r="L46" i="128"/>
  <c r="J46" i="128"/>
  <c r="H46" i="128"/>
  <c r="F46" i="128"/>
  <c r="D46" i="128"/>
  <c r="CB45" i="128"/>
  <c r="H45" i="43" s="1"/>
  <c r="CB44" i="128"/>
  <c r="H44" i="43" s="1"/>
  <c r="CB43" i="128"/>
  <c r="H43" i="43" s="1"/>
  <c r="CB42" i="128"/>
  <c r="H42" i="43" s="1"/>
  <c r="CB41" i="128"/>
  <c r="H41" i="43" s="1"/>
  <c r="CB40" i="128"/>
  <c r="H40" i="43" s="1"/>
  <c r="CB39" i="128"/>
  <c r="H39" i="43" s="1"/>
  <c r="CB38" i="128"/>
  <c r="BT38" i="128"/>
  <c r="BR38" i="128"/>
  <c r="BP38" i="128"/>
  <c r="BN38" i="128"/>
  <c r="BL38" i="128"/>
  <c r="BJ38" i="128"/>
  <c r="BH38" i="128"/>
  <c r="BF38" i="128"/>
  <c r="BD38" i="128"/>
  <c r="BB38" i="128"/>
  <c r="AZ38" i="128"/>
  <c r="AX38" i="128"/>
  <c r="AV38" i="128"/>
  <c r="AT38" i="128"/>
  <c r="AR38" i="128"/>
  <c r="AP38" i="128"/>
  <c r="AN38" i="128"/>
  <c r="AL38" i="128"/>
  <c r="AJ38" i="128"/>
  <c r="AH38" i="128"/>
  <c r="AF38" i="128"/>
  <c r="AD38" i="128"/>
  <c r="AB38" i="128"/>
  <c r="Z38" i="128"/>
  <c r="X38" i="128"/>
  <c r="V38" i="128"/>
  <c r="T38" i="128"/>
  <c r="R38" i="128"/>
  <c r="P38" i="128"/>
  <c r="N38" i="128"/>
  <c r="L38" i="128"/>
  <c r="J38" i="128"/>
  <c r="H38" i="128"/>
  <c r="F38" i="128"/>
  <c r="D38" i="128"/>
  <c r="CB37" i="128"/>
  <c r="BN37" i="128"/>
  <c r="BL37" i="128"/>
  <c r="BJ37" i="128"/>
  <c r="BF37" i="128"/>
  <c r="BD37" i="128"/>
  <c r="BB37" i="128"/>
  <c r="AZ37" i="128"/>
  <c r="AX37" i="128"/>
  <c r="AV37" i="128"/>
  <c r="AT37" i="128"/>
  <c r="AR37" i="128"/>
  <c r="AP37" i="128"/>
  <c r="AN37" i="128"/>
  <c r="AL37" i="128"/>
  <c r="AJ37" i="128"/>
  <c r="AH37" i="128"/>
  <c r="AF37" i="128"/>
  <c r="AD37" i="128"/>
  <c r="AB37" i="128"/>
  <c r="Z37" i="128"/>
  <c r="X37" i="128"/>
  <c r="V37" i="128"/>
  <c r="T37" i="128"/>
  <c r="R37" i="128"/>
  <c r="P37" i="128"/>
  <c r="N37" i="128"/>
  <c r="L37" i="128"/>
  <c r="J37" i="128"/>
  <c r="H37" i="128"/>
  <c r="F37" i="128"/>
  <c r="D37" i="128"/>
  <c r="CB36" i="128"/>
  <c r="H36" i="43" s="1"/>
  <c r="CB35" i="128"/>
  <c r="H35" i="43" s="1"/>
  <c r="CB34" i="128"/>
  <c r="H34" i="43" s="1"/>
  <c r="CB33" i="128"/>
  <c r="H33" i="43" s="1"/>
  <c r="CB32" i="128"/>
  <c r="BT32" i="128"/>
  <c r="BU32" i="128" s="1"/>
  <c r="BP32" i="128"/>
  <c r="BQ32" i="128" s="1"/>
  <c r="CB31" i="128"/>
  <c r="H31" i="43" s="1"/>
  <c r="CB30" i="128"/>
  <c r="H30" i="43" s="1"/>
  <c r="BR30" i="128"/>
  <c r="BS30" i="128" s="1"/>
  <c r="BH30" i="128"/>
  <c r="CB29" i="128"/>
  <c r="CB28" i="128"/>
  <c r="CB27" i="128"/>
  <c r="BR27" i="128"/>
  <c r="BP27" i="128"/>
  <c r="BN27" i="128"/>
  <c r="BJ27" i="128"/>
  <c r="AX27" i="128"/>
  <c r="AT27" i="128"/>
  <c r="AP27" i="128"/>
  <c r="AN27" i="128"/>
  <c r="AF27" i="128"/>
  <c r="AD27" i="128"/>
  <c r="AB27" i="128"/>
  <c r="R27" i="128"/>
  <c r="CB26" i="128"/>
  <c r="H26" i="43" s="1"/>
  <c r="CB25" i="128"/>
  <c r="H25" i="43" s="1"/>
  <c r="CB24" i="128"/>
  <c r="H24" i="43" s="1"/>
  <c r="CB23" i="128"/>
  <c r="H23" i="43" s="1"/>
  <c r="CB22" i="128"/>
  <c r="H22" i="43" s="1"/>
  <c r="CB21" i="128"/>
  <c r="BT21" i="128"/>
  <c r="BR21" i="128"/>
  <c r="BP21" i="128"/>
  <c r="BN21" i="128"/>
  <c r="BL21" i="128"/>
  <c r="BJ21" i="128"/>
  <c r="BF21" i="128"/>
  <c r="BD21" i="128"/>
  <c r="BB21" i="128"/>
  <c r="AZ21" i="128"/>
  <c r="AX21" i="128"/>
  <c r="AV21" i="128"/>
  <c r="AT21" i="128"/>
  <c r="AR21" i="128"/>
  <c r="AP21" i="128"/>
  <c r="AN21" i="128"/>
  <c r="AL21" i="128"/>
  <c r="AJ21" i="128"/>
  <c r="AH21" i="128"/>
  <c r="AF21" i="128"/>
  <c r="AD21" i="128"/>
  <c r="AB21" i="128"/>
  <c r="Z21" i="128"/>
  <c r="X21" i="128"/>
  <c r="V21" i="128"/>
  <c r="T21" i="128"/>
  <c r="R21" i="128"/>
  <c r="P21" i="128"/>
  <c r="N21" i="128"/>
  <c r="L21" i="128"/>
  <c r="J21" i="128"/>
  <c r="H21" i="128"/>
  <c r="F21" i="128"/>
  <c r="D21" i="128"/>
  <c r="CB20" i="128"/>
  <c r="CB19" i="128"/>
  <c r="H19" i="43" s="1"/>
  <c r="BL19" i="128"/>
  <c r="BM19" i="128" s="1"/>
  <c r="AV19" i="128"/>
  <c r="AW19" i="128" s="1"/>
  <c r="AL19" i="128"/>
  <c r="AM19" i="128" s="1"/>
  <c r="AD19" i="128"/>
  <c r="AD18" i="128" s="1"/>
  <c r="AB19" i="128"/>
  <c r="CB18" i="128"/>
  <c r="BT18" i="128"/>
  <c r="BT28" i="128" s="1"/>
  <c r="BR18" i="128"/>
  <c r="BR28" i="128" s="1"/>
  <c r="BP18" i="128"/>
  <c r="BN18" i="128"/>
  <c r="BJ18" i="128"/>
  <c r="BJ28" i="128" s="1"/>
  <c r="BH18" i="128"/>
  <c r="BH28" i="128" s="1"/>
  <c r="BF18" i="128"/>
  <c r="BD18" i="128"/>
  <c r="BD28" i="128" s="1"/>
  <c r="BB18" i="128"/>
  <c r="BB28" i="128" s="1"/>
  <c r="AZ18" i="128"/>
  <c r="AX18" i="128"/>
  <c r="AT18" i="128"/>
  <c r="AT28" i="128" s="1"/>
  <c r="AR18" i="128"/>
  <c r="AP18" i="128"/>
  <c r="AN18" i="128"/>
  <c r="AN28" i="128" s="1"/>
  <c r="AJ18" i="128"/>
  <c r="AH18" i="128"/>
  <c r="AF18" i="128"/>
  <c r="AF28" i="128" s="1"/>
  <c r="Z18" i="128"/>
  <c r="X18" i="128"/>
  <c r="X28" i="128" s="1"/>
  <c r="V18" i="128"/>
  <c r="V28" i="128" s="1"/>
  <c r="T18" i="128"/>
  <c r="R18" i="128"/>
  <c r="P18" i="128"/>
  <c r="P28" i="128" s="1"/>
  <c r="N18" i="128"/>
  <c r="N28" i="128" s="1"/>
  <c r="L18" i="128"/>
  <c r="J18" i="128"/>
  <c r="H18" i="128"/>
  <c r="H28" i="128" s="1"/>
  <c r="F18" i="128"/>
  <c r="F28" i="128" s="1"/>
  <c r="D18" i="128"/>
  <c r="CB17" i="128"/>
  <c r="H17" i="43" s="1"/>
  <c r="CB16" i="128"/>
  <c r="CB15" i="128"/>
  <c r="H15" i="43" s="1"/>
  <c r="CB14" i="128"/>
  <c r="H14" i="43" s="1"/>
  <c r="CB13" i="128"/>
  <c r="H13" i="43" s="1"/>
  <c r="BL13" i="128"/>
  <c r="BM13" i="128" s="1"/>
  <c r="BH13" i="128"/>
  <c r="BF13" i="128"/>
  <c r="BD13" i="128"/>
  <c r="BB13" i="128"/>
  <c r="AZ13" i="128"/>
  <c r="CH13" i="128" s="1"/>
  <c r="BX13" i="128" s="1"/>
  <c r="AV13" i="128"/>
  <c r="AW13" i="128" s="1"/>
  <c r="AR13" i="128"/>
  <c r="AS13" i="128" s="1"/>
  <c r="AL13" i="128"/>
  <c r="AM13" i="128" s="1"/>
  <c r="AJ13" i="128"/>
  <c r="AK13" i="128" s="1"/>
  <c r="AH13" i="128"/>
  <c r="CB12" i="128"/>
  <c r="BR12" i="128"/>
  <c r="BP12" i="128"/>
  <c r="BN12" i="128"/>
  <c r="BJ12" i="128"/>
  <c r="AX12" i="128"/>
  <c r="AT12" i="128"/>
  <c r="AP12" i="128"/>
  <c r="AN12" i="128"/>
  <c r="AF12" i="128"/>
  <c r="AD12" i="128"/>
  <c r="AB12" i="128"/>
  <c r="Z12" i="128"/>
  <c r="X12" i="128"/>
  <c r="V12" i="128"/>
  <c r="T12" i="128"/>
  <c r="R12" i="128"/>
  <c r="P12" i="128"/>
  <c r="N12" i="128"/>
  <c r="L12" i="128"/>
  <c r="J12" i="128"/>
  <c r="H12" i="128"/>
  <c r="F12" i="128"/>
  <c r="D12" i="128"/>
  <c r="CB11" i="128"/>
  <c r="H11" i="43" s="1"/>
  <c r="Z11" i="128"/>
  <c r="X11" i="128"/>
  <c r="V11" i="128"/>
  <c r="V27" i="128" s="1"/>
  <c r="T11" i="128"/>
  <c r="T27" i="128" s="1"/>
  <c r="P11" i="128"/>
  <c r="P27" i="128" s="1"/>
  <c r="N11" i="128"/>
  <c r="L11" i="128"/>
  <c r="L27" i="128" s="1"/>
  <c r="J11" i="128"/>
  <c r="J27" i="128" s="1"/>
  <c r="H11" i="128"/>
  <c r="H27" i="128" s="1"/>
  <c r="F11" i="128"/>
  <c r="F27" i="128" s="1"/>
  <c r="D11" i="128"/>
  <c r="E11" i="128" s="1"/>
  <c r="CB10" i="128"/>
  <c r="BH10" i="128"/>
  <c r="BI10" i="128" s="1"/>
  <c r="BF10" i="128"/>
  <c r="CJ10" i="128" s="1"/>
  <c r="AZ10" i="128"/>
  <c r="BA10" i="128" s="1"/>
  <c r="CB9" i="128"/>
  <c r="H9" i="43" s="1"/>
  <c r="G25" i="43" l="1"/>
  <c r="K25" i="43" s="1"/>
  <c r="K72" i="43" s="1"/>
  <c r="CE25" i="128"/>
  <c r="Z27" i="128"/>
  <c r="AA11" i="128"/>
  <c r="HM48" i="23"/>
  <c r="U48" i="128"/>
  <c r="CK37" i="128"/>
  <c r="BO48" i="128"/>
  <c r="CK46" i="128"/>
  <c r="BJ20" i="128"/>
  <c r="IE49" i="23"/>
  <c r="HM20" i="23"/>
  <c r="IG21" i="23"/>
  <c r="IE15" i="23"/>
  <c r="HW48" i="23"/>
  <c r="GG48" i="23"/>
  <c r="K28" i="23"/>
  <c r="IG9" i="23"/>
  <c r="CA9" i="128" s="1"/>
  <c r="G9" i="43" s="1"/>
  <c r="FM48" i="23"/>
  <c r="AT20" i="128"/>
  <c r="CQ48" i="23"/>
  <c r="IB20" i="23"/>
  <c r="CI47" i="128"/>
  <c r="HF48" i="23"/>
  <c r="N27" i="128"/>
  <c r="N29" i="128" s="1"/>
  <c r="O11" i="128"/>
  <c r="X27" i="128"/>
  <c r="X29" i="128" s="1"/>
  <c r="Y11" i="128"/>
  <c r="BI13" i="128"/>
  <c r="BI12" i="128" s="1"/>
  <c r="BI20" i="128" s="1"/>
  <c r="BH27" i="128"/>
  <c r="IE18" i="23"/>
  <c r="HS20" i="23"/>
  <c r="HU20" i="23"/>
  <c r="CH10" i="128"/>
  <c r="BY48" i="23"/>
  <c r="U27" i="23"/>
  <c r="FK48" i="23"/>
  <c r="HW29" i="23"/>
  <c r="CJ46" i="128"/>
  <c r="CJ47" i="128"/>
  <c r="CA46" i="23"/>
  <c r="BY33" i="128"/>
  <c r="DQ48" i="23"/>
  <c r="GY48" i="23"/>
  <c r="Q48" i="128"/>
  <c r="CH18" i="128"/>
  <c r="BG10" i="128"/>
  <c r="CK10" i="128" s="1"/>
  <c r="CH38" i="128"/>
  <c r="GE27" i="23"/>
  <c r="GE29" i="23" s="1"/>
  <c r="BY15" i="128"/>
  <c r="E28" i="128"/>
  <c r="CI28" i="128" s="1"/>
  <c r="CI18" i="128"/>
  <c r="CJ21" i="128"/>
  <c r="BL48" i="128"/>
  <c r="FU48" i="23"/>
  <c r="FW48" i="23"/>
  <c r="FY48" i="23"/>
  <c r="GK12" i="23"/>
  <c r="GK20" i="23" s="1"/>
  <c r="HS48" i="23"/>
  <c r="HU48" i="23"/>
  <c r="CI21" i="128"/>
  <c r="FS48" i="23"/>
  <c r="GA20" i="23"/>
  <c r="HG20" i="23"/>
  <c r="HW20" i="23"/>
  <c r="IC20" i="23"/>
  <c r="CI38" i="128"/>
  <c r="CH47" i="128"/>
  <c r="CA38" i="128"/>
  <c r="G38" i="43" s="1"/>
  <c r="CJ37" i="128"/>
  <c r="CJ38" i="128"/>
  <c r="IB29" i="23"/>
  <c r="IB48" i="23"/>
  <c r="Y48" i="128"/>
  <c r="BR20" i="128"/>
  <c r="CH21" i="128"/>
  <c r="BY49" i="128"/>
  <c r="EO48" i="23"/>
  <c r="CA21" i="128"/>
  <c r="G21" i="43" s="1"/>
  <c r="BS37" i="128"/>
  <c r="BS46" i="128"/>
  <c r="BS48" i="128" s="1"/>
  <c r="R18" i="43"/>
  <c r="D13" i="43"/>
  <c r="FO20" i="23"/>
  <c r="BU37" i="128"/>
  <c r="C54" i="123"/>
  <c r="BH12" i="128"/>
  <c r="CH30" i="128"/>
  <c r="CH32" i="128"/>
  <c r="D27" i="128"/>
  <c r="CH11" i="128"/>
  <c r="AH27" i="128"/>
  <c r="CJ13" i="128"/>
  <c r="BZ13" i="128" s="1"/>
  <c r="CD13" i="128" s="1"/>
  <c r="AB18" i="128"/>
  <c r="CJ19" i="128"/>
  <c r="G48" i="128"/>
  <c r="S48" i="128"/>
  <c r="CI10" i="128"/>
  <c r="M48" i="128"/>
  <c r="AC48" i="128"/>
  <c r="BU46" i="128"/>
  <c r="BU48" i="128" s="1"/>
  <c r="BP46" i="128"/>
  <c r="CI32" i="128"/>
  <c r="BY32" i="128" s="1"/>
  <c r="CE32" i="128" s="1"/>
  <c r="BL18" i="128"/>
  <c r="BL28" i="128" s="1"/>
  <c r="BM18" i="128"/>
  <c r="BL27" i="128"/>
  <c r="BI27" i="128"/>
  <c r="BI29" i="128" s="1"/>
  <c r="BH46" i="128"/>
  <c r="BI30" i="128"/>
  <c r="CI30" i="128" s="1"/>
  <c r="BY30" i="128" s="1"/>
  <c r="CE30" i="128" s="1"/>
  <c r="BF12" i="128"/>
  <c r="BF20" i="128" s="1"/>
  <c r="BG13" i="128"/>
  <c r="BD27" i="128"/>
  <c r="BD29" i="128" s="1"/>
  <c r="BE13" i="128"/>
  <c r="BA13" i="128"/>
  <c r="BB27" i="128"/>
  <c r="BB29" i="128" s="1"/>
  <c r="BC13" i="128"/>
  <c r="E48" i="128"/>
  <c r="AA48" i="128"/>
  <c r="AI48" i="128"/>
  <c r="K48" i="128"/>
  <c r="AE48" i="128"/>
  <c r="AG48" i="128"/>
  <c r="AV18" i="128"/>
  <c r="AV28" i="128" s="1"/>
  <c r="AW18" i="128"/>
  <c r="AV27" i="128"/>
  <c r="AR27" i="128"/>
  <c r="D48" i="128"/>
  <c r="L48" i="128"/>
  <c r="T48" i="128"/>
  <c r="AB48" i="128"/>
  <c r="AJ48" i="128"/>
  <c r="AR48" i="128"/>
  <c r="AZ48" i="128"/>
  <c r="N48" i="128"/>
  <c r="O48" i="128"/>
  <c r="V29" i="128"/>
  <c r="AJ27" i="128"/>
  <c r="AG20" i="128"/>
  <c r="AL27" i="128"/>
  <c r="AL18" i="128"/>
  <c r="AL28" i="128" s="1"/>
  <c r="AM18" i="128"/>
  <c r="AG28" i="128"/>
  <c r="AG29" i="128" s="1"/>
  <c r="AI13" i="128"/>
  <c r="CK13" i="128" s="1"/>
  <c r="F48" i="128"/>
  <c r="V48" i="128"/>
  <c r="AD48" i="128"/>
  <c r="AL48" i="128"/>
  <c r="AT48" i="128"/>
  <c r="BB48" i="128"/>
  <c r="S20" i="128"/>
  <c r="S29" i="128"/>
  <c r="H48" i="128"/>
  <c r="P48" i="128"/>
  <c r="AF48" i="128"/>
  <c r="AN48" i="128"/>
  <c r="AV48" i="128"/>
  <c r="L54" i="128"/>
  <c r="AF54" i="128"/>
  <c r="AN54" i="128"/>
  <c r="AV54" i="128"/>
  <c r="BD54" i="128"/>
  <c r="BP54" i="128"/>
  <c r="BZ54" i="128"/>
  <c r="I48" i="128"/>
  <c r="W48" i="128"/>
  <c r="J48" i="128"/>
  <c r="R48" i="128"/>
  <c r="Z48" i="128"/>
  <c r="AH48" i="128"/>
  <c r="AP48" i="128"/>
  <c r="AX48" i="128"/>
  <c r="BF48" i="128"/>
  <c r="AC19" i="128"/>
  <c r="CK19" i="128" s="1"/>
  <c r="AE19" i="128"/>
  <c r="AE18" i="128" s="1"/>
  <c r="AE28" i="128" s="1"/>
  <c r="AE29" i="128" s="1"/>
  <c r="U11" i="128"/>
  <c r="W11" i="128"/>
  <c r="Q11" i="128"/>
  <c r="M11" i="128"/>
  <c r="I11" i="128"/>
  <c r="K11" i="128"/>
  <c r="G11" i="128"/>
  <c r="X48" i="128"/>
  <c r="BD48" i="128"/>
  <c r="T54" i="128"/>
  <c r="AH54" i="128"/>
  <c r="AP54" i="128"/>
  <c r="AX54" i="128"/>
  <c r="BF54" i="128"/>
  <c r="BR54" i="128"/>
  <c r="CB54" i="128"/>
  <c r="F29" i="128"/>
  <c r="P20" i="128"/>
  <c r="D54" i="128"/>
  <c r="AD54" i="128"/>
  <c r="AL54" i="128"/>
  <c r="AT54" i="128"/>
  <c r="BB54" i="128"/>
  <c r="BN54" i="128"/>
  <c r="BX54" i="128"/>
  <c r="AZ27" i="128"/>
  <c r="AZ12" i="128"/>
  <c r="CE48" i="23"/>
  <c r="FA48" i="23"/>
  <c r="FE48" i="23"/>
  <c r="FG48" i="23"/>
  <c r="HG48" i="23"/>
  <c r="HI20" i="23"/>
  <c r="EQ48" i="23"/>
  <c r="FE20" i="23"/>
  <c r="FG20" i="23"/>
  <c r="GC29" i="23"/>
  <c r="GM48" i="23"/>
  <c r="GS29" i="23"/>
  <c r="GU29" i="23"/>
  <c r="HF29" i="23"/>
  <c r="HO48" i="23"/>
  <c r="HU29" i="23"/>
  <c r="BW48" i="23"/>
  <c r="CI20" i="23"/>
  <c r="HQ48" i="23"/>
  <c r="HQ29" i="23"/>
  <c r="HS29" i="23"/>
  <c r="HO29" i="23"/>
  <c r="DA37" i="23"/>
  <c r="EI48" i="23"/>
  <c r="EY27" i="23"/>
  <c r="EY29" i="23" s="1"/>
  <c r="FE29" i="23"/>
  <c r="FG29" i="23"/>
  <c r="FQ20" i="23"/>
  <c r="GA48" i="23"/>
  <c r="GC48" i="23"/>
  <c r="GE48" i="23"/>
  <c r="HA48" i="23"/>
  <c r="HC20" i="23"/>
  <c r="HI48" i="23"/>
  <c r="HK20" i="23"/>
  <c r="HQ20" i="23"/>
  <c r="HM28" i="23"/>
  <c r="HM29" i="23" s="1"/>
  <c r="DE48" i="23"/>
  <c r="DG48" i="23"/>
  <c r="ES27" i="23"/>
  <c r="ES29" i="23" s="1"/>
  <c r="EU20" i="23"/>
  <c r="FC20" i="23"/>
  <c r="FI48" i="23"/>
  <c r="FK20" i="23"/>
  <c r="FQ29" i="23"/>
  <c r="GC20" i="23"/>
  <c r="GE12" i="23"/>
  <c r="GE20" i="23" s="1"/>
  <c r="GI48" i="23"/>
  <c r="HK48" i="23"/>
  <c r="HO20" i="23"/>
  <c r="FC29" i="23"/>
  <c r="FK29" i="23"/>
  <c r="GK48" i="23"/>
  <c r="GS20" i="23"/>
  <c r="GU20" i="23"/>
  <c r="GW20" i="23"/>
  <c r="HF20" i="23"/>
  <c r="HG28" i="23"/>
  <c r="HG29" i="23" s="1"/>
  <c r="HI29" i="23"/>
  <c r="HC29" i="23"/>
  <c r="GI29" i="23"/>
  <c r="GM29" i="23"/>
  <c r="CU48" i="23"/>
  <c r="DI48" i="23"/>
  <c r="DM46" i="23"/>
  <c r="DQ20" i="23"/>
  <c r="DY48" i="23"/>
  <c r="EM46" i="23"/>
  <c r="EM48" i="23" s="1"/>
  <c r="EY48" i="23"/>
  <c r="GW29" i="23"/>
  <c r="CK20" i="23"/>
  <c r="ES20" i="23"/>
  <c r="EU28" i="23"/>
  <c r="EU29" i="23" s="1"/>
  <c r="FI20" i="23"/>
  <c r="FY20" i="23"/>
  <c r="GA29" i="23"/>
  <c r="GI20" i="23"/>
  <c r="GM20" i="23"/>
  <c r="HK29" i="23"/>
  <c r="FI29" i="23"/>
  <c r="FY29" i="23"/>
  <c r="GK29" i="23"/>
  <c r="CC20" i="23"/>
  <c r="CC48" i="23"/>
  <c r="CE20" i="23"/>
  <c r="CM48" i="23"/>
  <c r="ES48" i="23"/>
  <c r="FC48" i="23"/>
  <c r="FO48" i="23"/>
  <c r="GQ48" i="23"/>
  <c r="HE48" i="23"/>
  <c r="CG48" i="128" s="1"/>
  <c r="M48" i="43" s="1"/>
  <c r="AW48" i="23"/>
  <c r="CO48" i="23"/>
  <c r="CW37" i="23"/>
  <c r="DO48" i="23"/>
  <c r="DS48" i="23"/>
  <c r="EC37" i="23"/>
  <c r="EI37" i="23"/>
  <c r="EU48" i="23"/>
  <c r="CU37" i="23"/>
  <c r="EW20" i="23"/>
  <c r="EY20" i="23"/>
  <c r="EW29" i="23"/>
  <c r="CA37" i="23"/>
  <c r="CE29" i="23"/>
  <c r="CG48" i="23"/>
  <c r="CI48" i="23"/>
  <c r="CS48" i="23"/>
  <c r="CW48" i="23"/>
  <c r="DA27" i="23"/>
  <c r="DC48" i="23"/>
  <c r="DG27" i="23"/>
  <c r="DG29" i="23" s="1"/>
  <c r="DK48" i="23"/>
  <c r="DU48" i="23"/>
  <c r="EA48" i="23"/>
  <c r="DK29" i="23"/>
  <c r="BM48" i="23"/>
  <c r="BS48" i="23"/>
  <c r="CK48" i="23"/>
  <c r="CO20" i="23"/>
  <c r="CS20" i="23"/>
  <c r="DG20" i="23"/>
  <c r="DK20" i="23"/>
  <c r="DO20" i="23"/>
  <c r="DS27" i="23"/>
  <c r="DS29" i="23" s="1"/>
  <c r="DY20" i="23"/>
  <c r="EG46" i="23"/>
  <c r="EG48" i="23" s="1"/>
  <c r="BK48" i="23"/>
  <c r="CA48" i="23"/>
  <c r="CC29" i="23"/>
  <c r="CK27" i="23"/>
  <c r="CK29" i="23" s="1"/>
  <c r="CM20" i="23"/>
  <c r="CO27" i="23"/>
  <c r="CO29" i="23" s="1"/>
  <c r="DQ29" i="23"/>
  <c r="DS20" i="23"/>
  <c r="CI29" i="23"/>
  <c r="DY28" i="23"/>
  <c r="DY29" i="23" s="1"/>
  <c r="CS29" i="23"/>
  <c r="DW48" i="23"/>
  <c r="EC48" i="23"/>
  <c r="DU29" i="23"/>
  <c r="EA29" i="23"/>
  <c r="CC37" i="23"/>
  <c r="AY48" i="23"/>
  <c r="DA48" i="23"/>
  <c r="DU20" i="23"/>
  <c r="EA20" i="23"/>
  <c r="CM29" i="23"/>
  <c r="DC37" i="23"/>
  <c r="AU20" i="23"/>
  <c r="BA48" i="23"/>
  <c r="BO48" i="23"/>
  <c r="BQ48" i="23"/>
  <c r="BU48" i="23"/>
  <c r="DO29" i="23"/>
  <c r="AS48" i="23"/>
  <c r="AY20" i="23"/>
  <c r="BI48" i="23"/>
  <c r="AW27" i="23"/>
  <c r="AW29" i="23" s="1"/>
  <c r="AE20" i="23"/>
  <c r="AY28" i="23"/>
  <c r="AY29" i="23" s="1"/>
  <c r="BC48" i="23"/>
  <c r="BE48" i="23"/>
  <c r="BI28" i="23"/>
  <c r="AU48" i="23"/>
  <c r="BC20" i="23"/>
  <c r="BG48" i="23"/>
  <c r="BC28" i="23"/>
  <c r="BC29" i="23" s="1"/>
  <c r="W46" i="23"/>
  <c r="AO48" i="23"/>
  <c r="AQ48" i="23"/>
  <c r="AW20" i="23"/>
  <c r="BA20" i="23"/>
  <c r="AM48" i="23"/>
  <c r="BA27" i="23"/>
  <c r="BA29" i="23" s="1"/>
  <c r="AO20" i="23"/>
  <c r="E48" i="23"/>
  <c r="I48" i="23"/>
  <c r="K48" i="23"/>
  <c r="O48" i="23"/>
  <c r="U48" i="23"/>
  <c r="K20" i="23"/>
  <c r="AE48" i="23"/>
  <c r="AG48" i="23"/>
  <c r="AI20" i="23"/>
  <c r="AK48" i="23"/>
  <c r="AS20" i="23"/>
  <c r="AC20" i="23"/>
  <c r="AI48" i="23"/>
  <c r="AO28" i="23"/>
  <c r="AO29" i="23" s="1"/>
  <c r="AS28" i="23"/>
  <c r="AS29" i="23" s="1"/>
  <c r="I20" i="23"/>
  <c r="Y37" i="23"/>
  <c r="AE29" i="23"/>
  <c r="AU28" i="23"/>
  <c r="AU29" i="23" s="1"/>
  <c r="G48" i="23"/>
  <c r="M48" i="23"/>
  <c r="Q48" i="23"/>
  <c r="S48" i="23"/>
  <c r="O29" i="23"/>
  <c r="S29" i="23"/>
  <c r="AI29" i="23"/>
  <c r="AA29" i="23"/>
  <c r="AC28" i="23"/>
  <c r="AC29" i="23" s="1"/>
  <c r="O20" i="23"/>
  <c r="S20" i="23"/>
  <c r="U20" i="23"/>
  <c r="I28" i="23"/>
  <c r="I29" i="23" s="1"/>
  <c r="AA20" i="23"/>
  <c r="U29" i="23"/>
  <c r="Y48" i="23"/>
  <c r="K29" i="23"/>
  <c r="BF27" i="128"/>
  <c r="H29" i="128"/>
  <c r="P29" i="128"/>
  <c r="AH12" i="128"/>
  <c r="AR12" i="128"/>
  <c r="AR20" i="128" s="1"/>
  <c r="AB54" i="128"/>
  <c r="AJ54" i="128"/>
  <c r="AR54" i="128"/>
  <c r="AZ54" i="128"/>
  <c r="BH54" i="128"/>
  <c r="BT54" i="128"/>
  <c r="X20" i="128"/>
  <c r="AJ12" i="128"/>
  <c r="AJ20" i="128" s="1"/>
  <c r="AV12" i="128"/>
  <c r="BN48" i="128"/>
  <c r="BJ48" i="128"/>
  <c r="CG54" i="128"/>
  <c r="AB28" i="128"/>
  <c r="AB20" i="128"/>
  <c r="F20" i="128"/>
  <c r="N20" i="128"/>
  <c r="V20" i="128"/>
  <c r="AL12" i="128"/>
  <c r="BB12" i="128"/>
  <c r="BB20" i="128" s="1"/>
  <c r="AH28" i="128"/>
  <c r="AH29" i="128" s="1"/>
  <c r="AP28" i="128"/>
  <c r="AP29" i="128" s="1"/>
  <c r="AP20" i="128"/>
  <c r="AX28" i="128"/>
  <c r="AX29" i="128" s="1"/>
  <c r="AX20" i="128"/>
  <c r="BF28" i="128"/>
  <c r="BN28" i="128"/>
  <c r="BN29" i="128" s="1"/>
  <c r="BN20" i="128"/>
  <c r="AD28" i="128"/>
  <c r="AD29" i="128" s="1"/>
  <c r="AD20" i="128"/>
  <c r="H20" i="128"/>
  <c r="AN20" i="128"/>
  <c r="BT20" i="128"/>
  <c r="AF29" i="128"/>
  <c r="BD12" i="128"/>
  <c r="BD20" i="128" s="1"/>
  <c r="BL12" i="128"/>
  <c r="J28" i="128"/>
  <c r="J29" i="128" s="1"/>
  <c r="J20" i="128"/>
  <c r="R28" i="128"/>
  <c r="R29" i="128" s="1"/>
  <c r="R20" i="128"/>
  <c r="Z28" i="128"/>
  <c r="Z29" i="128" s="1"/>
  <c r="Z20" i="128"/>
  <c r="AJ28" i="128"/>
  <c r="AR28" i="128"/>
  <c r="AZ28" i="128"/>
  <c r="BH20" i="128"/>
  <c r="BP28" i="128"/>
  <c r="BP29" i="128" s="1"/>
  <c r="BP20" i="128"/>
  <c r="D28" i="128"/>
  <c r="D20" i="128"/>
  <c r="L28" i="128"/>
  <c r="L29" i="128" s="1"/>
  <c r="L20" i="128"/>
  <c r="T28" i="128"/>
  <c r="T29" i="128" s="1"/>
  <c r="T20" i="128"/>
  <c r="AF20" i="128"/>
  <c r="BR46" i="128"/>
  <c r="BR48" i="128" s="1"/>
  <c r="BR37" i="128"/>
  <c r="AN29" i="128"/>
  <c r="BT29" i="128"/>
  <c r="AT29" i="128"/>
  <c r="BJ29" i="128"/>
  <c r="BR29" i="128"/>
  <c r="BT37" i="128"/>
  <c r="BT46" i="128"/>
  <c r="BH37" i="128"/>
  <c r="BP37" i="128"/>
  <c r="CI13" i="128" l="1"/>
  <c r="BY13" i="128" s="1"/>
  <c r="J21" i="119"/>
  <c r="CK48" i="128"/>
  <c r="F23" i="120"/>
  <c r="BM28" i="128"/>
  <c r="DM48" i="23"/>
  <c r="IG46" i="23"/>
  <c r="CA46" i="128" s="1"/>
  <c r="G46" i="43" s="1"/>
  <c r="BY18" i="128"/>
  <c r="CH12" i="128"/>
  <c r="IE37" i="23"/>
  <c r="E49" i="43"/>
  <c r="K49" i="43" s="1"/>
  <c r="CE49" i="128"/>
  <c r="D29" i="128"/>
  <c r="CH28" i="128"/>
  <c r="E33" i="43"/>
  <c r="K33" i="43" s="1"/>
  <c r="CE33" i="128"/>
  <c r="CJ48" i="128"/>
  <c r="E15" i="43"/>
  <c r="K15" i="43" s="1"/>
  <c r="F11" i="120" s="1"/>
  <c r="CE15" i="128"/>
  <c r="CJ12" i="128"/>
  <c r="E13" i="43"/>
  <c r="W48" i="23"/>
  <c r="F13" i="43"/>
  <c r="BT48" i="128"/>
  <c r="BP48" i="128"/>
  <c r="C49" i="123"/>
  <c r="C56" i="123" s="1"/>
  <c r="C3" i="123" s="1"/>
  <c r="BX32" i="128"/>
  <c r="CD32" i="128" s="1"/>
  <c r="CA13" i="128"/>
  <c r="G13" i="43" s="1"/>
  <c r="BX30" i="128"/>
  <c r="CD30" i="128" s="1"/>
  <c r="BX11" i="128"/>
  <c r="BH48" i="128"/>
  <c r="CH46" i="128"/>
  <c r="AB29" i="128"/>
  <c r="CJ28" i="128"/>
  <c r="CJ27" i="128"/>
  <c r="AC18" i="128"/>
  <c r="CK18" i="128" s="1"/>
  <c r="CJ18" i="128"/>
  <c r="CH37" i="128"/>
  <c r="AH20" i="128"/>
  <c r="AZ20" i="128"/>
  <c r="CH20" i="128" s="1"/>
  <c r="CI11" i="128"/>
  <c r="BY11" i="128" s="1"/>
  <c r="CH27" i="128"/>
  <c r="BL20" i="128"/>
  <c r="BL29" i="128"/>
  <c r="AV29" i="128"/>
  <c r="AR29" i="128"/>
  <c r="AV20" i="128"/>
  <c r="BQ46" i="128"/>
  <c r="BQ48" i="128" s="1"/>
  <c r="BQ37" i="128"/>
  <c r="BM27" i="128"/>
  <c r="BM29" i="128" s="1"/>
  <c r="BM12" i="128"/>
  <c r="BM20" i="128" s="1"/>
  <c r="BI37" i="128"/>
  <c r="BI46" i="128"/>
  <c r="BE27" i="128"/>
  <c r="BE29" i="128" s="1"/>
  <c r="BE12" i="128"/>
  <c r="BE20" i="128" s="1"/>
  <c r="BG12" i="128"/>
  <c r="BG20" i="128" s="1"/>
  <c r="BG27" i="128"/>
  <c r="BG29" i="128" s="1"/>
  <c r="BA12" i="128"/>
  <c r="CI12" i="128" s="1"/>
  <c r="BA27" i="128"/>
  <c r="BA29" i="128" s="1"/>
  <c r="BC27" i="128"/>
  <c r="BC29" i="128" s="1"/>
  <c r="BC12" i="128"/>
  <c r="BC20" i="128" s="1"/>
  <c r="AW12" i="128"/>
  <c r="AW20" i="128" s="1"/>
  <c r="AW27" i="128"/>
  <c r="AW28" i="128"/>
  <c r="AL20" i="128"/>
  <c r="AJ29" i="128"/>
  <c r="AS27" i="128"/>
  <c r="AS29" i="128" s="1"/>
  <c r="AS12" i="128"/>
  <c r="AS20" i="128" s="1"/>
  <c r="AZ29" i="128"/>
  <c r="AL29" i="128"/>
  <c r="AM28" i="128"/>
  <c r="AK12" i="128"/>
  <c r="AK20" i="128" s="1"/>
  <c r="AK27" i="128"/>
  <c r="AK29" i="128" s="1"/>
  <c r="AM12" i="128"/>
  <c r="AM27" i="128"/>
  <c r="AI27" i="128"/>
  <c r="AI12" i="128"/>
  <c r="AE20" i="128"/>
  <c r="AC20" i="128"/>
  <c r="AA20" i="128"/>
  <c r="AA27" i="128"/>
  <c r="AA29" i="128" s="1"/>
  <c r="Y20" i="128"/>
  <c r="Y27" i="128"/>
  <c r="Y29" i="128" s="1"/>
  <c r="U27" i="128"/>
  <c r="U29" i="128" s="1"/>
  <c r="U20" i="128"/>
  <c r="W27" i="128"/>
  <c r="W29" i="128" s="1"/>
  <c r="W20" i="128"/>
  <c r="Q20" i="128"/>
  <c r="Q27" i="128"/>
  <c r="Q29" i="128" s="1"/>
  <c r="O20" i="128"/>
  <c r="O27" i="128"/>
  <c r="O29" i="128" s="1"/>
  <c r="M20" i="128"/>
  <c r="M27" i="128"/>
  <c r="M29" i="128" s="1"/>
  <c r="BH29" i="128"/>
  <c r="K20" i="128"/>
  <c r="K27" i="128"/>
  <c r="K29" i="128" s="1"/>
  <c r="I20" i="128"/>
  <c r="I27" i="128"/>
  <c r="I29" i="128" s="1"/>
  <c r="BF29" i="128"/>
  <c r="G20" i="128"/>
  <c r="G27" i="128"/>
  <c r="G29" i="128" s="1"/>
  <c r="E27" i="128"/>
  <c r="E20" i="128"/>
  <c r="CK27" i="128" l="1"/>
  <c r="CK12" i="128"/>
  <c r="CA12" i="128" s="1"/>
  <c r="G12" i="43" s="1"/>
  <c r="Q1269" i="129"/>
  <c r="Q1270" i="129" s="1"/>
  <c r="S1269" i="129"/>
  <c r="S1270" i="129" s="1"/>
  <c r="T1269" i="129"/>
  <c r="T1270" i="129" s="1"/>
  <c r="AC28" i="128"/>
  <c r="CK28" i="128" s="1"/>
  <c r="F31" i="120"/>
  <c r="E9" i="119"/>
  <c r="CE13" i="128"/>
  <c r="K13" i="43"/>
  <c r="F9" i="120" s="1"/>
  <c r="AM20" i="128"/>
  <c r="CK20" i="128" s="1"/>
  <c r="CH29" i="128"/>
  <c r="CH48" i="128"/>
  <c r="CE11" i="128"/>
  <c r="E11" i="43"/>
  <c r="K11" i="43" s="1"/>
  <c r="CD11" i="128"/>
  <c r="D11" i="43"/>
  <c r="CJ20" i="128"/>
  <c r="CI37" i="128"/>
  <c r="BY37" i="128" s="1"/>
  <c r="BA20" i="128"/>
  <c r="CI20" i="128" s="1"/>
  <c r="AI20" i="128"/>
  <c r="BI48" i="128"/>
  <c r="CI48" i="128" s="1"/>
  <c r="CI46" i="128"/>
  <c r="CI27" i="128"/>
  <c r="AC29" i="128"/>
  <c r="AI29" i="128"/>
  <c r="CJ29" i="128"/>
  <c r="AW29" i="128"/>
  <c r="AM29" i="128"/>
  <c r="E29" i="128"/>
  <c r="CI29" i="128" s="1"/>
  <c r="K26" i="113"/>
  <c r="E28" i="27"/>
  <c r="CK29" i="128" l="1"/>
  <c r="K1269" i="129"/>
  <c r="K1270" i="129" s="1"/>
  <c r="R15" i="43"/>
  <c r="F7" i="120"/>
  <c r="J9" i="119"/>
  <c r="H30" i="120"/>
  <c r="C56" i="25" l="1"/>
  <c r="D56" i="25" s="1"/>
  <c r="F11" i="121"/>
  <c r="G11" i="121"/>
  <c r="H11" i="121"/>
  <c r="D11" i="121"/>
  <c r="I13" i="121"/>
  <c r="I16" i="121"/>
  <c r="I17" i="121"/>
  <c r="I15" i="121"/>
  <c r="B15" i="126"/>
  <c r="B17" i="126"/>
  <c r="C38" i="126" l="1"/>
  <c r="B38" i="126"/>
  <c r="E37" i="126"/>
  <c r="E36" i="126"/>
  <c r="E35" i="126"/>
  <c r="E34" i="126"/>
  <c r="C31" i="126"/>
  <c r="B31" i="126"/>
  <c r="E30" i="126"/>
  <c r="E29" i="126"/>
  <c r="E28" i="126"/>
  <c r="E27" i="126"/>
  <c r="E26" i="126"/>
  <c r="E25" i="126"/>
  <c r="G8" i="127"/>
  <c r="E31" i="126" l="1"/>
  <c r="E38" i="126"/>
  <c r="E9" i="127"/>
  <c r="D9" i="127"/>
  <c r="I14" i="121"/>
  <c r="K10" i="121"/>
  <c r="K9" i="121"/>
  <c r="H7" i="121"/>
  <c r="C53" i="122"/>
  <c r="D53" i="122"/>
  <c r="B53" i="122"/>
  <c r="B52" i="122"/>
  <c r="J30" i="120"/>
  <c r="I30" i="120"/>
  <c r="I13" i="120"/>
  <c r="H28" i="120"/>
  <c r="H14" i="120"/>
  <c r="H13" i="120"/>
  <c r="AB41" i="23"/>
  <c r="AC41" i="23" s="1"/>
  <c r="IE41" i="23" s="1"/>
  <c r="AB40" i="23"/>
  <c r="AC40" i="23" s="1"/>
  <c r="IE40" i="23" l="1"/>
  <c r="BY40" i="128" s="1"/>
  <c r="AC38" i="23"/>
  <c r="IE38" i="23" s="1"/>
  <c r="BY38" i="128" s="1"/>
  <c r="CE38" i="128" s="1"/>
  <c r="E11" i="121"/>
  <c r="ID40" i="23"/>
  <c r="BX40" i="128" s="1"/>
  <c r="ID41" i="23"/>
  <c r="BX41" i="128" s="1"/>
  <c r="AC46" i="23"/>
  <c r="IE46" i="23" s="1"/>
  <c r="BN10" i="23"/>
  <c r="BO10" i="23" s="1"/>
  <c r="D41" i="43" l="1"/>
  <c r="CD41" i="128"/>
  <c r="AC47" i="23"/>
  <c r="BY41" i="128"/>
  <c r="CD40" i="128"/>
  <c r="CE40" i="128"/>
  <c r="BY46" i="128"/>
  <c r="CE46" i="128" s="1"/>
  <c r="BO27" i="23"/>
  <c r="BO29" i="23" s="1"/>
  <c r="BO20" i="23"/>
  <c r="IE47" i="23" l="1"/>
  <c r="BY47" i="128" s="1"/>
  <c r="E41" i="43"/>
  <c r="K41" i="43" s="1"/>
  <c r="CE41" i="128"/>
  <c r="AC48" i="23"/>
  <c r="IE48" i="23" s="1"/>
  <c r="C72" i="123"/>
  <c r="C71" i="123"/>
  <c r="C70" i="123"/>
  <c r="C69" i="123"/>
  <c r="C68" i="123"/>
  <c r="C67" i="123"/>
  <c r="C91" i="123"/>
  <c r="C90" i="123"/>
  <c r="C89" i="123"/>
  <c r="C87" i="123"/>
  <c r="C86" i="123"/>
  <c r="C85" i="123"/>
  <c r="C83" i="123"/>
  <c r="C82" i="123"/>
  <c r="C80" i="123"/>
  <c r="C79" i="123"/>
  <c r="C78" i="123"/>
  <c r="D42" i="122"/>
  <c r="C42" i="122"/>
  <c r="B42" i="122"/>
  <c r="E41" i="122"/>
  <c r="E40" i="122"/>
  <c r="E39" i="122"/>
  <c r="E38" i="122"/>
  <c r="E37" i="122"/>
  <c r="E36" i="122"/>
  <c r="E35" i="122"/>
  <c r="E34" i="122"/>
  <c r="E33" i="122"/>
  <c r="E32" i="122"/>
  <c r="E31" i="122"/>
  <c r="E30" i="122"/>
  <c r="E29" i="122"/>
  <c r="E28" i="122"/>
  <c r="E27" i="122"/>
  <c r="E26" i="122"/>
  <c r="E25" i="122"/>
  <c r="E24" i="122"/>
  <c r="E23" i="122"/>
  <c r="E22" i="122"/>
  <c r="E21" i="122"/>
  <c r="D20" i="122"/>
  <c r="D52" i="122" s="1"/>
  <c r="C20" i="122"/>
  <c r="C52" i="122" s="1"/>
  <c r="E19" i="122"/>
  <c r="E18" i="122"/>
  <c r="E17" i="122"/>
  <c r="E16" i="122"/>
  <c r="B7" i="122"/>
  <c r="B43" i="122" l="1"/>
  <c r="T17" i="123"/>
  <c r="C43" i="122"/>
  <c r="T15" i="123"/>
  <c r="E20" i="122"/>
  <c r="E42" i="122"/>
  <c r="D43" i="122"/>
  <c r="T16" i="123"/>
  <c r="E53" i="122"/>
  <c r="K8" i="121"/>
  <c r="G53" i="122"/>
  <c r="K7" i="121" s="1"/>
  <c r="BY48" i="128"/>
  <c r="E52" i="122"/>
  <c r="F53" i="122" s="1"/>
  <c r="F40" i="120"/>
  <c r="E19" i="119"/>
  <c r="C73" i="123"/>
  <c r="C4" i="123" s="1"/>
  <c r="G7" i="127"/>
  <c r="G6" i="127"/>
  <c r="G5" i="127"/>
  <c r="G4" i="127"/>
  <c r="E43" i="122" l="1"/>
  <c r="G9" i="127"/>
  <c r="R131" i="31" l="1"/>
  <c r="S131" i="31" s="1"/>
  <c r="H131" i="31"/>
  <c r="I131" i="31" s="1"/>
  <c r="E131" i="31" l="1"/>
  <c r="T131" i="31" s="1"/>
  <c r="I25" i="27"/>
  <c r="I26" i="27"/>
  <c r="J26" i="27" s="1"/>
  <c r="I24" i="27" l="1"/>
  <c r="J25" i="27"/>
  <c r="J24" i="27" s="1"/>
  <c r="J139" i="27" s="1"/>
  <c r="J144" i="27" s="1"/>
  <c r="DL10" i="23"/>
  <c r="DM10" i="23" s="1"/>
  <c r="DD10" i="23"/>
  <c r="DE10" i="23" s="1"/>
  <c r="M15" i="115"/>
  <c r="M14" i="115"/>
  <c r="M13" i="115"/>
  <c r="X10" i="31"/>
  <c r="N139" i="27" l="1"/>
  <c r="J146" i="27"/>
  <c r="Q11" i="43" s="1"/>
  <c r="R11" i="43" s="1"/>
  <c r="DE20" i="23"/>
  <c r="DE27" i="23"/>
  <c r="DE29" i="23" s="1"/>
  <c r="H19" i="126"/>
  <c r="H20" i="126" s="1"/>
  <c r="C19" i="126"/>
  <c r="B19" i="126"/>
  <c r="E18" i="126"/>
  <c r="E17" i="126"/>
  <c r="E16" i="126"/>
  <c r="E15" i="126"/>
  <c r="C12" i="126"/>
  <c r="B12" i="126"/>
  <c r="E11" i="126"/>
  <c r="E10" i="126"/>
  <c r="E9" i="126"/>
  <c r="E8" i="126"/>
  <c r="G8" i="126" s="1"/>
  <c r="E7" i="126"/>
  <c r="E6" i="126"/>
  <c r="P27" i="125"/>
  <c r="N26" i="125"/>
  <c r="N28" i="125" s="1"/>
  <c r="M26" i="125"/>
  <c r="M28" i="125" s="1"/>
  <c r="L26" i="125"/>
  <c r="L28" i="125" s="1"/>
  <c r="K26" i="125"/>
  <c r="K28" i="125" s="1"/>
  <c r="J26" i="125"/>
  <c r="J28" i="125" s="1"/>
  <c r="I26" i="125"/>
  <c r="I28" i="125" s="1"/>
  <c r="H26" i="125"/>
  <c r="H28" i="125" s="1"/>
  <c r="G26" i="125"/>
  <c r="G28" i="125" s="1"/>
  <c r="F26" i="125"/>
  <c r="F28" i="125" s="1"/>
  <c r="E26" i="125"/>
  <c r="E28" i="125" s="1"/>
  <c r="D26" i="125"/>
  <c r="D28" i="125" s="1"/>
  <c r="P25" i="125"/>
  <c r="P24" i="125"/>
  <c r="P23" i="125"/>
  <c r="P22" i="125"/>
  <c r="P21" i="125"/>
  <c r="P20" i="125"/>
  <c r="P19" i="125"/>
  <c r="P18" i="125"/>
  <c r="O26" i="125"/>
  <c r="O28" i="125" s="1"/>
  <c r="P15" i="125"/>
  <c r="N14" i="125"/>
  <c r="N16" i="125" s="1"/>
  <c r="M14" i="125"/>
  <c r="M16" i="125" s="1"/>
  <c r="L14" i="125"/>
  <c r="L16" i="125" s="1"/>
  <c r="L29" i="125" s="1"/>
  <c r="K14" i="125"/>
  <c r="K16" i="125" s="1"/>
  <c r="J14" i="125"/>
  <c r="J16" i="125" s="1"/>
  <c r="I14" i="125"/>
  <c r="I16" i="125" s="1"/>
  <c r="H14" i="125"/>
  <c r="H16" i="125" s="1"/>
  <c r="G14" i="125"/>
  <c r="G16" i="125" s="1"/>
  <c r="F14" i="125"/>
  <c r="F16" i="125" s="1"/>
  <c r="E14" i="125"/>
  <c r="E16" i="125" s="1"/>
  <c r="D14" i="125"/>
  <c r="D16" i="125" s="1"/>
  <c r="O14" i="125"/>
  <c r="O16" i="125" s="1"/>
  <c r="P12" i="125"/>
  <c r="P11" i="125"/>
  <c r="P10" i="125"/>
  <c r="P9" i="125"/>
  <c r="P8" i="125"/>
  <c r="P7" i="125"/>
  <c r="R6" i="125"/>
  <c r="S45" i="123"/>
  <c r="S44" i="123"/>
  <c r="S43" i="123"/>
  <c r="S42" i="123"/>
  <c r="S41" i="123"/>
  <c r="S40" i="123"/>
  <c r="S39" i="123"/>
  <c r="R35" i="123"/>
  <c r="Q35" i="123"/>
  <c r="P35" i="123"/>
  <c r="O35" i="123"/>
  <c r="N35" i="123"/>
  <c r="M35" i="123"/>
  <c r="L35" i="123"/>
  <c r="K35" i="123"/>
  <c r="J35" i="123"/>
  <c r="I35" i="123"/>
  <c r="H35" i="123"/>
  <c r="G35" i="123"/>
  <c r="F35" i="123"/>
  <c r="E35" i="123"/>
  <c r="D35" i="123"/>
  <c r="C35" i="123"/>
  <c r="R31" i="123"/>
  <c r="R30" i="123" s="1"/>
  <c r="R29" i="123" s="1"/>
  <c r="Q31" i="123"/>
  <c r="P31" i="123"/>
  <c r="O31" i="123"/>
  <c r="N31" i="123"/>
  <c r="N30" i="123" s="1"/>
  <c r="N29" i="123" s="1"/>
  <c r="M31" i="123"/>
  <c r="M30" i="123" s="1"/>
  <c r="M29" i="123" s="1"/>
  <c r="L31" i="123"/>
  <c r="K31" i="123"/>
  <c r="K30" i="123" s="1"/>
  <c r="K29" i="123" s="1"/>
  <c r="J31" i="123"/>
  <c r="J30" i="123" s="1"/>
  <c r="J29" i="123" s="1"/>
  <c r="I31" i="123"/>
  <c r="I30" i="123" s="1"/>
  <c r="I29" i="123" s="1"/>
  <c r="H31" i="123"/>
  <c r="G31" i="123"/>
  <c r="F31" i="123"/>
  <c r="F30" i="123" s="1"/>
  <c r="F29" i="123" s="1"/>
  <c r="E31" i="123"/>
  <c r="E30" i="123" s="1"/>
  <c r="E29" i="123" s="1"/>
  <c r="D31" i="123"/>
  <c r="D30" i="123" s="1"/>
  <c r="D29" i="123" s="1"/>
  <c r="C31" i="123"/>
  <c r="Q30" i="123"/>
  <c r="Q29" i="123" s="1"/>
  <c r="O30" i="123"/>
  <c r="O29" i="123" s="1"/>
  <c r="G30" i="123"/>
  <c r="G29" i="123" s="1"/>
  <c r="S28" i="123"/>
  <c r="S27" i="123"/>
  <c r="S26" i="123"/>
  <c r="S25" i="123"/>
  <c r="S24" i="123"/>
  <c r="S23" i="123"/>
  <c r="S22" i="123"/>
  <c r="U21" i="123"/>
  <c r="S21" i="123"/>
  <c r="U20" i="123"/>
  <c r="S20" i="123"/>
  <c r="U19" i="123"/>
  <c r="S19" i="123"/>
  <c r="R18" i="123"/>
  <c r="Q18" i="123"/>
  <c r="P18" i="123"/>
  <c r="O18" i="123"/>
  <c r="N18" i="123"/>
  <c r="M18" i="123"/>
  <c r="L18" i="123"/>
  <c r="K18" i="123"/>
  <c r="J18" i="123"/>
  <c r="I18" i="123"/>
  <c r="H18" i="123"/>
  <c r="G18" i="123"/>
  <c r="F18" i="123"/>
  <c r="E18" i="123"/>
  <c r="D18" i="123"/>
  <c r="C18" i="123"/>
  <c r="U17" i="123"/>
  <c r="S17" i="123"/>
  <c r="U16" i="123"/>
  <c r="S16" i="123"/>
  <c r="U15" i="123"/>
  <c r="S15" i="123"/>
  <c r="R14" i="123"/>
  <c r="Q14" i="123"/>
  <c r="P14" i="123"/>
  <c r="O14" i="123"/>
  <c r="N14" i="123"/>
  <c r="M14" i="123"/>
  <c r="L14" i="123"/>
  <c r="L13" i="123" s="1"/>
  <c r="L12" i="123" s="1"/>
  <c r="K14" i="123"/>
  <c r="J14" i="123"/>
  <c r="I14" i="123"/>
  <c r="H14" i="123"/>
  <c r="G14" i="123"/>
  <c r="F14" i="123"/>
  <c r="E14" i="123"/>
  <c r="D14" i="123"/>
  <c r="C14" i="123"/>
  <c r="S9" i="123"/>
  <c r="S8" i="123"/>
  <c r="S7" i="123"/>
  <c r="C18" i="121"/>
  <c r="I12" i="121"/>
  <c r="I10" i="121"/>
  <c r="I9" i="121"/>
  <c r="J8" i="121"/>
  <c r="I8" i="121"/>
  <c r="H18" i="121"/>
  <c r="G7" i="121"/>
  <c r="G18" i="121" s="1"/>
  <c r="F7" i="121"/>
  <c r="E7" i="121"/>
  <c r="E18" i="121" s="1"/>
  <c r="D7" i="121"/>
  <c r="D18" i="121" s="1"/>
  <c r="D38" i="120"/>
  <c r="D37" i="120"/>
  <c r="D47" i="120" s="1"/>
  <c r="D36" i="120"/>
  <c r="D46" i="120" s="1"/>
  <c r="D35" i="120"/>
  <c r="D19" i="120"/>
  <c r="D18" i="120"/>
  <c r="D26" i="120" s="1"/>
  <c r="D17" i="120"/>
  <c r="D25" i="120" s="1"/>
  <c r="D16" i="120"/>
  <c r="J14" i="120"/>
  <c r="J18" i="120" s="1"/>
  <c r="I14" i="120"/>
  <c r="I10" i="120"/>
  <c r="J10" i="120" s="1"/>
  <c r="I7" i="120"/>
  <c r="J7" i="120" s="1"/>
  <c r="K27" i="119"/>
  <c r="D24" i="119"/>
  <c r="D23" i="119"/>
  <c r="D22" i="119"/>
  <c r="K17" i="119"/>
  <c r="K14" i="119"/>
  <c r="K13" i="123" l="1"/>
  <c r="K12" i="123" s="1"/>
  <c r="E19" i="126"/>
  <c r="I11" i="121"/>
  <c r="F29" i="125"/>
  <c r="N29" i="125"/>
  <c r="E12" i="126"/>
  <c r="J7" i="121"/>
  <c r="D48" i="120"/>
  <c r="D27" i="120"/>
  <c r="H13" i="123"/>
  <c r="H12" i="123" s="1"/>
  <c r="P13" i="123"/>
  <c r="P12" i="123" s="1"/>
  <c r="I13" i="123"/>
  <c r="I12" i="123" s="1"/>
  <c r="I46" i="123" s="1"/>
  <c r="D13" i="123"/>
  <c r="D12" i="123" s="1"/>
  <c r="D46" i="123" s="1"/>
  <c r="Q13" i="123"/>
  <c r="Q12" i="123" s="1"/>
  <c r="Q46" i="123" s="1"/>
  <c r="M13" i="123"/>
  <c r="M12" i="123" s="1"/>
  <c r="M46" i="123" s="1"/>
  <c r="E13" i="123"/>
  <c r="E12" i="123" s="1"/>
  <c r="E46" i="123" s="1"/>
  <c r="G29" i="125"/>
  <c r="E29" i="125"/>
  <c r="M29" i="125"/>
  <c r="C13" i="123"/>
  <c r="C12" i="123" s="1"/>
  <c r="G13" i="123"/>
  <c r="G12" i="123" s="1"/>
  <c r="G46" i="123" s="1"/>
  <c r="O13" i="123"/>
  <c r="O12" i="123" s="1"/>
  <c r="O46" i="123" s="1"/>
  <c r="H30" i="123"/>
  <c r="H29" i="123" s="1"/>
  <c r="L30" i="123"/>
  <c r="L29" i="123" s="1"/>
  <c r="L46" i="123" s="1"/>
  <c r="P30" i="123"/>
  <c r="P29" i="123" s="1"/>
  <c r="P46" i="123" s="1"/>
  <c r="F13" i="123"/>
  <c r="F12" i="123" s="1"/>
  <c r="F46" i="123" s="1"/>
  <c r="N13" i="123"/>
  <c r="N12" i="123" s="1"/>
  <c r="N46" i="123" s="1"/>
  <c r="C30" i="123"/>
  <c r="C29" i="123" s="1"/>
  <c r="S29" i="123" s="1"/>
  <c r="O29" i="125"/>
  <c r="H18" i="120"/>
  <c r="F18" i="121"/>
  <c r="J13" i="123"/>
  <c r="J12" i="123" s="1"/>
  <c r="J46" i="123" s="1"/>
  <c r="R13" i="123"/>
  <c r="R12" i="123" s="1"/>
  <c r="R46" i="123" s="1"/>
  <c r="I29" i="125"/>
  <c r="S18" i="123"/>
  <c r="J29" i="125"/>
  <c r="K46" i="123"/>
  <c r="I7" i="121"/>
  <c r="P13" i="125"/>
  <c r="P14" i="125" s="1"/>
  <c r="P16" i="125" s="1"/>
  <c r="K29" i="125"/>
  <c r="I18" i="120"/>
  <c r="S35" i="123"/>
  <c r="P26" i="125"/>
  <c r="P28" i="125" s="1"/>
  <c r="S14" i="123"/>
  <c r="D29" i="125"/>
  <c r="H29" i="125"/>
  <c r="D4" i="123"/>
  <c r="E4" i="123" s="1"/>
  <c r="F4" i="123" s="1"/>
  <c r="G4" i="123" s="1"/>
  <c r="H4" i="123" s="1"/>
  <c r="I4" i="123" s="1"/>
  <c r="J4" i="123" s="1"/>
  <c r="K4" i="123" s="1"/>
  <c r="L4" i="123" s="1"/>
  <c r="M4" i="123" s="1"/>
  <c r="N4" i="123" s="1"/>
  <c r="O4" i="123" s="1"/>
  <c r="P4" i="123" s="1"/>
  <c r="Q4" i="123" s="1"/>
  <c r="R4" i="123" s="1"/>
  <c r="S31" i="123"/>
  <c r="U18" i="123"/>
  <c r="I18" i="121" l="1"/>
  <c r="H46" i="123"/>
  <c r="J20" i="120"/>
  <c r="S13" i="123"/>
  <c r="C46" i="123"/>
  <c r="S46" i="123" s="1"/>
  <c r="S30" i="123"/>
  <c r="D3" i="123"/>
  <c r="S4" i="123"/>
  <c r="I8" i="120"/>
  <c r="J9" i="120"/>
  <c r="J8" i="120" s="1"/>
  <c r="J31" i="120"/>
  <c r="I36" i="120"/>
  <c r="S12" i="123" l="1"/>
  <c r="D10" i="123"/>
  <c r="D11" i="123" s="1"/>
  <c r="D47" i="123" s="1"/>
  <c r="E3" i="123"/>
  <c r="J36" i="120"/>
  <c r="E10" i="123" l="1"/>
  <c r="F3" i="123"/>
  <c r="G3" i="123" l="1"/>
  <c r="F10" i="123"/>
  <c r="F11" i="123" s="1"/>
  <c r="F47" i="123" s="1"/>
  <c r="E11" i="123"/>
  <c r="E47" i="123" l="1"/>
  <c r="G10" i="123"/>
  <c r="H3" i="123"/>
  <c r="G11" i="123" l="1"/>
  <c r="H10" i="123"/>
  <c r="H11" i="123" s="1"/>
  <c r="H47" i="123" s="1"/>
  <c r="I3" i="123"/>
  <c r="J3" i="123" l="1"/>
  <c r="I10" i="123"/>
  <c r="I11" i="123" s="1"/>
  <c r="I47" i="123" s="1"/>
  <c r="G47" i="123"/>
  <c r="K3" i="123" l="1"/>
  <c r="J10" i="123"/>
  <c r="J11" i="123" s="1"/>
  <c r="J47" i="123" s="1"/>
  <c r="L3" i="123" l="1"/>
  <c r="K10" i="123"/>
  <c r="K11" i="123" s="1"/>
  <c r="K47" i="123" s="1"/>
  <c r="L10" i="123" l="1"/>
  <c r="L11" i="123" s="1"/>
  <c r="L47" i="123" s="1"/>
  <c r="M3" i="123"/>
  <c r="N3" i="123" l="1"/>
  <c r="M10" i="123"/>
  <c r="M11" i="123" s="1"/>
  <c r="M47" i="123" s="1"/>
  <c r="O3" i="123" l="1"/>
  <c r="N10" i="123"/>
  <c r="N11" i="123" s="1"/>
  <c r="N47" i="123" s="1"/>
  <c r="O10" i="123" l="1"/>
  <c r="O11" i="123" s="1"/>
  <c r="O47" i="123" s="1"/>
  <c r="P3" i="123"/>
  <c r="P10" i="123" l="1"/>
  <c r="P11" i="123" s="1"/>
  <c r="P47" i="123" s="1"/>
  <c r="Q3" i="123"/>
  <c r="R3" i="123" l="1"/>
  <c r="Q10" i="123"/>
  <c r="Q11" i="123" s="1"/>
  <c r="Q47" i="123" s="1"/>
  <c r="R10" i="123" l="1"/>
  <c r="S3" i="123"/>
  <c r="R11" i="123" l="1"/>
  <c r="R47" i="123" l="1"/>
  <c r="F9" i="34" l="1"/>
  <c r="G9" i="34" s="1"/>
  <c r="V9" i="34" l="1"/>
  <c r="AL9" i="23"/>
  <c r="AM9" i="23" l="1"/>
  <c r="IE9" i="23" s="1"/>
  <c r="BY9" i="128" s="1"/>
  <c r="ID9" i="23"/>
  <c r="BX9" i="128" s="1"/>
  <c r="W9" i="34"/>
  <c r="DL8" i="23"/>
  <c r="DM8" i="23" s="1"/>
  <c r="AJ8" i="23"/>
  <c r="AK8" i="23" s="1"/>
  <c r="F10" i="34"/>
  <c r="G10" i="34" s="1"/>
  <c r="C54" i="25"/>
  <c r="H86" i="31"/>
  <c r="R86" i="31"/>
  <c r="R77" i="31"/>
  <c r="H77" i="31"/>
  <c r="R114" i="31"/>
  <c r="S114" i="31" s="1"/>
  <c r="H114" i="31"/>
  <c r="R110" i="31"/>
  <c r="S110" i="31" s="1"/>
  <c r="H110" i="31"/>
  <c r="R126" i="31"/>
  <c r="S126" i="31" s="1"/>
  <c r="H126" i="31"/>
  <c r="I126" i="31" s="1"/>
  <c r="D45" i="31"/>
  <c r="D44" i="31"/>
  <c r="T44" i="31" s="1"/>
  <c r="I77" i="31" l="1"/>
  <c r="I62" i="31" s="1"/>
  <c r="H62" i="31"/>
  <c r="S77" i="31"/>
  <c r="S62" i="31" s="1"/>
  <c r="R62" i="31"/>
  <c r="H159" i="130"/>
  <c r="H160" i="130" s="1"/>
  <c r="S86" i="31"/>
  <c r="I86" i="31"/>
  <c r="IG8" i="23"/>
  <c r="CA8" i="128" s="1"/>
  <c r="G8" i="43" s="1"/>
  <c r="IF8" i="23"/>
  <c r="BZ8" i="128" s="1"/>
  <c r="F8" i="43" s="1"/>
  <c r="D54" i="25"/>
  <c r="D51" i="25" s="1"/>
  <c r="C51" i="25"/>
  <c r="H25" i="130"/>
  <c r="H26" i="130" s="1"/>
  <c r="ID8" i="23"/>
  <c r="BX8" i="128" s="1"/>
  <c r="CD9" i="128"/>
  <c r="CE9" i="128"/>
  <c r="E126" i="31"/>
  <c r="GF17" i="23"/>
  <c r="GG17" i="23" s="1"/>
  <c r="D114" i="31"/>
  <c r="T114" i="31" s="1"/>
  <c r="I114" i="31"/>
  <c r="E114" i="31" s="1"/>
  <c r="D110" i="31"/>
  <c r="T110" i="31" s="1"/>
  <c r="I110" i="31"/>
  <c r="E110" i="31" s="1"/>
  <c r="P17" i="23"/>
  <c r="Q17" i="23" s="1"/>
  <c r="D86" i="31"/>
  <c r="I1269" i="129" l="1"/>
  <c r="I1270" i="129" s="1"/>
  <c r="DM27" i="23"/>
  <c r="D70" i="25"/>
  <c r="D73" i="25" s="1"/>
  <c r="IE8" i="23"/>
  <c r="BY8" i="128" s="1"/>
  <c r="CE8" i="128" s="1"/>
  <c r="H1269" i="129" s="1"/>
  <c r="GG28" i="23"/>
  <c r="GG29" i="23" s="1"/>
  <c r="CD8" i="128"/>
  <c r="W10" i="34"/>
  <c r="FV16" i="23"/>
  <c r="GG20" i="23"/>
  <c r="E86" i="31"/>
  <c r="E77" i="31"/>
  <c r="E62" i="31" s="1"/>
  <c r="AF16" i="23"/>
  <c r="AG16" i="23" s="1"/>
  <c r="E39" i="27"/>
  <c r="FM14" i="23" l="1"/>
  <c r="IE14" i="23" s="1"/>
  <c r="D72" i="25"/>
  <c r="Q14" i="43"/>
  <c r="T86" i="31"/>
  <c r="T77" i="31"/>
  <c r="FW16" i="23"/>
  <c r="FW28" i="23" s="1"/>
  <c r="FW29" i="23" s="1"/>
  <c r="AG20" i="23"/>
  <c r="AG28" i="23"/>
  <c r="AG29" i="23" s="1"/>
  <c r="I11" i="27"/>
  <c r="E11" i="27"/>
  <c r="BZ10" i="23"/>
  <c r="CA10" i="23" s="1"/>
  <c r="AL10" i="23"/>
  <c r="AM10" i="23" s="1"/>
  <c r="BD10" i="23"/>
  <c r="BE10" i="23" s="1"/>
  <c r="V10" i="23"/>
  <c r="W10" i="23" s="1"/>
  <c r="BT10" i="23"/>
  <c r="BU10" i="23" s="1"/>
  <c r="DH10" i="23"/>
  <c r="DI10" i="23" s="1"/>
  <c r="CT10" i="23"/>
  <c r="CU10" i="23" s="1"/>
  <c r="BF10" i="23"/>
  <c r="BG10" i="23" s="1"/>
  <c r="BL10" i="23"/>
  <c r="BM10" i="23" s="1"/>
  <c r="BP10" i="23"/>
  <c r="BQ10" i="23" s="1"/>
  <c r="BX10" i="23"/>
  <c r="BY10" i="23" s="1"/>
  <c r="EP10" i="23"/>
  <c r="EQ10" i="23" s="1"/>
  <c r="EZ10" i="23"/>
  <c r="FA10" i="23" s="1"/>
  <c r="BV10" i="23"/>
  <c r="BW10" i="23" s="1"/>
  <c r="DV10" i="23"/>
  <c r="DW10" i="23" s="1"/>
  <c r="FR10" i="23"/>
  <c r="FS10" i="23" s="1"/>
  <c r="AP10" i="23"/>
  <c r="AQ10" i="23" s="1"/>
  <c r="D56" i="31"/>
  <c r="EB16" i="23"/>
  <c r="D54" i="31"/>
  <c r="D43" i="31"/>
  <c r="D77" i="31"/>
  <c r="EN10" i="23"/>
  <c r="EO10" i="23" s="1"/>
  <c r="DB10" i="23"/>
  <c r="DC10" i="23" s="1"/>
  <c r="CP10" i="23"/>
  <c r="CQ10" i="23" s="1"/>
  <c r="CV10" i="23"/>
  <c r="CW10" i="23" s="1"/>
  <c r="AJ10" i="23"/>
  <c r="AK10" i="23" s="1"/>
  <c r="H1270" i="129" l="1"/>
  <c r="BY27" i="23"/>
  <c r="AM27" i="23"/>
  <c r="FW20" i="23"/>
  <c r="CA27" i="23"/>
  <c r="CQ27" i="23"/>
  <c r="DC27" i="23"/>
  <c r="AK27" i="23"/>
  <c r="FS20" i="23"/>
  <c r="FS27" i="23"/>
  <c r="FS29" i="23" s="1"/>
  <c r="FA27" i="23"/>
  <c r="FA29" i="23" s="1"/>
  <c r="FA20" i="23"/>
  <c r="EQ27" i="23"/>
  <c r="EQ29" i="23" s="1"/>
  <c r="EQ20" i="23"/>
  <c r="EO27" i="23"/>
  <c r="EO29" i="23" s="1"/>
  <c r="EO20" i="23"/>
  <c r="BW27" i="23"/>
  <c r="BW29" i="23" s="1"/>
  <c r="BW20" i="23"/>
  <c r="DI20" i="23"/>
  <c r="DI27" i="23"/>
  <c r="CW27" i="23"/>
  <c r="CW29" i="23" s="1"/>
  <c r="CW20" i="23"/>
  <c r="BU27" i="23"/>
  <c r="BU29" i="23" s="1"/>
  <c r="BU20" i="23"/>
  <c r="DW27" i="23"/>
  <c r="DW29" i="23" s="1"/>
  <c r="DW20" i="23"/>
  <c r="CU27" i="23"/>
  <c r="CU29" i="23" s="1"/>
  <c r="CU20" i="23"/>
  <c r="BQ27" i="23"/>
  <c r="BQ29" i="23" s="1"/>
  <c r="BQ20" i="23"/>
  <c r="BM27" i="23"/>
  <c r="BM29" i="23" s="1"/>
  <c r="BM20" i="23"/>
  <c r="BG27" i="23"/>
  <c r="BG29" i="23" s="1"/>
  <c r="BG20" i="23"/>
  <c r="BE27" i="23"/>
  <c r="BE29" i="23" s="1"/>
  <c r="BE20" i="23"/>
  <c r="AQ27" i="23"/>
  <c r="AQ29" i="23" s="1"/>
  <c r="AQ20" i="23"/>
  <c r="W27" i="23"/>
  <c r="W29" i="23" s="1"/>
  <c r="W20" i="23"/>
  <c r="L16" i="23"/>
  <c r="M16" i="23" s="1"/>
  <c r="T43" i="31"/>
  <c r="T26" i="31" s="1"/>
  <c r="EH16" i="23"/>
  <c r="EI16" i="23" s="1"/>
  <c r="CF16" i="23"/>
  <c r="CG16" i="23" s="1"/>
  <c r="DI29" i="23" l="1"/>
  <c r="CG20" i="23"/>
  <c r="CG28" i="23"/>
  <c r="CG29" i="23" s="1"/>
  <c r="M20" i="23"/>
  <c r="M28" i="23"/>
  <c r="M29" i="23" s="1"/>
  <c r="AH11" i="40"/>
  <c r="AI11" i="40" s="1"/>
  <c r="AF11" i="40"/>
  <c r="AG11" i="40" s="1"/>
  <c r="AD11" i="40"/>
  <c r="AE11" i="40" s="1"/>
  <c r="AB11" i="40"/>
  <c r="AC11" i="40" s="1"/>
  <c r="Z11" i="40"/>
  <c r="AA11" i="40" s="1"/>
  <c r="X11" i="40"/>
  <c r="V11" i="40"/>
  <c r="W11" i="40" s="1"/>
  <c r="Y11" i="40" l="1"/>
  <c r="Y28" i="40" s="1"/>
  <c r="W28" i="40"/>
  <c r="AA28" i="40"/>
  <c r="AE28" i="40"/>
  <c r="AC28" i="40"/>
  <c r="AC30" i="40" s="1"/>
  <c r="AC21" i="40"/>
  <c r="AG28" i="40"/>
  <c r="AG30" i="40" s="1"/>
  <c r="AG21" i="40"/>
  <c r="AI21" i="40"/>
  <c r="AI28" i="40"/>
  <c r="AI30" i="40" s="1"/>
  <c r="T11" i="40"/>
  <c r="U11" i="40" s="1"/>
  <c r="U28" i="40" s="1"/>
  <c r="R11" i="40"/>
  <c r="S11" i="40" s="1"/>
  <c r="P11" i="40"/>
  <c r="Q11" i="40" s="1"/>
  <c r="N11" i="40"/>
  <c r="O11" i="40" s="1"/>
  <c r="L11" i="40"/>
  <c r="J11" i="40"/>
  <c r="K11" i="40" s="1"/>
  <c r="H11" i="40"/>
  <c r="I11" i="40" s="1"/>
  <c r="F11" i="40"/>
  <c r="D41" i="40"/>
  <c r="AR41" i="40" s="1"/>
  <c r="G11" i="40" l="1"/>
  <c r="M11" i="40"/>
  <c r="M28" i="40" s="1"/>
  <c r="I28" i="40"/>
  <c r="S28" i="40"/>
  <c r="E41" i="40"/>
  <c r="AS41" i="40" s="1"/>
  <c r="O28" i="40"/>
  <c r="Q28" i="40"/>
  <c r="F10" i="41"/>
  <c r="AP11" i="40"/>
  <c r="AQ11" i="40" s="1"/>
  <c r="F10" i="40"/>
  <c r="G10" i="40" l="1"/>
  <c r="AS10" i="40" s="1"/>
  <c r="AR10" i="40"/>
  <c r="AR11" i="40"/>
  <c r="AS11" i="40"/>
  <c r="G28" i="40"/>
  <c r="AQ21" i="40"/>
  <c r="AQ28" i="40"/>
  <c r="AQ30" i="40" s="1"/>
  <c r="G10" i="41"/>
  <c r="K28" i="40"/>
  <c r="G27" i="41" s="1"/>
  <c r="N10" i="73"/>
  <c r="O10" i="73" s="1"/>
  <c r="N9" i="73"/>
  <c r="O9" i="73" s="1"/>
  <c r="H10" i="73"/>
  <c r="I10" i="73" s="1"/>
  <c r="H9" i="73"/>
  <c r="I9" i="73" s="1"/>
  <c r="F10" i="73"/>
  <c r="G10" i="73" s="1"/>
  <c r="F9" i="73"/>
  <c r="G9" i="73" s="1"/>
  <c r="J10" i="35"/>
  <c r="K10" i="35" s="1"/>
  <c r="J9" i="35"/>
  <c r="K9" i="35" s="1"/>
  <c r="AS28" i="40" l="1"/>
  <c r="S9" i="73"/>
  <c r="O21" i="73"/>
  <c r="O28" i="73"/>
  <c r="O30" i="73" s="1"/>
  <c r="R10" i="73"/>
  <c r="S10" i="73"/>
  <c r="I117" i="138" s="1"/>
  <c r="I118" i="138" s="1"/>
  <c r="V9" i="35"/>
  <c r="W9" i="35"/>
  <c r="V10" i="35"/>
  <c r="W10" i="35"/>
  <c r="I86" i="132" s="1"/>
  <c r="I87" i="132" s="1"/>
  <c r="R9" i="73"/>
  <c r="I9" i="116"/>
  <c r="H117" i="138" l="1"/>
  <c r="H118" i="138" s="1"/>
  <c r="H86" i="132"/>
  <c r="H87" i="132" s="1"/>
  <c r="R133" i="31"/>
  <c r="D133" i="31" l="1"/>
  <c r="T133" i="31" s="1"/>
  <c r="S133" i="31"/>
  <c r="E133" i="31" s="1"/>
  <c r="F10" i="38"/>
  <c r="G10" i="38" s="1"/>
  <c r="F10" i="37"/>
  <c r="G10" i="37" s="1"/>
  <c r="F9" i="36"/>
  <c r="G9" i="36" s="1"/>
  <c r="E8" i="41" s="1"/>
  <c r="H10" i="36"/>
  <c r="I10" i="36" s="1"/>
  <c r="F10" i="36"/>
  <c r="G10" i="36" s="1"/>
  <c r="T10" i="37" l="1"/>
  <c r="Q10" i="38"/>
  <c r="D8" i="41"/>
  <c r="O10" i="36"/>
  <c r="GZ16" i="23"/>
  <c r="HA16" i="23" s="1"/>
  <c r="HA28" i="23" s="1"/>
  <c r="HA29" i="23" s="1"/>
  <c r="F10" i="74"/>
  <c r="G10" i="74" s="1"/>
  <c r="E9" i="41" s="1"/>
  <c r="U10" i="37" l="1"/>
  <c r="I124" i="133" s="1"/>
  <c r="I125" i="133" s="1"/>
  <c r="Q10" i="74"/>
  <c r="D9" i="41"/>
  <c r="D9" i="43" s="1"/>
  <c r="O9" i="36"/>
  <c r="J8" i="41"/>
  <c r="D8" i="43"/>
  <c r="HA20" i="23"/>
  <c r="D41" i="35"/>
  <c r="J11" i="35"/>
  <c r="K11" i="35" s="1"/>
  <c r="D41" i="39"/>
  <c r="E41" i="39" s="1"/>
  <c r="P11" i="39"/>
  <c r="Q11" i="39" s="1"/>
  <c r="F11" i="39"/>
  <c r="G11" i="39" s="1"/>
  <c r="H11" i="38"/>
  <c r="I11" i="38" s="1"/>
  <c r="F11" i="38"/>
  <c r="G11" i="38" s="1"/>
  <c r="D41" i="73"/>
  <c r="H11" i="73"/>
  <c r="I11" i="73" s="1"/>
  <c r="F11" i="73"/>
  <c r="G11" i="73" s="1"/>
  <c r="D41" i="74"/>
  <c r="H11" i="74"/>
  <c r="I11" i="74" s="1"/>
  <c r="F11" i="74"/>
  <c r="G11" i="74" s="1"/>
  <c r="R154" i="31"/>
  <c r="S154" i="31" s="1"/>
  <c r="L154" i="31"/>
  <c r="M154" i="31" s="1"/>
  <c r="E41" i="73" l="1"/>
  <c r="S41" i="73" s="1"/>
  <c r="I28" i="38"/>
  <c r="E41" i="74"/>
  <c r="Q41" i="74" s="1"/>
  <c r="E41" i="35"/>
  <c r="W41" i="35" s="1"/>
  <c r="Q11" i="38"/>
  <c r="K9" i="41"/>
  <c r="E9" i="43"/>
  <c r="K9" i="43" s="1"/>
  <c r="Q28" i="39"/>
  <c r="Q30" i="39" s="1"/>
  <c r="Q21" i="39"/>
  <c r="N8" i="43"/>
  <c r="J8" i="43"/>
  <c r="G28" i="74"/>
  <c r="Q11" i="74"/>
  <c r="S41" i="39"/>
  <c r="K8" i="41"/>
  <c r="E8" i="43"/>
  <c r="K8" i="43" s="1"/>
  <c r="K28" i="35"/>
  <c r="W28" i="35" s="1"/>
  <c r="W11" i="35"/>
  <c r="S11" i="39"/>
  <c r="G28" i="39"/>
  <c r="S28" i="39" s="1"/>
  <c r="E43" i="39" s="1"/>
  <c r="E47" i="39" s="1"/>
  <c r="S47" i="39" s="1"/>
  <c r="S11" i="73"/>
  <c r="E154" i="31"/>
  <c r="T154" i="31" s="1"/>
  <c r="I28" i="74"/>
  <c r="I28" i="73"/>
  <c r="L11" i="34"/>
  <c r="M11" i="34" s="1"/>
  <c r="F11" i="34"/>
  <c r="G11" i="34" s="1"/>
  <c r="M28" i="34" l="1"/>
  <c r="E43" i="35"/>
  <c r="W43" i="35" s="1"/>
  <c r="O8" i="43"/>
  <c r="Q28" i="74"/>
  <c r="E43" i="74" s="1"/>
  <c r="Q43" i="74" s="1"/>
  <c r="E11" i="29" s="1"/>
  <c r="G28" i="73"/>
  <c r="S28" i="73" s="1"/>
  <c r="E43" i="73" s="1"/>
  <c r="S43" i="73" s="1"/>
  <c r="E14" i="29" s="1"/>
  <c r="S43" i="39"/>
  <c r="E15" i="29"/>
  <c r="J7" i="119"/>
  <c r="F5" i="120"/>
  <c r="F4" i="120"/>
  <c r="J6" i="119"/>
  <c r="G28" i="38"/>
  <c r="Q28" i="38" s="1"/>
  <c r="E43" i="38" s="1"/>
  <c r="E9" i="29" s="1"/>
  <c r="F11" i="36"/>
  <c r="G11" i="36" s="1"/>
  <c r="E47" i="35" l="1"/>
  <c r="W47" i="35" s="1"/>
  <c r="E13" i="29"/>
  <c r="E47" i="74"/>
  <c r="Q47" i="74" s="1"/>
  <c r="Q43" i="38"/>
  <c r="E47" i="38"/>
  <c r="Q47" i="38" s="1"/>
  <c r="G28" i="34"/>
  <c r="E47" i="73"/>
  <c r="S47" i="73" s="1"/>
  <c r="G28" i="36"/>
  <c r="D69" i="31"/>
  <c r="T69" i="31" s="1"/>
  <c r="FT10" i="23" l="1"/>
  <c r="FU10" i="23" s="1"/>
  <c r="FU27" i="23" l="1"/>
  <c r="FU29" i="23" s="1"/>
  <c r="FU20" i="23"/>
  <c r="IB50" i="23"/>
  <c r="IC50" i="23" s="1"/>
  <c r="D126" i="31" l="1"/>
  <c r="T126" i="31" s="1"/>
  <c r="D11" i="36" l="1"/>
  <c r="E11" i="36" s="1"/>
  <c r="R145" i="31"/>
  <c r="S145" i="31" s="1"/>
  <c r="L145" i="31"/>
  <c r="M145" i="31" s="1"/>
  <c r="R143" i="31"/>
  <c r="S143" i="31" s="1"/>
  <c r="L143" i="31"/>
  <c r="M143" i="31" s="1"/>
  <c r="R147" i="31"/>
  <c r="S147" i="31" s="1"/>
  <c r="L147" i="31"/>
  <c r="M147" i="31" s="1"/>
  <c r="E147" i="31" l="1"/>
  <c r="E145" i="31"/>
  <c r="S142" i="31"/>
  <c r="S184" i="31" s="1"/>
  <c r="R142" i="31"/>
  <c r="R184" i="31" s="1"/>
  <c r="D143" i="31"/>
  <c r="L142" i="31"/>
  <c r="L184" i="31" s="1"/>
  <c r="E21" i="36"/>
  <c r="E28" i="36"/>
  <c r="D41" i="37"/>
  <c r="T41" i="37" s="1"/>
  <c r="F11" i="37"/>
  <c r="G11" i="37" s="1"/>
  <c r="D41" i="34"/>
  <c r="E41" i="34" s="1"/>
  <c r="J11" i="34"/>
  <c r="K11" i="34" s="1"/>
  <c r="H11" i="34"/>
  <c r="I11" i="34" s="1"/>
  <c r="D41" i="36"/>
  <c r="J11" i="36"/>
  <c r="K11" i="36" s="1"/>
  <c r="H11" i="36"/>
  <c r="I11" i="36" s="1"/>
  <c r="E10" i="41" l="1"/>
  <c r="W41" i="34"/>
  <c r="T11" i="37"/>
  <c r="K28" i="34"/>
  <c r="K28" i="36"/>
  <c r="I28" i="36"/>
  <c r="E41" i="36"/>
  <c r="O41" i="36" s="1"/>
  <c r="E41" i="37"/>
  <c r="U41" i="37" s="1"/>
  <c r="H10" i="41"/>
  <c r="H10" i="43" s="1"/>
  <c r="D10" i="41"/>
  <c r="D40" i="41"/>
  <c r="D40" i="43" s="1"/>
  <c r="E30" i="36"/>
  <c r="O11" i="36"/>
  <c r="E143" i="31"/>
  <c r="E142" i="31" s="1"/>
  <c r="E184" i="31" s="1"/>
  <c r="M142" i="31"/>
  <c r="M184" i="31" s="1"/>
  <c r="M185" i="31" s="1"/>
  <c r="L47" i="35"/>
  <c r="L48" i="35"/>
  <c r="L38" i="35"/>
  <c r="L39" i="35"/>
  <c r="L29" i="35"/>
  <c r="L22" i="35"/>
  <c r="L13" i="35"/>
  <c r="L21" i="35" s="1"/>
  <c r="N47" i="73"/>
  <c r="N48" i="73"/>
  <c r="N38" i="73"/>
  <c r="N39" i="73"/>
  <c r="N29" i="73"/>
  <c r="N22" i="73"/>
  <c r="N13" i="73"/>
  <c r="N21" i="73" s="1"/>
  <c r="E40" i="41" l="1"/>
  <c r="U11" i="37"/>
  <c r="J124" i="133" s="1"/>
  <c r="J125" i="133" s="1"/>
  <c r="O28" i="36"/>
  <c r="E43" i="36" s="1"/>
  <c r="E47" i="36" s="1"/>
  <c r="O47" i="36" s="1"/>
  <c r="G28" i="37"/>
  <c r="E27" i="41" s="1"/>
  <c r="I10" i="41"/>
  <c r="I10" i="43" s="1"/>
  <c r="I28" i="34"/>
  <c r="W11" i="34"/>
  <c r="T143" i="31"/>
  <c r="L49" i="35"/>
  <c r="N28" i="73"/>
  <c r="N30" i="73" s="1"/>
  <c r="N49" i="73"/>
  <c r="L28" i="35"/>
  <c r="L30" i="35" s="1"/>
  <c r="U28" i="37" l="1"/>
  <c r="E43" i="37" s="1"/>
  <c r="U43" i="37" s="1"/>
  <c r="O43" i="36"/>
  <c r="E8" i="29"/>
  <c r="K10" i="41"/>
  <c r="I27" i="41"/>
  <c r="I27" i="43" s="1"/>
  <c r="W28" i="34"/>
  <c r="K40" i="41"/>
  <c r="E40" i="43"/>
  <c r="K40" i="43" s="1"/>
  <c r="K69" i="43" s="1"/>
  <c r="G21" i="89"/>
  <c r="K27" i="41" l="1"/>
  <c r="F39" i="120"/>
  <c r="E18" i="119"/>
  <c r="E47" i="37"/>
  <c r="U47" i="37" s="1"/>
  <c r="E10" i="29"/>
  <c r="E22" i="113"/>
  <c r="E13" i="113" s="1"/>
  <c r="K13" i="113" s="1"/>
  <c r="K23" i="113"/>
  <c r="HD27" i="23" l="1"/>
  <c r="HD16" i="23" l="1"/>
  <c r="HE16" i="23" s="1"/>
  <c r="R125" i="31"/>
  <c r="S125" i="31" s="1"/>
  <c r="H125" i="31"/>
  <c r="I125" i="31" s="1"/>
  <c r="S79" i="31" l="1"/>
  <c r="S141" i="31" s="1"/>
  <c r="S185" i="31" s="1"/>
  <c r="R79" i="31"/>
  <c r="R141" i="31" s="1"/>
  <c r="I79" i="31"/>
  <c r="I141" i="31" s="1"/>
  <c r="H79" i="31"/>
  <c r="H141" i="31" s="1"/>
  <c r="CF16" i="128"/>
  <c r="HE28" i="23"/>
  <c r="HE29" i="23" s="1"/>
  <c r="ID50" i="23" l="1"/>
  <c r="BX50" i="128" s="1"/>
  <c r="CF28" i="128"/>
  <c r="L16" i="43"/>
  <c r="HE20" i="23"/>
  <c r="CG16" i="128"/>
  <c r="E125" i="31"/>
  <c r="E79" i="31" s="1"/>
  <c r="E141" i="31" s="1"/>
  <c r="E185" i="31" s="1"/>
  <c r="I185" i="31"/>
  <c r="IE50" i="23"/>
  <c r="BY50" i="128" s="1"/>
  <c r="CE50" i="128" s="1"/>
  <c r="D61" i="118"/>
  <c r="D42" i="118"/>
  <c r="CF29" i="128" l="1"/>
  <c r="L29" i="43" s="1"/>
  <c r="L28" i="43"/>
  <c r="M16" i="43"/>
  <c r="CG28" i="128"/>
  <c r="CG20" i="128"/>
  <c r="M20" i="43" s="1"/>
  <c r="T125" i="31"/>
  <c r="D50" i="43"/>
  <c r="CD50" i="128"/>
  <c r="CG29" i="128" l="1"/>
  <c r="M29" i="43" s="1"/>
  <c r="M28" i="43"/>
  <c r="E50" i="43"/>
  <c r="K50" i="43" s="1"/>
  <c r="I11" i="116"/>
  <c r="I8" i="116"/>
  <c r="I10" i="116"/>
  <c r="I12" i="116"/>
  <c r="I13" i="116"/>
  <c r="I16" i="116"/>
  <c r="I17" i="116"/>
  <c r="I18" i="116"/>
  <c r="Q12" i="43" l="1"/>
  <c r="E8" i="113"/>
  <c r="F8" i="113" s="1"/>
  <c r="Z34" i="23"/>
  <c r="AA34" i="23" s="1"/>
  <c r="I7" i="116"/>
  <c r="IG34" i="23" l="1"/>
  <c r="CA34" i="128" s="1"/>
  <c r="IF34" i="23"/>
  <c r="BZ34" i="128" s="1"/>
  <c r="F34" i="43" s="1"/>
  <c r="F7" i="113"/>
  <c r="L7" i="113" s="1"/>
  <c r="E7" i="113"/>
  <c r="K7" i="113" s="1"/>
  <c r="K8" i="113"/>
  <c r="C65" i="123"/>
  <c r="C6" i="123" s="1"/>
  <c r="BJ10" i="23"/>
  <c r="BK10" i="23" s="1"/>
  <c r="BH10" i="23"/>
  <c r="BI10" i="23" s="1"/>
  <c r="BK27" i="23" l="1"/>
  <c r="IE10" i="23"/>
  <c r="BY10" i="128" s="1"/>
  <c r="ID10" i="23"/>
  <c r="BX10" i="128" s="1"/>
  <c r="CD34" i="128"/>
  <c r="L8" i="113"/>
  <c r="G34" i="43"/>
  <c r="K34" i="43" s="1"/>
  <c r="CE34" i="128"/>
  <c r="U1269" i="129" s="1"/>
  <c r="E30" i="113"/>
  <c r="K30" i="113" s="1"/>
  <c r="BI27" i="23"/>
  <c r="BI29" i="23" s="1"/>
  <c r="BI20" i="23"/>
  <c r="C92" i="123"/>
  <c r="AA47" i="23"/>
  <c r="IG47" i="23" s="1"/>
  <c r="AA37" i="23"/>
  <c r="IG37" i="23" s="1"/>
  <c r="S6" i="123"/>
  <c r="D12" i="31"/>
  <c r="U1270" i="129" l="1"/>
  <c r="N58" i="43"/>
  <c r="D10" i="43"/>
  <c r="E10" i="43"/>
  <c r="CA37" i="128"/>
  <c r="F32" i="120"/>
  <c r="F37" i="120" s="1"/>
  <c r="F54" i="120" s="1"/>
  <c r="E10" i="119"/>
  <c r="E16" i="119" s="1"/>
  <c r="E34" i="119" s="1"/>
  <c r="AA48" i="23"/>
  <c r="IG48" i="23" s="1"/>
  <c r="CA47" i="128"/>
  <c r="F30" i="113"/>
  <c r="L30" i="113" s="1"/>
  <c r="G37" i="43" l="1"/>
  <c r="CE37" i="128"/>
  <c r="CA48" i="128"/>
  <c r="G47" i="43"/>
  <c r="CE47" i="128"/>
  <c r="D67" i="31"/>
  <c r="T67" i="31" s="1"/>
  <c r="G48" i="43" l="1"/>
  <c r="CE48" i="128"/>
  <c r="D66" i="31"/>
  <c r="T66" i="31" s="1"/>
  <c r="HD46" i="23" l="1"/>
  <c r="CF46" i="128" s="1"/>
  <c r="L46" i="43" s="1"/>
  <c r="HD47" i="23"/>
  <c r="CF47" i="128" s="1"/>
  <c r="L47" i="43" s="1"/>
  <c r="HD37" i="23"/>
  <c r="CF37" i="128" s="1"/>
  <c r="L37" i="43" s="1"/>
  <c r="HD38" i="23"/>
  <c r="CF38" i="128" s="1"/>
  <c r="L38" i="43" s="1"/>
  <c r="HD21" i="23"/>
  <c r="HD18" i="23"/>
  <c r="CF18" i="128" s="1"/>
  <c r="HD12" i="23"/>
  <c r="L18" i="43" l="1"/>
  <c r="CF20" i="128"/>
  <c r="L20" i="43" s="1"/>
  <c r="HD20" i="23"/>
  <c r="HD28" i="23"/>
  <c r="HD48" i="23"/>
  <c r="CF48" i="128" s="1"/>
  <c r="L48" i="43" s="1"/>
  <c r="I22" i="27"/>
  <c r="HD29" i="23" l="1"/>
  <c r="I8" i="114"/>
  <c r="I9" i="114"/>
  <c r="I10" i="114"/>
  <c r="I11" i="114"/>
  <c r="I14" i="114"/>
  <c r="I15" i="114"/>
  <c r="I16" i="114"/>
  <c r="I18" i="114"/>
  <c r="I19" i="114"/>
  <c r="I20" i="114"/>
  <c r="I21" i="114"/>
  <c r="I22" i="114"/>
  <c r="I23" i="114"/>
  <c r="I24" i="114"/>
  <c r="I25" i="114"/>
  <c r="I26" i="114"/>
  <c r="I27" i="114"/>
  <c r="I28" i="114"/>
  <c r="M8" i="115"/>
  <c r="M9" i="115"/>
  <c r="M10" i="115"/>
  <c r="M11" i="115"/>
  <c r="M12" i="115"/>
  <c r="M18" i="115"/>
  <c r="M19" i="115"/>
  <c r="M20" i="115"/>
  <c r="K9" i="113"/>
  <c r="K10" i="113"/>
  <c r="K24" i="113"/>
  <c r="K25" i="113"/>
  <c r="K27" i="113"/>
  <c r="K28" i="113"/>
  <c r="D136" i="31"/>
  <c r="T136" i="31" s="1"/>
  <c r="D137" i="31"/>
  <c r="T137" i="31" s="1"/>
  <c r="U10" i="31"/>
  <c r="V10" i="31"/>
  <c r="W10" i="31"/>
  <c r="D25" i="31"/>
  <c r="T25" i="31" s="1"/>
  <c r="D127" i="31" l="1"/>
  <c r="D130" i="31"/>
  <c r="T130" i="31" s="1"/>
  <c r="D128" i="31"/>
  <c r="T128" i="31" s="1"/>
  <c r="D129" i="31"/>
  <c r="T129" i="31" s="1"/>
  <c r="I9" i="27" l="1"/>
  <c r="CL46" i="23"/>
  <c r="CL47" i="23"/>
  <c r="CL37" i="23"/>
  <c r="CL38" i="23"/>
  <c r="CL27" i="23"/>
  <c r="CL21" i="23"/>
  <c r="CL18" i="23"/>
  <c r="CL28" i="23" s="1"/>
  <c r="CL12" i="23"/>
  <c r="X19" i="23"/>
  <c r="Y19" i="23" l="1"/>
  <c r="IG19" i="23" s="1"/>
  <c r="IF19" i="23"/>
  <c r="BZ19" i="128" s="1"/>
  <c r="CL48" i="23"/>
  <c r="CL20" i="23"/>
  <c r="CL29" i="23"/>
  <c r="CD19" i="128" l="1"/>
  <c r="F19" i="43"/>
  <c r="Y18" i="23"/>
  <c r="IG18" i="23" s="1"/>
  <c r="CA19" i="128"/>
  <c r="CE19" i="128" l="1"/>
  <c r="G19" i="43"/>
  <c r="CA18" i="128"/>
  <c r="Y28" i="23"/>
  <c r="Y20" i="23"/>
  <c r="Y29" i="23" l="1"/>
  <c r="CE18" i="128"/>
  <c r="G18" i="43"/>
  <c r="D11" i="31"/>
  <c r="V11" i="34" l="1"/>
  <c r="J159" i="130" s="1"/>
  <c r="J160" i="130" s="1"/>
  <c r="V10" i="34"/>
  <c r="I159" i="130" s="1"/>
  <c r="I160" i="130" s="1"/>
  <c r="V12" i="34"/>
  <c r="K159" i="130" s="1"/>
  <c r="K160" i="130" s="1"/>
  <c r="V14" i="34"/>
  <c r="V15" i="34"/>
  <c r="V16" i="34"/>
  <c r="V18" i="34"/>
  <c r="N159" i="130" s="1"/>
  <c r="N160" i="130" s="1"/>
  <c r="V23" i="34"/>
  <c r="V24" i="34"/>
  <c r="V25" i="34"/>
  <c r="V26" i="34"/>
  <c r="V27" i="34"/>
  <c r="V31" i="34"/>
  <c r="Q159" i="130" s="1"/>
  <c r="Q160" i="130" s="1"/>
  <c r="V32" i="34"/>
  <c r="R159" i="130" s="1"/>
  <c r="R160" i="130" s="1"/>
  <c r="V34" i="34"/>
  <c r="T159" i="130" s="1"/>
  <c r="T160" i="130" s="1"/>
  <c r="V35" i="34"/>
  <c r="U159" i="130" s="1"/>
  <c r="U160" i="130" s="1"/>
  <c r="V36" i="34"/>
  <c r="V159" i="130" s="1"/>
  <c r="V160" i="130" s="1"/>
  <c r="V37" i="34"/>
  <c r="W159" i="130" s="1"/>
  <c r="W160" i="130" s="1"/>
  <c r="V40" i="34"/>
  <c r="V41" i="34"/>
  <c r="V42" i="34"/>
  <c r="V45" i="34"/>
  <c r="V46" i="34"/>
  <c r="V50" i="34"/>
  <c r="V51" i="34"/>
  <c r="J33" i="34"/>
  <c r="K33" i="34" s="1"/>
  <c r="H33" i="34"/>
  <c r="I33" i="34" s="1"/>
  <c r="F33" i="34"/>
  <c r="T25" i="130" l="1"/>
  <c r="T26" i="130" s="1"/>
  <c r="N25" i="130"/>
  <c r="N26" i="130" s="1"/>
  <c r="K25" i="130"/>
  <c r="K26" i="130" s="1"/>
  <c r="W25" i="130"/>
  <c r="W26" i="130" s="1"/>
  <c r="R25" i="130"/>
  <c r="R26" i="130" s="1"/>
  <c r="I25" i="130"/>
  <c r="I26" i="130" s="1"/>
  <c r="G33" i="34"/>
  <c r="E32" i="41" s="1"/>
  <c r="U25" i="130"/>
  <c r="U26" i="130" s="1"/>
  <c r="V25" i="130"/>
  <c r="V26" i="130" s="1"/>
  <c r="Q25" i="130"/>
  <c r="Q26" i="130" s="1"/>
  <c r="J25" i="130"/>
  <c r="J26" i="130" s="1"/>
  <c r="I32" i="41"/>
  <c r="I32" i="43" s="1"/>
  <c r="H32" i="41"/>
  <c r="H32" i="43" s="1"/>
  <c r="D32" i="41"/>
  <c r="D32" i="43" s="1"/>
  <c r="I47" i="34"/>
  <c r="K47" i="34"/>
  <c r="K49" i="34" s="1"/>
  <c r="K38" i="34"/>
  <c r="V33" i="34"/>
  <c r="C60" i="123" s="1"/>
  <c r="C63" i="123" s="1"/>
  <c r="C5" i="123" s="1"/>
  <c r="M16" i="115"/>
  <c r="M17" i="115"/>
  <c r="F20" i="34"/>
  <c r="G20" i="34" l="1"/>
  <c r="E19" i="41" s="1"/>
  <c r="G38" i="34"/>
  <c r="I38" i="34"/>
  <c r="I37" i="41" s="1"/>
  <c r="I37" i="43" s="1"/>
  <c r="D19" i="41"/>
  <c r="D19" i="43" s="1"/>
  <c r="S5" i="123"/>
  <c r="C10" i="123"/>
  <c r="G47" i="34"/>
  <c r="G49" i="34" s="1"/>
  <c r="W33" i="34"/>
  <c r="S159" i="130" s="1"/>
  <c r="S160" i="130" s="1"/>
  <c r="I49" i="34"/>
  <c r="I48" i="41" s="1"/>
  <c r="I48" i="43" s="1"/>
  <c r="I46" i="41"/>
  <c r="I46" i="43" s="1"/>
  <c r="V20" i="34"/>
  <c r="F19" i="34"/>
  <c r="W38" i="34" l="1"/>
  <c r="E43" i="34"/>
  <c r="S10" i="123"/>
  <c r="C11" i="123"/>
  <c r="S25" i="130"/>
  <c r="S26" i="130" s="1"/>
  <c r="E32" i="43"/>
  <c r="K32" i="43" s="1"/>
  <c r="K32" i="41"/>
  <c r="G19" i="34"/>
  <c r="E18" i="41" s="1"/>
  <c r="W20" i="34"/>
  <c r="V34" i="35"/>
  <c r="T86" i="132" s="1"/>
  <c r="T87" i="132" s="1"/>
  <c r="W43" i="34" l="1"/>
  <c r="E47" i="34"/>
  <c r="E7" i="29"/>
  <c r="C47" i="123"/>
  <c r="S47" i="123" s="1"/>
  <c r="S11" i="123"/>
  <c r="F30" i="120"/>
  <c r="E8" i="119"/>
  <c r="K19" i="41"/>
  <c r="E19" i="43"/>
  <c r="K19" i="43" s="1"/>
  <c r="R10" i="43" s="1"/>
  <c r="W19" i="34"/>
  <c r="E13" i="114"/>
  <c r="E12" i="114" s="1"/>
  <c r="E29" i="114" s="1"/>
  <c r="W47" i="34" l="1"/>
  <c r="G22" i="26"/>
  <c r="F15" i="120"/>
  <c r="K18" i="41"/>
  <c r="E18" i="43"/>
  <c r="K18" i="43" s="1"/>
  <c r="F14" i="120" l="1"/>
  <c r="J13" i="119"/>
  <c r="E22" i="26"/>
  <c r="I22" i="26"/>
  <c r="Z31" i="40"/>
  <c r="AA31" i="40" s="1"/>
  <c r="X31" i="40"/>
  <c r="AR31" i="40" s="1"/>
  <c r="K22" i="26" l="1"/>
  <c r="Y31" i="40"/>
  <c r="D30" i="41"/>
  <c r="D30" i="43" s="1"/>
  <c r="Y38" i="40"/>
  <c r="AA38" i="40"/>
  <c r="AA47" i="40"/>
  <c r="AA49" i="40" s="1"/>
  <c r="BR10" i="23"/>
  <c r="IF10" i="23" s="1"/>
  <c r="AS31" i="40" l="1"/>
  <c r="E30" i="41"/>
  <c r="Y47" i="40"/>
  <c r="Y49" i="40" s="1"/>
  <c r="AS38" i="40"/>
  <c r="E37" i="41"/>
  <c r="BS10" i="23"/>
  <c r="BS27" i="23" s="1"/>
  <c r="IG27" i="23" s="1"/>
  <c r="BZ10" i="128"/>
  <c r="BS20" i="23"/>
  <c r="P11" i="74"/>
  <c r="J112" i="137" s="1"/>
  <c r="J113" i="137" s="1"/>
  <c r="IG10" i="23" l="1"/>
  <c r="CA10" i="128" s="1"/>
  <c r="F10" i="43"/>
  <c r="CD10" i="128"/>
  <c r="BS29" i="23"/>
  <c r="CA27" i="128"/>
  <c r="G27" i="43" s="1"/>
  <c r="E43" i="40"/>
  <c r="E42" i="41" s="1"/>
  <c r="K30" i="41"/>
  <c r="E30" i="43"/>
  <c r="K30" i="43" s="1"/>
  <c r="E37" i="43"/>
  <c r="K37" i="43" s="1"/>
  <c r="K37" i="41"/>
  <c r="E42" i="43" l="1"/>
  <c r="K42" i="43" s="1"/>
  <c r="AS43" i="40"/>
  <c r="E12" i="29" s="1"/>
  <c r="E16" i="29" s="1"/>
  <c r="Q16" i="43" s="1"/>
  <c r="CE10" i="128"/>
  <c r="G10" i="43"/>
  <c r="K10" i="43" s="1"/>
  <c r="K58" i="43"/>
  <c r="E47" i="40"/>
  <c r="F28" i="120"/>
  <c r="F36" i="120" s="1"/>
  <c r="E6" i="119"/>
  <c r="I15" i="116"/>
  <c r="I17" i="114"/>
  <c r="G13" i="114"/>
  <c r="G12" i="114" s="1"/>
  <c r="G29" i="114" s="1"/>
  <c r="E46" i="41" l="1"/>
  <c r="E46" i="43" s="1"/>
  <c r="K46" i="43" s="1"/>
  <c r="AS47" i="40"/>
  <c r="F6" i="120"/>
  <c r="J8" i="119"/>
  <c r="J1269" i="129"/>
  <c r="J1270" i="129" s="1"/>
  <c r="K42" i="41"/>
  <c r="E20" i="119"/>
  <c r="F41" i="120"/>
  <c r="E14" i="119"/>
  <c r="E15" i="119"/>
  <c r="E30" i="119" s="1"/>
  <c r="F35" i="120"/>
  <c r="F50" i="120"/>
  <c r="I13" i="114"/>
  <c r="I14" i="116"/>
  <c r="K22" i="113"/>
  <c r="M22" i="115"/>
  <c r="K46" i="41" l="1"/>
  <c r="E25" i="119"/>
  <c r="F46" i="120"/>
  <c r="I12" i="114"/>
  <c r="I19" i="116"/>
  <c r="I29" i="114"/>
  <c r="D144" i="31"/>
  <c r="D145" i="31"/>
  <c r="J17" i="34" s="1"/>
  <c r="K17" i="34" s="1"/>
  <c r="D146" i="31"/>
  <c r="D147" i="31"/>
  <c r="F17" i="36" s="1"/>
  <c r="G17" i="36" s="1"/>
  <c r="D148" i="31"/>
  <c r="D149" i="31"/>
  <c r="D150" i="31"/>
  <c r="F17" i="37" s="1"/>
  <c r="G17" i="37" s="1"/>
  <c r="D151" i="31"/>
  <c r="H17" i="37" s="1"/>
  <c r="I17" i="37" s="1"/>
  <c r="D154" i="31"/>
  <c r="D155" i="31"/>
  <c r="T155" i="31" s="1"/>
  <c r="D157" i="31"/>
  <c r="D158" i="31"/>
  <c r="D159" i="31"/>
  <c r="T159" i="31" s="1"/>
  <c r="D160" i="31"/>
  <c r="F17" i="40" s="1"/>
  <c r="D161" i="31"/>
  <c r="H17" i="40" s="1"/>
  <c r="I17" i="40" s="1"/>
  <c r="D162" i="31"/>
  <c r="D163" i="31"/>
  <c r="D164" i="31"/>
  <c r="D165" i="31"/>
  <c r="D166" i="31"/>
  <c r="D167" i="31"/>
  <c r="D168" i="31"/>
  <c r="D169" i="31"/>
  <c r="D170" i="31"/>
  <c r="D171" i="31"/>
  <c r="T171" i="31" s="1"/>
  <c r="D172" i="31"/>
  <c r="D173" i="31"/>
  <c r="T173" i="31" s="1"/>
  <c r="D174" i="31"/>
  <c r="T174" i="31" s="1"/>
  <c r="D175" i="31"/>
  <c r="D176" i="31"/>
  <c r="D177" i="31"/>
  <c r="D178" i="31"/>
  <c r="D179" i="31"/>
  <c r="D180" i="31"/>
  <c r="D181" i="31"/>
  <c r="T181" i="31" s="1"/>
  <c r="D182" i="31"/>
  <c r="T182" i="31" s="1"/>
  <c r="D183" i="31"/>
  <c r="T183" i="31" s="1"/>
  <c r="D81" i="31"/>
  <c r="D82" i="31"/>
  <c r="D89" i="31"/>
  <c r="D90" i="31"/>
  <c r="T90" i="31" s="1"/>
  <c r="D92" i="31"/>
  <c r="D93" i="31"/>
  <c r="D95" i="31"/>
  <c r="D96" i="31"/>
  <c r="T96" i="31" s="1"/>
  <c r="D97" i="31"/>
  <c r="D98" i="31"/>
  <c r="T98" i="31" s="1"/>
  <c r="D99" i="31"/>
  <c r="D100" i="31"/>
  <c r="D103" i="31"/>
  <c r="T103" i="31" s="1"/>
  <c r="D105" i="31"/>
  <c r="D106" i="31"/>
  <c r="D108" i="31"/>
  <c r="D111" i="31"/>
  <c r="D113" i="31"/>
  <c r="T113" i="31" s="1"/>
  <c r="D125" i="31"/>
  <c r="D131" i="31"/>
  <c r="D132" i="31"/>
  <c r="D134" i="31"/>
  <c r="T134" i="31" s="1"/>
  <c r="D135" i="31"/>
  <c r="T135" i="31" s="1"/>
  <c r="D80" i="31"/>
  <c r="D64" i="31"/>
  <c r="D65" i="31"/>
  <c r="T65" i="31" s="1"/>
  <c r="D71" i="31"/>
  <c r="T71" i="31" s="1"/>
  <c r="D63" i="31"/>
  <c r="D28" i="31"/>
  <c r="D29" i="31"/>
  <c r="D30" i="31"/>
  <c r="D31" i="31"/>
  <c r="D27" i="31"/>
  <c r="D13" i="31"/>
  <c r="D15" i="31"/>
  <c r="T15" i="31" s="1"/>
  <c r="D16" i="31"/>
  <c r="T16" i="31" s="1"/>
  <c r="D17" i="31"/>
  <c r="T18" i="31"/>
  <c r="D62" i="31" l="1"/>
  <c r="G17" i="40"/>
  <c r="G29" i="40" s="1"/>
  <c r="U17" i="37"/>
  <c r="T17" i="37"/>
  <c r="D79" i="31"/>
  <c r="T10" i="31"/>
  <c r="D142" i="31"/>
  <c r="D184" i="31" s="1"/>
  <c r="D26" i="31"/>
  <c r="D10" i="31"/>
  <c r="I29" i="40"/>
  <c r="I30" i="40" s="1"/>
  <c r="I21" i="40"/>
  <c r="G29" i="36"/>
  <c r="G21" i="36"/>
  <c r="I21" i="37"/>
  <c r="I29" i="37"/>
  <c r="I30" i="37" s="1"/>
  <c r="G21" i="37"/>
  <c r="K21" i="34"/>
  <c r="K29" i="34"/>
  <c r="K30" i="34" s="1"/>
  <c r="GN16" i="23"/>
  <c r="GO16" i="23" s="1"/>
  <c r="DL16" i="23"/>
  <c r="DM16" i="23" s="1"/>
  <c r="T80" i="31"/>
  <c r="F17" i="34"/>
  <c r="G17" i="34" s="1"/>
  <c r="GP16" i="23"/>
  <c r="GQ16" i="23" s="1"/>
  <c r="BX16" i="23"/>
  <c r="BY16" i="23" s="1"/>
  <c r="GX16" i="23"/>
  <c r="GY16" i="23" s="1"/>
  <c r="P17" i="35"/>
  <c r="Q17" i="35" s="1"/>
  <c r="P16" i="23"/>
  <c r="Q16" i="23" s="1"/>
  <c r="D16" i="23"/>
  <c r="E16" i="23" s="1"/>
  <c r="F16" i="23"/>
  <c r="G16" i="23" s="1"/>
  <c r="T63" i="31"/>
  <c r="T62" i="31" s="1"/>
  <c r="F17" i="38"/>
  <c r="G17" i="38" s="1"/>
  <c r="AL16" i="23"/>
  <c r="AM16" i="23" s="1"/>
  <c r="BJ16" i="23"/>
  <c r="BK16" i="23" s="1"/>
  <c r="F17" i="39"/>
  <c r="G17" i="39" s="1"/>
  <c r="BZ16" i="23"/>
  <c r="CA16" i="23" s="1"/>
  <c r="T175" i="31"/>
  <c r="J17" i="35"/>
  <c r="K17" i="35" s="1"/>
  <c r="T167" i="31"/>
  <c r="T17" i="40"/>
  <c r="U17" i="40" s="1"/>
  <c r="H17" i="34"/>
  <c r="I17" i="34" s="1"/>
  <c r="DB16" i="23"/>
  <c r="DC16" i="23" s="1"/>
  <c r="CP16" i="23"/>
  <c r="CQ16" i="23" s="1"/>
  <c r="F17" i="73"/>
  <c r="G17" i="73" s="1"/>
  <c r="T169" i="31"/>
  <c r="X17" i="40"/>
  <c r="Y17" i="40" s="1"/>
  <c r="T165" i="31"/>
  <c r="P17" i="40"/>
  <c r="Q17" i="40" s="1"/>
  <c r="L17" i="34"/>
  <c r="M17" i="34" s="1"/>
  <c r="T161" i="31"/>
  <c r="J17" i="38"/>
  <c r="K17" i="38" s="1"/>
  <c r="J17" i="39"/>
  <c r="K17" i="39" s="1"/>
  <c r="CZ16" i="23"/>
  <c r="DA16" i="23" s="1"/>
  <c r="T179" i="31"/>
  <c r="J17" i="73"/>
  <c r="K17" i="73" s="1"/>
  <c r="T163" i="31"/>
  <c r="L17" i="40"/>
  <c r="M17" i="40" s="1"/>
  <c r="H17" i="36"/>
  <c r="I17" i="36" s="1"/>
  <c r="H17" i="73"/>
  <c r="I17" i="73" s="1"/>
  <c r="T170" i="31"/>
  <c r="Z17" i="40"/>
  <c r="AA17" i="40" s="1"/>
  <c r="T166" i="31"/>
  <c r="R17" i="40"/>
  <c r="S17" i="40" s="1"/>
  <c r="T162" i="31"/>
  <c r="J17" i="40"/>
  <c r="T147" i="31"/>
  <c r="H17" i="38"/>
  <c r="I17" i="38" s="1"/>
  <c r="AJ16" i="23"/>
  <c r="AK16" i="23" s="1"/>
  <c r="T172" i="31"/>
  <c r="AD17" i="40"/>
  <c r="AE17" i="40" s="1"/>
  <c r="V17" i="40"/>
  <c r="W17" i="40" s="1"/>
  <c r="T164" i="31"/>
  <c r="N17" i="40"/>
  <c r="O17" i="40" s="1"/>
  <c r="J17" i="36"/>
  <c r="K17" i="36" s="1"/>
  <c r="T145" i="31"/>
  <c r="N17" i="39"/>
  <c r="O17" i="39" s="1"/>
  <c r="H17" i="74"/>
  <c r="I17" i="74" s="1"/>
  <c r="F17" i="74"/>
  <c r="G17" i="74" s="1"/>
  <c r="P10" i="74"/>
  <c r="I112" i="137" s="1"/>
  <c r="I113" i="137" s="1"/>
  <c r="P12" i="74"/>
  <c r="K112" i="137" s="1"/>
  <c r="K113" i="137" s="1"/>
  <c r="P14" i="74"/>
  <c r="P15" i="74"/>
  <c r="P16" i="74"/>
  <c r="P18" i="74"/>
  <c r="N112" i="137" s="1"/>
  <c r="N113" i="137" s="1"/>
  <c r="P19" i="74"/>
  <c r="O112" i="137" s="1"/>
  <c r="O113" i="137" s="1"/>
  <c r="P20" i="74"/>
  <c r="P23" i="74"/>
  <c r="P24" i="74"/>
  <c r="P25" i="74"/>
  <c r="P26" i="74"/>
  <c r="P27" i="74"/>
  <c r="P31" i="74"/>
  <c r="Q112" i="137" s="1"/>
  <c r="Q113" i="137" s="1"/>
  <c r="P32" i="74"/>
  <c r="R112" i="137" s="1"/>
  <c r="R113" i="137" s="1"/>
  <c r="P33" i="74"/>
  <c r="S112" i="137" s="1"/>
  <c r="S113" i="137" s="1"/>
  <c r="P34" i="74"/>
  <c r="T112" i="137" s="1"/>
  <c r="T113" i="137" s="1"/>
  <c r="P35" i="74"/>
  <c r="U112" i="137" s="1"/>
  <c r="U113" i="137" s="1"/>
  <c r="P36" i="74"/>
  <c r="V112" i="137" s="1"/>
  <c r="V113" i="137" s="1"/>
  <c r="P37" i="74"/>
  <c r="W112" i="137" s="1"/>
  <c r="W113" i="137" s="1"/>
  <c r="P40" i="74"/>
  <c r="P41" i="74"/>
  <c r="P42" i="74"/>
  <c r="P45" i="74"/>
  <c r="P46" i="74"/>
  <c r="P50" i="74"/>
  <c r="P51" i="74"/>
  <c r="P9" i="74"/>
  <c r="H112" i="137" s="1"/>
  <c r="H113" i="137" s="1"/>
  <c r="G21" i="40" l="1"/>
  <c r="AR17" i="40"/>
  <c r="E16" i="41"/>
  <c r="M124" i="133"/>
  <c r="M125" i="133" s="1"/>
  <c r="G29" i="37"/>
  <c r="U29" i="37" s="1"/>
  <c r="E44" i="37" s="1"/>
  <c r="T79" i="31"/>
  <c r="U21" i="37"/>
  <c r="IG16" i="23"/>
  <c r="CA16" i="128" s="1"/>
  <c r="IF16" i="23"/>
  <c r="BZ16" i="128" s="1"/>
  <c r="IE16" i="23"/>
  <c r="BY16" i="128" s="1"/>
  <c r="W17" i="35"/>
  <c r="Q17" i="74"/>
  <c r="O17" i="36"/>
  <c r="G30" i="36"/>
  <c r="K17" i="40"/>
  <c r="K21" i="40" s="1"/>
  <c r="F16" i="41"/>
  <c r="S17" i="73"/>
  <c r="I16" i="41"/>
  <c r="I16" i="43" s="1"/>
  <c r="H16" i="41"/>
  <c r="H16" i="43" s="1"/>
  <c r="Q17" i="38"/>
  <c r="ID16" i="23"/>
  <c r="BX16" i="128" s="1"/>
  <c r="S17" i="39"/>
  <c r="G21" i="34"/>
  <c r="D16" i="41"/>
  <c r="G30" i="40"/>
  <c r="M21" i="40"/>
  <c r="M29" i="40"/>
  <c r="M30" i="40" s="1"/>
  <c r="Q29" i="35"/>
  <c r="Q30" i="35" s="1"/>
  <c r="Q21" i="35"/>
  <c r="I29" i="74"/>
  <c r="I30" i="74" s="1"/>
  <c r="I21" i="74"/>
  <c r="G21" i="74"/>
  <c r="G29" i="74"/>
  <c r="K21" i="73"/>
  <c r="K29" i="73"/>
  <c r="K30" i="73" s="1"/>
  <c r="I29" i="73"/>
  <c r="I30" i="73" s="1"/>
  <c r="I21" i="73"/>
  <c r="G29" i="73"/>
  <c r="G21" i="73"/>
  <c r="K29" i="35"/>
  <c r="W29" i="35" s="1"/>
  <c r="K21" i="35"/>
  <c r="AE29" i="40"/>
  <c r="AE30" i="40" s="1"/>
  <c r="AE21" i="40"/>
  <c r="Y29" i="40"/>
  <c r="Y30" i="40" s="1"/>
  <c r="Y21" i="40"/>
  <c r="AA29" i="40"/>
  <c r="AA30" i="40" s="1"/>
  <c r="AA21" i="40"/>
  <c r="W21" i="40"/>
  <c r="W29" i="40"/>
  <c r="W30" i="40" s="1"/>
  <c r="U21" i="40"/>
  <c r="U29" i="40"/>
  <c r="U30" i="40" s="1"/>
  <c r="Q29" i="40"/>
  <c r="Q30" i="40" s="1"/>
  <c r="Q21" i="40"/>
  <c r="S21" i="40"/>
  <c r="S29" i="40"/>
  <c r="S30" i="40" s="1"/>
  <c r="O29" i="40"/>
  <c r="O30" i="40" s="1"/>
  <c r="O21" i="40"/>
  <c r="O21" i="39"/>
  <c r="O29" i="39"/>
  <c r="O30" i="39" s="1"/>
  <c r="K29" i="39"/>
  <c r="K30" i="39" s="1"/>
  <c r="K21" i="39"/>
  <c r="G29" i="39"/>
  <c r="G21" i="39"/>
  <c r="K29" i="36"/>
  <c r="K30" i="36" s="1"/>
  <c r="K21" i="36"/>
  <c r="I21" i="36"/>
  <c r="I29" i="36"/>
  <c r="I30" i="36" s="1"/>
  <c r="I29" i="38"/>
  <c r="I21" i="38"/>
  <c r="K29" i="38"/>
  <c r="K30" i="38" s="1"/>
  <c r="K21" i="38"/>
  <c r="G29" i="38"/>
  <c r="G21" i="38"/>
  <c r="M29" i="34"/>
  <c r="M30" i="34" s="1"/>
  <c r="M21" i="34"/>
  <c r="G29" i="34"/>
  <c r="GY28" i="23"/>
  <c r="GY29" i="23" s="1"/>
  <c r="GY20" i="23"/>
  <c r="GQ20" i="23"/>
  <c r="GQ28" i="23"/>
  <c r="GQ29" i="23" s="1"/>
  <c r="GO28" i="23"/>
  <c r="GO29" i="23" s="1"/>
  <c r="GO20" i="23"/>
  <c r="DC28" i="23"/>
  <c r="DC29" i="23" s="1"/>
  <c r="DC20" i="23"/>
  <c r="DA20" i="23"/>
  <c r="DA28" i="23"/>
  <c r="DA29" i="23" s="1"/>
  <c r="CQ28" i="23"/>
  <c r="CQ29" i="23" s="1"/>
  <c r="CQ20" i="23"/>
  <c r="BY28" i="23"/>
  <c r="BY29" i="23" s="1"/>
  <c r="BY20" i="23"/>
  <c r="CA20" i="23"/>
  <c r="CA28" i="23"/>
  <c r="CA29" i="23" s="1"/>
  <c r="BK20" i="23"/>
  <c r="BK28" i="23"/>
  <c r="BK29" i="23" s="1"/>
  <c r="AM20" i="23"/>
  <c r="AM28" i="23"/>
  <c r="AM29" i="23" s="1"/>
  <c r="AK20" i="23"/>
  <c r="AK28" i="23"/>
  <c r="AK29" i="23" s="1"/>
  <c r="Q28" i="23"/>
  <c r="Q20" i="23"/>
  <c r="G20" i="23"/>
  <c r="G28" i="23"/>
  <c r="G29" i="23" s="1"/>
  <c r="T142" i="31"/>
  <c r="V17" i="34"/>
  <c r="P17" i="74"/>
  <c r="G30" i="37" l="1"/>
  <c r="U30" i="37" s="1"/>
  <c r="AS17" i="40"/>
  <c r="I30" i="38"/>
  <c r="E28" i="41"/>
  <c r="E20" i="41"/>
  <c r="AS21" i="40"/>
  <c r="M112" i="137"/>
  <c r="M113" i="137" s="1"/>
  <c r="G10" i="29"/>
  <c r="U44" i="37"/>
  <c r="K29" i="40"/>
  <c r="W21" i="35"/>
  <c r="Q29" i="23"/>
  <c r="O21" i="36"/>
  <c r="Q21" i="74"/>
  <c r="F16" i="43"/>
  <c r="DM28" i="23"/>
  <c r="IG28" i="23" s="1"/>
  <c r="E28" i="23"/>
  <c r="DM20" i="23"/>
  <c r="IG20" i="23" s="1"/>
  <c r="E20" i="23"/>
  <c r="I21" i="34"/>
  <c r="I20" i="41" s="1"/>
  <c r="I20" i="43" s="1"/>
  <c r="I29" i="34"/>
  <c r="I30" i="34" s="1"/>
  <c r="I29" i="41" s="1"/>
  <c r="I29" i="43" s="1"/>
  <c r="K30" i="35"/>
  <c r="W30" i="35" s="1"/>
  <c r="E44" i="35"/>
  <c r="G30" i="39"/>
  <c r="S30" i="39" s="1"/>
  <c r="S29" i="39"/>
  <c r="E44" i="39" s="1"/>
  <c r="G15" i="29" s="1"/>
  <c r="Q21" i="38"/>
  <c r="G20" i="41"/>
  <c r="S21" i="73"/>
  <c r="W17" i="34"/>
  <c r="G16" i="41"/>
  <c r="G16" i="43" s="1"/>
  <c r="G30" i="38"/>
  <c r="Q30" i="38" s="1"/>
  <c r="Q29" i="38"/>
  <c r="E44" i="38" s="1"/>
  <c r="G30" i="73"/>
  <c r="S30" i="73" s="1"/>
  <c r="S29" i="73"/>
  <c r="E44" i="73" s="1"/>
  <c r="E48" i="37"/>
  <c r="U48" i="37" s="1"/>
  <c r="E39" i="37"/>
  <c r="U39" i="37" s="1"/>
  <c r="D16" i="43"/>
  <c r="CD16" i="128"/>
  <c r="O29" i="36"/>
  <c r="E44" i="36" s="1"/>
  <c r="G8" i="29" s="1"/>
  <c r="S21" i="39"/>
  <c r="G30" i="74"/>
  <c r="Q30" i="74" s="1"/>
  <c r="Q29" i="74"/>
  <c r="E44" i="74" s="1"/>
  <c r="CE16" i="128"/>
  <c r="O30" i="36"/>
  <c r="G30" i="34"/>
  <c r="AX46" i="23"/>
  <c r="AX47" i="23"/>
  <c r="AX37" i="23"/>
  <c r="AX38" i="23"/>
  <c r="AX27" i="23"/>
  <c r="AX21" i="23"/>
  <c r="AX18" i="23"/>
  <c r="AX12" i="23"/>
  <c r="E29" i="41" l="1"/>
  <c r="G28" i="41"/>
  <c r="AS29" i="40"/>
  <c r="E44" i="40" s="1"/>
  <c r="AS44" i="40" s="1"/>
  <c r="G12" i="29" s="1"/>
  <c r="G9" i="29"/>
  <c r="K30" i="40"/>
  <c r="M1269" i="129"/>
  <c r="M1270" i="129" s="1"/>
  <c r="M159" i="130"/>
  <c r="M160" i="130" s="1"/>
  <c r="M25" i="130"/>
  <c r="M26" i="130" s="1"/>
  <c r="W21" i="34"/>
  <c r="E29" i="23"/>
  <c r="DM29" i="23"/>
  <c r="IG29" i="23" s="1"/>
  <c r="CA28" i="128"/>
  <c r="G28" i="43" s="1"/>
  <c r="CA20" i="128"/>
  <c r="G20" i="43" s="1"/>
  <c r="G13" i="29"/>
  <c r="W44" i="35"/>
  <c r="W29" i="34"/>
  <c r="E44" i="34" s="1"/>
  <c r="E43" i="41" s="1"/>
  <c r="I28" i="41"/>
  <c r="I28" i="43" s="1"/>
  <c r="K16" i="41"/>
  <c r="E48" i="38"/>
  <c r="Q44" i="38"/>
  <c r="E16" i="43"/>
  <c r="K16" i="43" s="1"/>
  <c r="S44" i="39"/>
  <c r="E39" i="39"/>
  <c r="S39" i="39" s="1"/>
  <c r="E48" i="39"/>
  <c r="O44" i="36"/>
  <c r="E48" i="36"/>
  <c r="E39" i="36"/>
  <c r="O39" i="36" s="1"/>
  <c r="Q44" i="74"/>
  <c r="G11" i="29" s="1"/>
  <c r="E48" i="74"/>
  <c r="E39" i="74"/>
  <c r="Q39" i="74" s="1"/>
  <c r="E49" i="37"/>
  <c r="U49" i="37" s="1"/>
  <c r="E48" i="73"/>
  <c r="S44" i="73"/>
  <c r="G14" i="29" s="1"/>
  <c r="E39" i="73"/>
  <c r="S39" i="73" s="1"/>
  <c r="E48" i="35"/>
  <c r="W48" i="35" s="1"/>
  <c r="E39" i="35"/>
  <c r="W39" i="35" s="1"/>
  <c r="W30" i="34"/>
  <c r="K20" i="41"/>
  <c r="AX20" i="23"/>
  <c r="AX48" i="23"/>
  <c r="AX28" i="23"/>
  <c r="AX29" i="23" s="1"/>
  <c r="E9" i="27"/>
  <c r="E39" i="40" l="1"/>
  <c r="AS39" i="40" s="1"/>
  <c r="E48" i="40"/>
  <c r="AS48" i="40" s="1"/>
  <c r="G29" i="41"/>
  <c r="K29" i="41" s="1"/>
  <c r="AS30" i="40"/>
  <c r="K43" i="41"/>
  <c r="E48" i="34"/>
  <c r="E47" i="41" s="1"/>
  <c r="W44" i="34"/>
  <c r="E39" i="34"/>
  <c r="CA29" i="128"/>
  <c r="G7" i="29"/>
  <c r="G16" i="29" s="1"/>
  <c r="Q17" i="43" s="1"/>
  <c r="R12" i="43"/>
  <c r="J11" i="119"/>
  <c r="F12" i="120"/>
  <c r="E49" i="40"/>
  <c r="K28" i="41"/>
  <c r="O48" i="36"/>
  <c r="E49" i="36"/>
  <c r="O49" i="36" s="1"/>
  <c r="Q48" i="38"/>
  <c r="E49" i="38"/>
  <c r="Q49" i="38" s="1"/>
  <c r="Q48" i="74"/>
  <c r="E49" i="74"/>
  <c r="Q49" i="74" s="1"/>
  <c r="E49" i="35"/>
  <c r="W49" i="35" s="1"/>
  <c r="S48" i="39"/>
  <c r="E49" i="39"/>
  <c r="S49" i="39" s="1"/>
  <c r="S48" i="73"/>
  <c r="E49" i="73"/>
  <c r="S49" i="73" s="1"/>
  <c r="D19" i="34"/>
  <c r="D21" i="23"/>
  <c r="P38" i="23"/>
  <c r="D38" i="23"/>
  <c r="L38" i="23"/>
  <c r="GD21" i="23"/>
  <c r="D18" i="23"/>
  <c r="D12" i="23"/>
  <c r="G29" i="43" l="1"/>
  <c r="AS49" i="40"/>
  <c r="W39" i="34"/>
  <c r="W48" i="34"/>
  <c r="K47" i="41"/>
  <c r="E49" i="34"/>
  <c r="E48" i="41" s="1"/>
  <c r="E43" i="43"/>
  <c r="K43" i="43" s="1"/>
  <c r="K67" i="43" s="1"/>
  <c r="D13" i="34"/>
  <c r="D22" i="34"/>
  <c r="W49" i="34" l="1"/>
  <c r="K48" i="41"/>
  <c r="K54" i="41" s="1"/>
  <c r="E47" i="43"/>
  <c r="K47" i="43" s="1"/>
  <c r="F42" i="120"/>
  <c r="E21" i="119"/>
  <c r="E17" i="119" s="1"/>
  <c r="D21" i="34"/>
  <c r="H49" i="100"/>
  <c r="G49" i="100"/>
  <c r="F49" i="100"/>
  <c r="E49" i="100"/>
  <c r="C49" i="100"/>
  <c r="H45" i="100"/>
  <c r="G45" i="100"/>
  <c r="F45" i="100"/>
  <c r="E45" i="100"/>
  <c r="C45" i="100"/>
  <c r="H43" i="100"/>
  <c r="G43" i="100"/>
  <c r="F43" i="100"/>
  <c r="E43" i="100"/>
  <c r="C43" i="100"/>
  <c r="H32" i="100"/>
  <c r="G32" i="100"/>
  <c r="F32" i="100"/>
  <c r="E32" i="100"/>
  <c r="C32" i="100"/>
  <c r="H29" i="100"/>
  <c r="G29" i="100"/>
  <c r="F29" i="100"/>
  <c r="E29" i="100"/>
  <c r="C29" i="100"/>
  <c r="H26" i="100"/>
  <c r="G26" i="100"/>
  <c r="F26" i="100"/>
  <c r="E26" i="100"/>
  <c r="C26" i="100"/>
  <c r="H23" i="100"/>
  <c r="G23" i="100"/>
  <c r="F23" i="100"/>
  <c r="E23" i="100"/>
  <c r="C23" i="100"/>
  <c r="H19" i="100"/>
  <c r="G19" i="100"/>
  <c r="F19" i="100"/>
  <c r="E19" i="100"/>
  <c r="C19" i="100"/>
  <c r="H14" i="100"/>
  <c r="G14" i="100"/>
  <c r="F14" i="100"/>
  <c r="E14" i="100"/>
  <c r="C14" i="100"/>
  <c r="H3" i="100"/>
  <c r="G3" i="100"/>
  <c r="F3" i="100"/>
  <c r="E3" i="100"/>
  <c r="C51" i="100" l="1"/>
  <c r="E48" i="43"/>
  <c r="K48" i="43" s="1"/>
  <c r="F47" i="120"/>
  <c r="F48" i="120" s="1"/>
  <c r="F38" i="120"/>
  <c r="E26" i="119"/>
  <c r="E27" i="119" s="1"/>
  <c r="H51" i="100"/>
  <c r="F51" i="100"/>
  <c r="E51" i="100"/>
  <c r="G51" i="100"/>
  <c r="GZ46" i="23"/>
  <c r="GZ47" i="23"/>
  <c r="GZ37" i="23"/>
  <c r="GZ38" i="23"/>
  <c r="GZ27" i="23"/>
  <c r="GZ21" i="23"/>
  <c r="GZ18" i="23"/>
  <c r="GZ28" i="23" s="1"/>
  <c r="GZ12" i="23"/>
  <c r="GZ48" i="23" l="1"/>
  <c r="GZ20" i="23"/>
  <c r="GZ29" i="23"/>
  <c r="P47" i="34" l="1"/>
  <c r="R47" i="34"/>
  <c r="P48" i="34"/>
  <c r="R48" i="34"/>
  <c r="P38" i="34"/>
  <c r="R38" i="34"/>
  <c r="P39" i="34"/>
  <c r="R39" i="34"/>
  <c r="P22" i="34"/>
  <c r="R22" i="34"/>
  <c r="P19" i="34"/>
  <c r="P29" i="34" s="1"/>
  <c r="R19" i="34"/>
  <c r="R29" i="34" s="1"/>
  <c r="P13" i="34"/>
  <c r="R13" i="34"/>
  <c r="R28" i="34" s="1"/>
  <c r="P21" i="34" l="1"/>
  <c r="R21" i="34"/>
  <c r="R30" i="34"/>
  <c r="R49" i="34"/>
  <c r="P28" i="34"/>
  <c r="P30" i="34" s="1"/>
  <c r="P49" i="34"/>
  <c r="U142" i="31"/>
  <c r="V142" i="31"/>
  <c r="W142" i="31"/>
  <c r="X142" i="31"/>
  <c r="U58" i="31"/>
  <c r="U141" i="31" s="1"/>
  <c r="V58" i="31"/>
  <c r="W58" i="31"/>
  <c r="X58" i="31"/>
  <c r="HT46" i="23" l="1"/>
  <c r="HV46" i="23"/>
  <c r="HT47" i="23"/>
  <c r="HV47" i="23"/>
  <c r="HT37" i="23"/>
  <c r="HV37" i="23"/>
  <c r="HT38" i="23"/>
  <c r="HV38" i="23"/>
  <c r="HT27" i="23"/>
  <c r="HV27" i="23"/>
  <c r="HT21" i="23"/>
  <c r="HV21" i="23"/>
  <c r="HT18" i="23"/>
  <c r="HV18" i="23"/>
  <c r="HV28" i="23" s="1"/>
  <c r="HT12" i="23"/>
  <c r="HV12" i="23"/>
  <c r="HT48" i="23" l="1"/>
  <c r="HV48" i="23"/>
  <c r="HV29" i="23"/>
  <c r="HV20" i="23"/>
  <c r="EB17" i="23" l="1"/>
  <c r="HT28" i="23"/>
  <c r="HT29" i="23" s="1"/>
  <c r="HT20" i="23"/>
  <c r="EC17" i="23" l="1"/>
  <c r="HP46" i="23"/>
  <c r="HR46" i="23"/>
  <c r="HP47" i="23"/>
  <c r="HR47" i="23"/>
  <c r="HP37" i="23"/>
  <c r="HR37" i="23"/>
  <c r="HP38" i="23"/>
  <c r="HR38" i="23"/>
  <c r="HP27" i="23"/>
  <c r="HR27" i="23"/>
  <c r="HP21" i="23"/>
  <c r="HR21" i="23"/>
  <c r="HP18" i="23"/>
  <c r="HP28" i="23" s="1"/>
  <c r="HR18" i="23"/>
  <c r="HR28" i="23" s="1"/>
  <c r="HP12" i="23"/>
  <c r="HR12" i="23"/>
  <c r="HN46" i="23"/>
  <c r="HN47" i="23"/>
  <c r="HN37" i="23"/>
  <c r="HN38" i="23"/>
  <c r="HN27" i="23"/>
  <c r="HN21" i="23"/>
  <c r="HN18" i="23"/>
  <c r="HN28" i="23" s="1"/>
  <c r="HN12" i="23"/>
  <c r="HJ46" i="23"/>
  <c r="HJ47" i="23"/>
  <c r="HJ37" i="23"/>
  <c r="HJ38" i="23"/>
  <c r="HJ27" i="23"/>
  <c r="HJ21" i="23"/>
  <c r="HJ18" i="23"/>
  <c r="HJ28" i="23" s="1"/>
  <c r="HJ12" i="23"/>
  <c r="EC28" i="23" l="1"/>
  <c r="EC29" i="23" s="1"/>
  <c r="EC20" i="23"/>
  <c r="HP29" i="23"/>
  <c r="HR29" i="23"/>
  <c r="HP48" i="23"/>
  <c r="HN29" i="23"/>
  <c r="HN20" i="23"/>
  <c r="HJ20" i="23"/>
  <c r="HN48" i="23"/>
  <c r="HP20" i="23"/>
  <c r="HR20" i="23"/>
  <c r="HJ29" i="23"/>
  <c r="HJ48" i="23"/>
  <c r="HR48" i="23"/>
  <c r="HH46" i="23"/>
  <c r="HL46" i="23"/>
  <c r="HH47" i="23"/>
  <c r="HL47" i="23"/>
  <c r="HH37" i="23"/>
  <c r="HL37" i="23"/>
  <c r="HH38" i="23"/>
  <c r="HL38" i="23"/>
  <c r="HH27" i="23"/>
  <c r="HL27" i="23"/>
  <c r="HL21" i="23"/>
  <c r="HH18" i="23"/>
  <c r="HL18" i="23"/>
  <c r="HH12" i="23"/>
  <c r="HL12" i="23"/>
  <c r="HH20" i="23" l="1"/>
  <c r="HL48" i="23"/>
  <c r="HH48" i="23"/>
  <c r="V7" i="31"/>
  <c r="V141" i="31" s="1"/>
  <c r="HL28" i="23" l="1"/>
  <c r="HL29" i="23" s="1"/>
  <c r="HL20" i="23"/>
  <c r="HH28" i="23"/>
  <c r="HH29" i="23" s="1"/>
  <c r="DX46" i="23" l="1"/>
  <c r="DX47" i="23"/>
  <c r="DX37" i="23"/>
  <c r="DX38" i="23"/>
  <c r="DX27" i="23"/>
  <c r="DX21" i="23"/>
  <c r="DX18" i="23"/>
  <c r="DX12" i="23"/>
  <c r="AF46" i="23"/>
  <c r="AF47" i="23"/>
  <c r="AF37" i="23"/>
  <c r="AF38" i="23"/>
  <c r="AF27" i="23"/>
  <c r="AF21" i="23"/>
  <c r="AF18" i="23"/>
  <c r="AF12" i="23"/>
  <c r="AF48" i="23" l="1"/>
  <c r="AF28" i="23"/>
  <c r="AF29" i="23" s="1"/>
  <c r="DX48" i="23"/>
  <c r="CF46" i="23"/>
  <c r="CF47" i="23"/>
  <c r="CF37" i="23"/>
  <c r="CF38" i="23"/>
  <c r="CF27" i="23"/>
  <c r="CF21" i="23"/>
  <c r="CF18" i="23"/>
  <c r="CF12" i="23"/>
  <c r="AF20" i="23" l="1"/>
  <c r="CF48" i="23"/>
  <c r="L46" i="23"/>
  <c r="N46" i="23"/>
  <c r="L47" i="23"/>
  <c r="N47" i="23"/>
  <c r="L37" i="23"/>
  <c r="N37" i="23"/>
  <c r="N38" i="23"/>
  <c r="L27" i="23"/>
  <c r="N27" i="23"/>
  <c r="L21" i="23"/>
  <c r="N21" i="23"/>
  <c r="L18" i="23"/>
  <c r="N18" i="23"/>
  <c r="L12" i="23"/>
  <c r="N12" i="23"/>
  <c r="N20" i="23" l="1"/>
  <c r="L48" i="23"/>
  <c r="N28" i="23"/>
  <c r="N29" i="23" s="1"/>
  <c r="N48" i="23"/>
  <c r="CF20" i="23" l="1"/>
  <c r="CF28" i="23"/>
  <c r="CF29" i="23" s="1"/>
  <c r="L28" i="23"/>
  <c r="L29" i="23" s="1"/>
  <c r="L20" i="23" l="1"/>
  <c r="GX46" i="23"/>
  <c r="GX47" i="23"/>
  <c r="GX37" i="23"/>
  <c r="GX38" i="23"/>
  <c r="GX27" i="23"/>
  <c r="GX21" i="23"/>
  <c r="GX18" i="23"/>
  <c r="GX12" i="23"/>
  <c r="GX48" i="23" l="1"/>
  <c r="GX28" i="23" l="1"/>
  <c r="GX29" i="23" s="1"/>
  <c r="GX20" i="23" l="1"/>
  <c r="F38" i="34" l="1"/>
  <c r="D58" i="31" l="1"/>
  <c r="T58" i="31" l="1"/>
  <c r="T141" i="31" s="1"/>
  <c r="DX20" i="23" l="1"/>
  <c r="DX28" i="23"/>
  <c r="DX29" i="23" s="1"/>
  <c r="I7" i="27"/>
  <c r="I139" i="27" s="1"/>
  <c r="I144" i="27" s="1"/>
  <c r="K16" i="29" l="1"/>
  <c r="D9" i="31"/>
  <c r="D7" i="31" s="1"/>
  <c r="D141" i="31" s="1"/>
  <c r="D185" i="31" l="1"/>
  <c r="I12" i="91"/>
  <c r="H12" i="91"/>
  <c r="G12" i="91"/>
  <c r="D19" i="91"/>
  <c r="K18" i="94"/>
  <c r="U20" i="94"/>
  <c r="W20" i="94"/>
  <c r="O27" i="96"/>
  <c r="P27" i="96" s="1"/>
  <c r="O22" i="96"/>
  <c r="P22" i="96" s="1"/>
  <c r="O21" i="96"/>
  <c r="P21" i="96" s="1"/>
  <c r="O20" i="96"/>
  <c r="O19" i="96"/>
  <c r="O18" i="96"/>
  <c r="P18" i="96" s="1"/>
  <c r="O15" i="96"/>
  <c r="P15" i="96" s="1"/>
  <c r="O13" i="96"/>
  <c r="P13" i="96" s="1"/>
  <c r="N10" i="96"/>
  <c r="P10" i="96" s="1"/>
  <c r="O7" i="96"/>
  <c r="P8" i="96"/>
  <c r="P9" i="96"/>
  <c r="P11" i="96"/>
  <c r="P12" i="96"/>
  <c r="O26" i="95"/>
  <c r="P26" i="95" s="1"/>
  <c r="O21" i="95"/>
  <c r="O14" i="95"/>
  <c r="P14" i="95" s="1"/>
  <c r="J8" i="92"/>
  <c r="AB47" i="23"/>
  <c r="O19" i="95"/>
  <c r="P19" i="95" s="1"/>
  <c r="O18" i="95"/>
  <c r="P18" i="95" s="1"/>
  <c r="O17" i="95"/>
  <c r="P17" i="95" s="1"/>
  <c r="O12" i="95"/>
  <c r="P12" i="95" s="1"/>
  <c r="N9" i="95"/>
  <c r="N13" i="95" s="1"/>
  <c r="N15" i="95" s="1"/>
  <c r="O6" i="95"/>
  <c r="P6" i="95" s="1"/>
  <c r="E6" i="98"/>
  <c r="D6" i="98"/>
  <c r="F5" i="98"/>
  <c r="E16" i="97"/>
  <c r="E17" i="97"/>
  <c r="E18" i="97"/>
  <c r="E15" i="97"/>
  <c r="E7" i="97"/>
  <c r="E8" i="97"/>
  <c r="E9" i="97"/>
  <c r="E10" i="97"/>
  <c r="E11" i="97"/>
  <c r="E6" i="97"/>
  <c r="C80" i="94"/>
  <c r="C76" i="94"/>
  <c r="C75" i="94"/>
  <c r="C74" i="94"/>
  <c r="C67" i="94"/>
  <c r="C71" i="94"/>
  <c r="C69" i="94"/>
  <c r="C68" i="94"/>
  <c r="C72" i="94"/>
  <c r="C60" i="94"/>
  <c r="C63" i="94" s="1"/>
  <c r="C5" i="94" s="1"/>
  <c r="U5" i="94" s="1"/>
  <c r="C54" i="94"/>
  <c r="C53" i="94"/>
  <c r="C52" i="94"/>
  <c r="C51" i="94"/>
  <c r="C50" i="94"/>
  <c r="C49" i="94"/>
  <c r="V17" i="94"/>
  <c r="V16" i="94"/>
  <c r="V15" i="94"/>
  <c r="E7" i="92"/>
  <c r="F7" i="92"/>
  <c r="G7" i="92"/>
  <c r="H7" i="92"/>
  <c r="D7" i="92"/>
  <c r="E12" i="92"/>
  <c r="D12" i="92"/>
  <c r="D11" i="92" s="1"/>
  <c r="I14" i="91"/>
  <c r="I13" i="91"/>
  <c r="H13" i="91"/>
  <c r="G13" i="91"/>
  <c r="H14" i="91"/>
  <c r="G14" i="91"/>
  <c r="C65" i="94"/>
  <c r="D42" i="93"/>
  <c r="D43" i="93" s="1"/>
  <c r="C42" i="93"/>
  <c r="C43" i="93" s="1"/>
  <c r="B42" i="93"/>
  <c r="B43" i="93" s="1"/>
  <c r="E41" i="93"/>
  <c r="E40" i="93"/>
  <c r="E39" i="93"/>
  <c r="E38" i="93"/>
  <c r="E37" i="93"/>
  <c r="E36" i="93"/>
  <c r="E35" i="93"/>
  <c r="E34" i="93"/>
  <c r="E33" i="93"/>
  <c r="E32" i="93"/>
  <c r="E31" i="93"/>
  <c r="E30" i="93"/>
  <c r="E29" i="93"/>
  <c r="E28" i="93"/>
  <c r="E27" i="93"/>
  <c r="E26" i="93"/>
  <c r="E25" i="93"/>
  <c r="E24" i="93"/>
  <c r="E23" i="93"/>
  <c r="E22" i="93"/>
  <c r="E21" i="93"/>
  <c r="D20" i="93"/>
  <c r="C20" i="93"/>
  <c r="E19" i="93"/>
  <c r="E18" i="93"/>
  <c r="E17" i="93"/>
  <c r="E16" i="93"/>
  <c r="B7" i="93"/>
  <c r="P10" i="38"/>
  <c r="I138" i="134" s="1"/>
  <c r="I139" i="134" s="1"/>
  <c r="J316" i="131"/>
  <c r="J317" i="131" s="1"/>
  <c r="BX27" i="23"/>
  <c r="BN27" i="23"/>
  <c r="EP27" i="23"/>
  <c r="ET27" i="23"/>
  <c r="BZ27" i="23"/>
  <c r="CP27" i="23"/>
  <c r="BF27" i="23"/>
  <c r="V27" i="23"/>
  <c r="N47" i="37"/>
  <c r="N48" i="37"/>
  <c r="N38" i="37"/>
  <c r="N39" i="37"/>
  <c r="N29" i="37"/>
  <c r="N22" i="37"/>
  <c r="N13" i="37"/>
  <c r="N28" i="37" s="1"/>
  <c r="C78" i="94"/>
  <c r="F4" i="98"/>
  <c r="H19" i="97"/>
  <c r="H20" i="97" s="1"/>
  <c r="B12" i="97"/>
  <c r="C12" i="97"/>
  <c r="P25" i="96"/>
  <c r="L26" i="96"/>
  <c r="L28" i="96" s="1"/>
  <c r="P24" i="96"/>
  <c r="J26" i="96"/>
  <c r="J28" i="96" s="1"/>
  <c r="P23" i="96"/>
  <c r="P20" i="96"/>
  <c r="E26" i="96"/>
  <c r="E28" i="96" s="1"/>
  <c r="M26" i="96"/>
  <c r="M28" i="96" s="1"/>
  <c r="K26" i="96"/>
  <c r="K28" i="96" s="1"/>
  <c r="F26" i="96"/>
  <c r="F28" i="96" s="1"/>
  <c r="J14" i="96"/>
  <c r="J16" i="96" s="1"/>
  <c r="F14" i="96"/>
  <c r="F16" i="96" s="1"/>
  <c r="K14" i="96"/>
  <c r="K16" i="96" s="1"/>
  <c r="G14" i="96"/>
  <c r="G16" i="96" s="1"/>
  <c r="L14" i="96"/>
  <c r="L16" i="96" s="1"/>
  <c r="M14" i="96"/>
  <c r="M16" i="96" s="1"/>
  <c r="I14" i="96"/>
  <c r="I16" i="96" s="1"/>
  <c r="R6" i="96"/>
  <c r="S29" i="95"/>
  <c r="Q29" i="95"/>
  <c r="S28" i="95"/>
  <c r="N25" i="95"/>
  <c r="N27" i="95" s="1"/>
  <c r="M25" i="95"/>
  <c r="M27" i="95" s="1"/>
  <c r="L25" i="95"/>
  <c r="L27" i="95" s="1"/>
  <c r="K25" i="95"/>
  <c r="K32" i="95" s="1"/>
  <c r="J25" i="95"/>
  <c r="J27" i="95" s="1"/>
  <c r="I25" i="95"/>
  <c r="I27" i="95" s="1"/>
  <c r="F25" i="95"/>
  <c r="F27" i="95" s="1"/>
  <c r="E25" i="95"/>
  <c r="E27" i="95" s="1"/>
  <c r="D25" i="95"/>
  <c r="D27" i="95" s="1"/>
  <c r="P24" i="95"/>
  <c r="P23" i="95"/>
  <c r="G25" i="95"/>
  <c r="G27" i="95" s="1"/>
  <c r="H25" i="95"/>
  <c r="H27" i="95" s="1"/>
  <c r="O20" i="95"/>
  <c r="R16" i="95"/>
  <c r="S16" i="95" s="1"/>
  <c r="M13" i="95"/>
  <c r="M15" i="95" s="1"/>
  <c r="L13" i="95"/>
  <c r="L15" i="95" s="1"/>
  <c r="K13" i="95"/>
  <c r="K15" i="95" s="1"/>
  <c r="J13" i="95"/>
  <c r="J15" i="95" s="1"/>
  <c r="I13" i="95"/>
  <c r="I15" i="95" s="1"/>
  <c r="H13" i="95"/>
  <c r="H15" i="95" s="1"/>
  <c r="H28" i="95" s="1"/>
  <c r="G13" i="95"/>
  <c r="G15" i="95" s="1"/>
  <c r="F13" i="95"/>
  <c r="F15" i="95" s="1"/>
  <c r="E13" i="95"/>
  <c r="E15" i="95" s="1"/>
  <c r="D13" i="95"/>
  <c r="D15" i="95" s="1"/>
  <c r="P11" i="95"/>
  <c r="P10" i="95"/>
  <c r="P7" i="95"/>
  <c r="U45" i="94"/>
  <c r="U44" i="94"/>
  <c r="U43" i="94"/>
  <c r="U42" i="94"/>
  <c r="U41" i="94"/>
  <c r="U40" i="94"/>
  <c r="U39" i="94"/>
  <c r="T35" i="94"/>
  <c r="S35" i="94"/>
  <c r="R35" i="94"/>
  <c r="Q35" i="94"/>
  <c r="P35" i="94"/>
  <c r="O35" i="94"/>
  <c r="N35" i="94"/>
  <c r="M35" i="94"/>
  <c r="L35" i="94"/>
  <c r="K35" i="94"/>
  <c r="J35" i="94"/>
  <c r="I35" i="94"/>
  <c r="H35" i="94"/>
  <c r="G35" i="94"/>
  <c r="F35" i="94"/>
  <c r="E35" i="94"/>
  <c r="D35" i="94"/>
  <c r="C35" i="94"/>
  <c r="T31" i="94"/>
  <c r="S31" i="94"/>
  <c r="R31" i="94"/>
  <c r="Q31" i="94"/>
  <c r="P31" i="94"/>
  <c r="O31" i="94"/>
  <c r="N31" i="94"/>
  <c r="M31" i="94"/>
  <c r="L31" i="94"/>
  <c r="K31" i="94"/>
  <c r="J31" i="94"/>
  <c r="I31" i="94"/>
  <c r="H31" i="94"/>
  <c r="G31" i="94"/>
  <c r="F31" i="94"/>
  <c r="E31" i="94"/>
  <c r="D31" i="94"/>
  <c r="C31" i="94"/>
  <c r="U28" i="94"/>
  <c r="U27" i="94"/>
  <c r="U26" i="94"/>
  <c r="U25" i="94"/>
  <c r="U24" i="94"/>
  <c r="U23" i="94"/>
  <c r="U22" i="94"/>
  <c r="W21" i="94"/>
  <c r="U21" i="94"/>
  <c r="W19" i="94"/>
  <c r="U19" i="94"/>
  <c r="T18" i="94"/>
  <c r="S18" i="94"/>
  <c r="R18" i="94"/>
  <c r="Q18" i="94"/>
  <c r="P18" i="94"/>
  <c r="O18" i="94"/>
  <c r="N18" i="94"/>
  <c r="M18" i="94"/>
  <c r="L18" i="94"/>
  <c r="J18" i="94"/>
  <c r="I18" i="94"/>
  <c r="H18" i="94"/>
  <c r="G18" i="94"/>
  <c r="F18" i="94"/>
  <c r="E18" i="94"/>
  <c r="D18" i="94"/>
  <c r="C18" i="94"/>
  <c r="W17" i="94"/>
  <c r="U17" i="94"/>
  <c r="W16" i="94"/>
  <c r="U16" i="94"/>
  <c r="W15" i="94"/>
  <c r="U15" i="94"/>
  <c r="T14" i="94"/>
  <c r="S14" i="94"/>
  <c r="R14" i="94"/>
  <c r="Q14" i="94"/>
  <c r="P14" i="94"/>
  <c r="O14" i="94"/>
  <c r="N14" i="94"/>
  <c r="M14" i="94"/>
  <c r="L14" i="94"/>
  <c r="K14" i="94"/>
  <c r="J14" i="94"/>
  <c r="I14" i="94"/>
  <c r="H14" i="94"/>
  <c r="G14" i="94"/>
  <c r="F14" i="94"/>
  <c r="E14" i="94"/>
  <c r="E13" i="94" s="1"/>
  <c r="E12" i="94" s="1"/>
  <c r="D14" i="94"/>
  <c r="C14" i="94"/>
  <c r="C13" i="94" s="1"/>
  <c r="C12" i="94" s="1"/>
  <c r="U9" i="94"/>
  <c r="U8" i="94"/>
  <c r="U7" i="94"/>
  <c r="U4" i="94"/>
  <c r="C15" i="92"/>
  <c r="H11" i="92"/>
  <c r="G11" i="92"/>
  <c r="F11" i="92"/>
  <c r="E11" i="92"/>
  <c r="E15" i="92" s="1"/>
  <c r="I9" i="92"/>
  <c r="I8" i="92"/>
  <c r="D38" i="91"/>
  <c r="D37" i="91"/>
  <c r="D47" i="91" s="1"/>
  <c r="D36" i="91"/>
  <c r="D46" i="91" s="1"/>
  <c r="D35" i="91"/>
  <c r="H10" i="91"/>
  <c r="I10" i="91" s="1"/>
  <c r="D17" i="91"/>
  <c r="D25" i="91" s="1"/>
  <c r="H7" i="91"/>
  <c r="I7" i="91" s="1"/>
  <c r="D24" i="90"/>
  <c r="D23" i="90"/>
  <c r="D22" i="90"/>
  <c r="P8" i="95"/>
  <c r="P22" i="95"/>
  <c r="R51" i="23"/>
  <c r="F51" i="23"/>
  <c r="BH27" i="23"/>
  <c r="BD27" i="23"/>
  <c r="P51" i="23"/>
  <c r="BV27" i="23"/>
  <c r="AH46" i="23"/>
  <c r="AH47" i="23"/>
  <c r="AH38" i="23"/>
  <c r="AH37" i="23"/>
  <c r="AH27" i="23"/>
  <c r="AH21" i="23"/>
  <c r="AH18" i="23"/>
  <c r="AH12" i="23"/>
  <c r="GL46" i="23"/>
  <c r="GL47" i="23"/>
  <c r="GL37" i="23"/>
  <c r="GL38" i="23"/>
  <c r="GL27" i="23"/>
  <c r="GL21" i="23"/>
  <c r="GL18" i="23"/>
  <c r="GL28" i="23" s="1"/>
  <c r="GL12" i="23"/>
  <c r="ER27" i="23"/>
  <c r="BR27" i="23"/>
  <c r="DD27" i="23"/>
  <c r="EL17" i="23"/>
  <c r="EM17" i="23" s="1"/>
  <c r="N47" i="39"/>
  <c r="N48" i="39"/>
  <c r="N38" i="39"/>
  <c r="N39" i="39"/>
  <c r="N28" i="39"/>
  <c r="N29" i="39"/>
  <c r="N22" i="39"/>
  <c r="N21" i="39"/>
  <c r="D38" i="34"/>
  <c r="W141" i="31"/>
  <c r="X7" i="31"/>
  <c r="X141" i="31" s="1"/>
  <c r="X185" i="31" s="1"/>
  <c r="BP27" i="23"/>
  <c r="AP27" i="23"/>
  <c r="FT27" i="23"/>
  <c r="R13" i="37"/>
  <c r="R21" i="37" s="1"/>
  <c r="R22" i="37"/>
  <c r="R29" i="37"/>
  <c r="R38" i="37"/>
  <c r="R39" i="37"/>
  <c r="R47" i="37"/>
  <c r="R48" i="37"/>
  <c r="FX46" i="23"/>
  <c r="FX47" i="23"/>
  <c r="FX37" i="23"/>
  <c r="FX38" i="23"/>
  <c r="FX27" i="23"/>
  <c r="FX21" i="23"/>
  <c r="FX18" i="23"/>
  <c r="FX28" i="23" s="1"/>
  <c r="FX12" i="23"/>
  <c r="R29" i="40"/>
  <c r="AD29" i="40"/>
  <c r="EL37" i="23"/>
  <c r="CB46" i="23"/>
  <c r="FB27" i="23"/>
  <c r="DL27" i="23"/>
  <c r="DH27" i="23"/>
  <c r="AL27" i="23"/>
  <c r="GR46" i="23"/>
  <c r="GT46" i="23"/>
  <c r="GV46" i="23"/>
  <c r="GR47" i="23"/>
  <c r="GT47" i="23"/>
  <c r="GV47" i="23"/>
  <c r="GR37" i="23"/>
  <c r="GT37" i="23"/>
  <c r="GV37" i="23"/>
  <c r="GR38" i="23"/>
  <c r="GT38" i="23"/>
  <c r="GV38" i="23"/>
  <c r="GR27" i="23"/>
  <c r="GT27" i="23"/>
  <c r="GV27" i="23"/>
  <c r="GR21" i="23"/>
  <c r="GT21" i="23"/>
  <c r="GV21" i="23"/>
  <c r="GR18" i="23"/>
  <c r="GT18" i="23"/>
  <c r="GV18" i="23"/>
  <c r="GR12" i="23"/>
  <c r="GT12" i="23"/>
  <c r="GV12" i="23"/>
  <c r="BB27" i="23"/>
  <c r="E67" i="25"/>
  <c r="E51" i="25"/>
  <c r="E46" i="25"/>
  <c r="E43" i="25"/>
  <c r="E22" i="25"/>
  <c r="K126" i="27"/>
  <c r="K128" i="27" s="1"/>
  <c r="K139" i="27" s="1"/>
  <c r="K144" i="27" s="1"/>
  <c r="X18" i="23"/>
  <c r="FP46" i="23"/>
  <c r="FP47" i="23"/>
  <c r="FP37" i="23"/>
  <c r="FP38" i="23"/>
  <c r="FP27" i="23"/>
  <c r="FP21" i="23"/>
  <c r="FP18" i="23"/>
  <c r="FP12" i="23"/>
  <c r="L47" i="34"/>
  <c r="L48" i="34"/>
  <c r="L38" i="34"/>
  <c r="L39" i="34"/>
  <c r="L22" i="34"/>
  <c r="L19" i="34"/>
  <c r="L13" i="34"/>
  <c r="L28" i="34" s="1"/>
  <c r="FV37" i="23"/>
  <c r="CT46" i="23"/>
  <c r="GN46" i="23"/>
  <c r="GP46" i="23"/>
  <c r="GN47" i="23"/>
  <c r="GP47" i="23"/>
  <c r="GN37" i="23"/>
  <c r="GP37" i="23"/>
  <c r="GN38" i="23"/>
  <c r="GP38" i="23"/>
  <c r="GN27" i="23"/>
  <c r="GP27" i="23"/>
  <c r="GN21" i="23"/>
  <c r="GP21" i="23"/>
  <c r="GN18" i="23"/>
  <c r="GP18" i="23"/>
  <c r="GP28" i="23" s="1"/>
  <c r="GP29" i="23" s="1"/>
  <c r="GN12" i="23"/>
  <c r="GP12" i="23"/>
  <c r="GH46" i="23"/>
  <c r="GH47" i="23"/>
  <c r="GH37" i="23"/>
  <c r="GH38" i="23"/>
  <c r="GH27" i="23"/>
  <c r="GH21" i="23"/>
  <c r="GH18" i="23"/>
  <c r="GH28" i="23" s="1"/>
  <c r="GH12" i="23"/>
  <c r="DV46" i="23"/>
  <c r="DV47" i="23"/>
  <c r="DV37" i="23"/>
  <c r="DV38" i="23"/>
  <c r="DV21" i="23"/>
  <c r="DV18" i="23"/>
  <c r="DV12" i="23"/>
  <c r="DV27" i="23"/>
  <c r="P51" i="38"/>
  <c r="P12" i="38"/>
  <c r="K138" i="134" s="1"/>
  <c r="K139" i="134" s="1"/>
  <c r="P14" i="38"/>
  <c r="P15" i="38"/>
  <c r="P16" i="38"/>
  <c r="P18" i="38"/>
  <c r="N138" i="134" s="1"/>
  <c r="N139" i="134" s="1"/>
  <c r="P19" i="38"/>
  <c r="O138" i="134" s="1"/>
  <c r="O139" i="134" s="1"/>
  <c r="P20" i="38"/>
  <c r="P23" i="38"/>
  <c r="P24" i="38"/>
  <c r="P25" i="38"/>
  <c r="P26" i="38"/>
  <c r="P27" i="38"/>
  <c r="P31" i="38"/>
  <c r="Q138" i="134" s="1"/>
  <c r="Q139" i="134" s="1"/>
  <c r="P32" i="38"/>
  <c r="R138" i="134" s="1"/>
  <c r="R139" i="134" s="1"/>
  <c r="P33" i="38"/>
  <c r="S138" i="134" s="1"/>
  <c r="S139" i="134" s="1"/>
  <c r="P34" i="38"/>
  <c r="T138" i="134" s="1"/>
  <c r="T139" i="134" s="1"/>
  <c r="P35" i="38"/>
  <c r="U138" i="134" s="1"/>
  <c r="U139" i="134" s="1"/>
  <c r="P36" i="38"/>
  <c r="V138" i="134" s="1"/>
  <c r="V139" i="134" s="1"/>
  <c r="P37" i="38"/>
  <c r="W138" i="134" s="1"/>
  <c r="W139" i="134" s="1"/>
  <c r="P40" i="38"/>
  <c r="P42" i="38"/>
  <c r="P45" i="38"/>
  <c r="P46" i="38"/>
  <c r="P9" i="38"/>
  <c r="H138" i="134" s="1"/>
  <c r="H139" i="134" s="1"/>
  <c r="N47" i="38"/>
  <c r="N48" i="38"/>
  <c r="N38" i="38"/>
  <c r="N39" i="38"/>
  <c r="N29" i="38"/>
  <c r="N22" i="38"/>
  <c r="N13" i="38"/>
  <c r="N21" i="38" s="1"/>
  <c r="J29" i="38"/>
  <c r="J47" i="37"/>
  <c r="J48" i="37"/>
  <c r="J38" i="37"/>
  <c r="J39" i="37"/>
  <c r="J29" i="37"/>
  <c r="J22" i="37"/>
  <c r="J13" i="37"/>
  <c r="J21" i="37" s="1"/>
  <c r="L13" i="74"/>
  <c r="L28" i="74" s="1"/>
  <c r="L29" i="74"/>
  <c r="L38" i="74"/>
  <c r="L39" i="74"/>
  <c r="L47" i="74"/>
  <c r="L48" i="74"/>
  <c r="L22" i="74"/>
  <c r="F46" i="23"/>
  <c r="F53" i="23" s="1"/>
  <c r="H46" i="23"/>
  <c r="J46" i="23"/>
  <c r="P46" i="23"/>
  <c r="P53" i="23" s="1"/>
  <c r="R46" i="23"/>
  <c r="R53" i="23" s="1"/>
  <c r="T46" i="23"/>
  <c r="T53" i="23" s="1"/>
  <c r="V46" i="23"/>
  <c r="X46" i="23"/>
  <c r="Z46" i="23"/>
  <c r="AD46" i="23"/>
  <c r="AJ46" i="23"/>
  <c r="AL46" i="23"/>
  <c r="AN46" i="23"/>
  <c r="AP46" i="23"/>
  <c r="AR46" i="23"/>
  <c r="AT46" i="23"/>
  <c r="AV46" i="23"/>
  <c r="AZ46" i="23"/>
  <c r="BB46" i="23"/>
  <c r="BD46" i="23"/>
  <c r="BF46" i="23"/>
  <c r="BH46" i="23"/>
  <c r="BJ46" i="23"/>
  <c r="BL46" i="23"/>
  <c r="BN46" i="23"/>
  <c r="BP46" i="23"/>
  <c r="BR46" i="23"/>
  <c r="BT46" i="23"/>
  <c r="BV46" i="23"/>
  <c r="BX46" i="23"/>
  <c r="BZ46" i="23"/>
  <c r="CD46" i="23"/>
  <c r="CH46" i="23"/>
  <c r="CJ46" i="23"/>
  <c r="CN46" i="23"/>
  <c r="CP46" i="23"/>
  <c r="CR46" i="23"/>
  <c r="CV46" i="23"/>
  <c r="CZ46" i="23"/>
  <c r="DB46" i="23"/>
  <c r="DD46" i="23"/>
  <c r="DF46" i="23"/>
  <c r="DH46" i="23"/>
  <c r="DJ46" i="23"/>
  <c r="DL46" i="23"/>
  <c r="DN46" i="23"/>
  <c r="DP46" i="23"/>
  <c r="DR46" i="23"/>
  <c r="DT46" i="23"/>
  <c r="DZ46" i="23"/>
  <c r="EB46" i="23"/>
  <c r="EF46" i="23"/>
  <c r="EH46" i="23"/>
  <c r="EN46" i="23"/>
  <c r="EP46" i="23"/>
  <c r="ER46" i="23"/>
  <c r="ET46" i="23"/>
  <c r="EV46" i="23"/>
  <c r="EX46" i="23"/>
  <c r="EZ46" i="23"/>
  <c r="FB46" i="23"/>
  <c r="FD46" i="23"/>
  <c r="FF46" i="23"/>
  <c r="FH46" i="23"/>
  <c r="FJ46" i="23"/>
  <c r="FL46" i="23"/>
  <c r="FN46" i="23"/>
  <c r="FR46" i="23"/>
  <c r="FT46" i="23"/>
  <c r="FZ46" i="23"/>
  <c r="GB46" i="23"/>
  <c r="GD46" i="23"/>
  <c r="GF46" i="23"/>
  <c r="GJ46" i="23"/>
  <c r="HB46" i="23"/>
  <c r="F47" i="23"/>
  <c r="H47" i="23"/>
  <c r="J47" i="23"/>
  <c r="P47" i="23"/>
  <c r="R47" i="23"/>
  <c r="T47" i="23"/>
  <c r="V47" i="23"/>
  <c r="X47" i="23"/>
  <c r="Z47" i="23"/>
  <c r="AD47" i="23"/>
  <c r="AJ47" i="23"/>
  <c r="AL47" i="23"/>
  <c r="AN47" i="23"/>
  <c r="AP47" i="23"/>
  <c r="AR47" i="23"/>
  <c r="AT47" i="23"/>
  <c r="AV47" i="23"/>
  <c r="AZ47" i="23"/>
  <c r="BB47" i="23"/>
  <c r="BD47" i="23"/>
  <c r="BF47" i="23"/>
  <c r="BH47" i="23"/>
  <c r="BJ47" i="23"/>
  <c r="BL47" i="23"/>
  <c r="BN47" i="23"/>
  <c r="BP47" i="23"/>
  <c r="BR47" i="23"/>
  <c r="BT47" i="23"/>
  <c r="BV47" i="23"/>
  <c r="BX47" i="23"/>
  <c r="BZ47" i="23"/>
  <c r="CB47" i="23"/>
  <c r="CD47" i="23"/>
  <c r="CH47" i="23"/>
  <c r="CJ47" i="23"/>
  <c r="CN47" i="23"/>
  <c r="CP47" i="23"/>
  <c r="CR47" i="23"/>
  <c r="CT47" i="23"/>
  <c r="CV47" i="23"/>
  <c r="CZ47" i="23"/>
  <c r="DB47" i="23"/>
  <c r="DD47" i="23"/>
  <c r="DF47" i="23"/>
  <c r="DH47" i="23"/>
  <c r="DJ47" i="23"/>
  <c r="DL47" i="23"/>
  <c r="DN47" i="23"/>
  <c r="DP47" i="23"/>
  <c r="DR47" i="23"/>
  <c r="DT47" i="23"/>
  <c r="DZ47" i="23"/>
  <c r="EB47" i="23"/>
  <c r="EF47" i="23"/>
  <c r="EH47" i="23"/>
  <c r="EL47" i="23"/>
  <c r="EN47" i="23"/>
  <c r="EP47" i="23"/>
  <c r="ER47" i="23"/>
  <c r="ET47" i="23"/>
  <c r="EV47" i="23"/>
  <c r="EX47" i="23"/>
  <c r="EZ47" i="23"/>
  <c r="FB47" i="23"/>
  <c r="FD47" i="23"/>
  <c r="FF47" i="23"/>
  <c r="FH47" i="23"/>
  <c r="FJ47" i="23"/>
  <c r="FL47" i="23"/>
  <c r="FN47" i="23"/>
  <c r="FR47" i="23"/>
  <c r="FT47" i="23"/>
  <c r="FV47" i="23"/>
  <c r="FZ47" i="23"/>
  <c r="GB47" i="23"/>
  <c r="GD47" i="23"/>
  <c r="GF47" i="23"/>
  <c r="GJ47" i="23"/>
  <c r="HB47" i="23"/>
  <c r="F37" i="23"/>
  <c r="H37" i="23"/>
  <c r="J37" i="23"/>
  <c r="P37" i="23"/>
  <c r="R37" i="23"/>
  <c r="T37" i="23"/>
  <c r="V37" i="23"/>
  <c r="X37" i="23"/>
  <c r="Z37" i="23"/>
  <c r="AB37" i="23"/>
  <c r="AD37" i="23"/>
  <c r="AJ37" i="23"/>
  <c r="AL37" i="23"/>
  <c r="AN37" i="23"/>
  <c r="AP37" i="23"/>
  <c r="AR37" i="23"/>
  <c r="AT37" i="23"/>
  <c r="AV37" i="23"/>
  <c r="AZ37" i="23"/>
  <c r="BB37" i="23"/>
  <c r="BD37" i="23"/>
  <c r="BF37" i="23"/>
  <c r="BH37" i="23"/>
  <c r="BJ37" i="23"/>
  <c r="BL37" i="23"/>
  <c r="BN37" i="23"/>
  <c r="BP37" i="23"/>
  <c r="BR37" i="23"/>
  <c r="BT37" i="23"/>
  <c r="BV37" i="23"/>
  <c r="BX37" i="23"/>
  <c r="BZ37" i="23"/>
  <c r="CB37" i="23"/>
  <c r="CD37" i="23"/>
  <c r="CH37" i="23"/>
  <c r="CJ37" i="23"/>
  <c r="CN37" i="23"/>
  <c r="CP37" i="23"/>
  <c r="CR37" i="23"/>
  <c r="CV37" i="23"/>
  <c r="CZ37" i="23"/>
  <c r="DB37" i="23"/>
  <c r="DD37" i="23"/>
  <c r="DF37" i="23"/>
  <c r="DH37" i="23"/>
  <c r="DJ37" i="23"/>
  <c r="DL37" i="23"/>
  <c r="DN37" i="23"/>
  <c r="DP37" i="23"/>
  <c r="DR37" i="23"/>
  <c r="DT37" i="23"/>
  <c r="DZ37" i="23"/>
  <c r="EB37" i="23"/>
  <c r="EF37" i="23"/>
  <c r="EH37" i="23"/>
  <c r="EN37" i="23"/>
  <c r="EP37" i="23"/>
  <c r="ER37" i="23"/>
  <c r="ET37" i="23"/>
  <c r="EV37" i="23"/>
  <c r="EX37" i="23"/>
  <c r="EZ37" i="23"/>
  <c r="FB37" i="23"/>
  <c r="FD37" i="23"/>
  <c r="FF37" i="23"/>
  <c r="FH37" i="23"/>
  <c r="FJ37" i="23"/>
  <c r="FL37" i="23"/>
  <c r="FN37" i="23"/>
  <c r="FR37" i="23"/>
  <c r="FT37" i="23"/>
  <c r="FZ37" i="23"/>
  <c r="GB37" i="23"/>
  <c r="GD37" i="23"/>
  <c r="GF37" i="23"/>
  <c r="GJ37" i="23"/>
  <c r="HB37" i="23"/>
  <c r="F38" i="23"/>
  <c r="H38" i="23"/>
  <c r="J38" i="23"/>
  <c r="P52" i="23"/>
  <c r="R38" i="23"/>
  <c r="R52" i="23" s="1"/>
  <c r="T38" i="23"/>
  <c r="T52" i="23" s="1"/>
  <c r="V38" i="23"/>
  <c r="X38" i="23"/>
  <c r="Z38" i="23"/>
  <c r="AD38" i="23"/>
  <c r="AJ38" i="23"/>
  <c r="AL38" i="23"/>
  <c r="AN38" i="23"/>
  <c r="AP38" i="23"/>
  <c r="AR38" i="23"/>
  <c r="AT38" i="23"/>
  <c r="AV38" i="23"/>
  <c r="AZ38" i="23"/>
  <c r="BB38" i="23"/>
  <c r="BD38" i="23"/>
  <c r="BF38" i="23"/>
  <c r="BH38" i="23"/>
  <c r="BJ38" i="23"/>
  <c r="BL38" i="23"/>
  <c r="BN38" i="23"/>
  <c r="BP38" i="23"/>
  <c r="BR38" i="23"/>
  <c r="BT38" i="23"/>
  <c r="BV38" i="23"/>
  <c r="BX38" i="23"/>
  <c r="BZ38" i="23"/>
  <c r="CB38" i="23"/>
  <c r="CD38" i="23"/>
  <c r="CH38" i="23"/>
  <c r="CJ38" i="23"/>
  <c r="CN38" i="23"/>
  <c r="CP38" i="23"/>
  <c r="CR38" i="23"/>
  <c r="CT38" i="23"/>
  <c r="CV38" i="23"/>
  <c r="CZ38" i="23"/>
  <c r="DB38" i="23"/>
  <c r="DD38" i="23"/>
  <c r="DF38" i="23"/>
  <c r="DH38" i="23"/>
  <c r="DJ38" i="23"/>
  <c r="DL38" i="23"/>
  <c r="DN38" i="23"/>
  <c r="DP38" i="23"/>
  <c r="DR38" i="23"/>
  <c r="DT38" i="23"/>
  <c r="DZ38" i="23"/>
  <c r="EB38" i="23"/>
  <c r="EF38" i="23"/>
  <c r="EH38" i="23"/>
  <c r="EL38" i="23"/>
  <c r="EN38" i="23"/>
  <c r="EP38" i="23"/>
  <c r="ER38" i="23"/>
  <c r="ET38" i="23"/>
  <c r="EV38" i="23"/>
  <c r="EX38" i="23"/>
  <c r="EZ38" i="23"/>
  <c r="FB38" i="23"/>
  <c r="FD38" i="23"/>
  <c r="FF38" i="23"/>
  <c r="FH38" i="23"/>
  <c r="FJ38" i="23"/>
  <c r="FL38" i="23"/>
  <c r="FN38" i="23"/>
  <c r="FR38" i="23"/>
  <c r="FT38" i="23"/>
  <c r="FV38" i="23"/>
  <c r="FZ38" i="23"/>
  <c r="GB38" i="23"/>
  <c r="GD38" i="23"/>
  <c r="GF38" i="23"/>
  <c r="GJ38" i="23"/>
  <c r="HB38" i="23"/>
  <c r="F27" i="23"/>
  <c r="H27" i="23"/>
  <c r="J27" i="23"/>
  <c r="P27" i="23"/>
  <c r="R27" i="23"/>
  <c r="T27" i="23"/>
  <c r="X27" i="23"/>
  <c r="Z27" i="23"/>
  <c r="AB27" i="23"/>
  <c r="AD27" i="23"/>
  <c r="AN27" i="23"/>
  <c r="AR27" i="23"/>
  <c r="AT27" i="23"/>
  <c r="AV27" i="23"/>
  <c r="AZ27" i="23"/>
  <c r="BJ27" i="23"/>
  <c r="CB27" i="23"/>
  <c r="CD27" i="23"/>
  <c r="CH27" i="23"/>
  <c r="CJ27" i="23"/>
  <c r="CN27" i="23"/>
  <c r="CR27" i="23"/>
  <c r="CT27" i="23"/>
  <c r="CV27" i="23"/>
  <c r="CZ27" i="23"/>
  <c r="DB27" i="23"/>
  <c r="DF27" i="23"/>
  <c r="DJ27" i="23"/>
  <c r="DN27" i="23"/>
  <c r="DP27" i="23"/>
  <c r="DR27" i="23"/>
  <c r="DT27" i="23"/>
  <c r="DZ27" i="23"/>
  <c r="EB27" i="23"/>
  <c r="EF27" i="23"/>
  <c r="EH27" i="23"/>
  <c r="EL27" i="23"/>
  <c r="EN27" i="23"/>
  <c r="EV27" i="23"/>
  <c r="EX27" i="23"/>
  <c r="EZ27" i="23"/>
  <c r="FD27" i="23"/>
  <c r="FF27" i="23"/>
  <c r="FH27" i="23"/>
  <c r="FJ27" i="23"/>
  <c r="FR27" i="23"/>
  <c r="FV27" i="23"/>
  <c r="FZ27" i="23"/>
  <c r="GB27" i="23"/>
  <c r="GD27" i="23"/>
  <c r="GF27" i="23"/>
  <c r="GJ27" i="23"/>
  <c r="HB27" i="23"/>
  <c r="F21" i="23"/>
  <c r="H21" i="23"/>
  <c r="J21" i="23"/>
  <c r="P21" i="23"/>
  <c r="R21" i="23"/>
  <c r="T21" i="23"/>
  <c r="V21" i="23"/>
  <c r="X21" i="23"/>
  <c r="Z21" i="23"/>
  <c r="AB21" i="23"/>
  <c r="AD21" i="23"/>
  <c r="AJ21" i="23"/>
  <c r="AL21" i="23"/>
  <c r="AN21" i="23"/>
  <c r="AP21" i="23"/>
  <c r="AR21" i="23"/>
  <c r="AT21" i="23"/>
  <c r="AV21" i="23"/>
  <c r="AZ21" i="23"/>
  <c r="BB21" i="23"/>
  <c r="BD21" i="23"/>
  <c r="BF21" i="23"/>
  <c r="BH21" i="23"/>
  <c r="BJ21" i="23"/>
  <c r="BL21" i="23"/>
  <c r="BN21" i="23"/>
  <c r="BP21" i="23"/>
  <c r="BR21" i="23"/>
  <c r="BT21" i="23"/>
  <c r="BV21" i="23"/>
  <c r="BX21" i="23"/>
  <c r="BZ21" i="23"/>
  <c r="CB21" i="23"/>
  <c r="CD21" i="23"/>
  <c r="CH21" i="23"/>
  <c r="CJ21" i="23"/>
  <c r="CN21" i="23"/>
  <c r="CP21" i="23"/>
  <c r="CR21" i="23"/>
  <c r="CT21" i="23"/>
  <c r="CV21" i="23"/>
  <c r="CZ21" i="23"/>
  <c r="DB21" i="23"/>
  <c r="DD21" i="23"/>
  <c r="DF21" i="23"/>
  <c r="DH21" i="23"/>
  <c r="DJ21" i="23"/>
  <c r="DL21" i="23"/>
  <c r="DN21" i="23"/>
  <c r="DP21" i="23"/>
  <c r="DR21" i="23"/>
  <c r="DT21" i="23"/>
  <c r="DZ21" i="23"/>
  <c r="EB21" i="23"/>
  <c r="EF21" i="23"/>
  <c r="EH21" i="23"/>
  <c r="EL21" i="23"/>
  <c r="EN21" i="23"/>
  <c r="EP21" i="23"/>
  <c r="ER21" i="23"/>
  <c r="ET21" i="23"/>
  <c r="EV21" i="23"/>
  <c r="EX21" i="23"/>
  <c r="EZ21" i="23"/>
  <c r="FB21" i="23"/>
  <c r="FD21" i="23"/>
  <c r="FF21" i="23"/>
  <c r="FH21" i="23"/>
  <c r="FJ21" i="23"/>
  <c r="FL21" i="23"/>
  <c r="FR21" i="23"/>
  <c r="FT21" i="23"/>
  <c r="FV21" i="23"/>
  <c r="FZ21" i="23"/>
  <c r="GB21" i="23"/>
  <c r="GF21" i="23"/>
  <c r="GJ21" i="23"/>
  <c r="HB21" i="23"/>
  <c r="F18" i="23"/>
  <c r="H18" i="23"/>
  <c r="H28" i="23" s="1"/>
  <c r="J18" i="23"/>
  <c r="P18" i="23"/>
  <c r="P28" i="23" s="1"/>
  <c r="R18" i="23"/>
  <c r="T18" i="23"/>
  <c r="T28" i="23" s="1"/>
  <c r="V18" i="23"/>
  <c r="V28" i="23" s="1"/>
  <c r="Z18" i="23"/>
  <c r="Z28" i="23" s="1"/>
  <c r="AB18" i="23"/>
  <c r="AB28" i="23" s="1"/>
  <c r="AD18" i="23"/>
  <c r="AD28" i="23" s="1"/>
  <c r="AJ18" i="23"/>
  <c r="AL18" i="23"/>
  <c r="AN18" i="23"/>
  <c r="AN28" i="23" s="1"/>
  <c r="AP18" i="23"/>
  <c r="AP28" i="23" s="1"/>
  <c r="AR18" i="23"/>
  <c r="AR28" i="23" s="1"/>
  <c r="AT18" i="23"/>
  <c r="AT28" i="23" s="1"/>
  <c r="AV18" i="23"/>
  <c r="AV28" i="23" s="1"/>
  <c r="AZ18" i="23"/>
  <c r="AZ28" i="23" s="1"/>
  <c r="BB18" i="23"/>
  <c r="BB28" i="23" s="1"/>
  <c r="BD18" i="23"/>
  <c r="BD28" i="23" s="1"/>
  <c r="BF18" i="23"/>
  <c r="BF28" i="23" s="1"/>
  <c r="BH18" i="23"/>
  <c r="BH28" i="23" s="1"/>
  <c r="BJ18" i="23"/>
  <c r="BL18" i="23"/>
  <c r="BL28" i="23" s="1"/>
  <c r="BN18" i="23"/>
  <c r="BN28" i="23" s="1"/>
  <c r="BP18" i="23"/>
  <c r="BP28" i="23" s="1"/>
  <c r="BR18" i="23"/>
  <c r="BR28" i="23" s="1"/>
  <c r="BT18" i="23"/>
  <c r="BT28" i="23" s="1"/>
  <c r="BV18" i="23"/>
  <c r="BX18" i="23"/>
  <c r="BZ18" i="23"/>
  <c r="CB18" i="23"/>
  <c r="CB28" i="23" s="1"/>
  <c r="CD18" i="23"/>
  <c r="CD28" i="23" s="1"/>
  <c r="CH18" i="23"/>
  <c r="CH28" i="23" s="1"/>
  <c r="CJ18" i="23"/>
  <c r="CJ28" i="23" s="1"/>
  <c r="CN18" i="23"/>
  <c r="CN28" i="23" s="1"/>
  <c r="CP18" i="23"/>
  <c r="CR18" i="23"/>
  <c r="CR28" i="23" s="1"/>
  <c r="CT18" i="23"/>
  <c r="CT28" i="23" s="1"/>
  <c r="CV18" i="23"/>
  <c r="CV28" i="23" s="1"/>
  <c r="CZ18" i="23"/>
  <c r="DB18" i="23"/>
  <c r="DD18" i="23"/>
  <c r="DF18" i="23"/>
  <c r="DF28" i="23" s="1"/>
  <c r="DH18" i="23"/>
  <c r="DH28" i="23" s="1"/>
  <c r="DJ18" i="23"/>
  <c r="DJ28" i="23" s="1"/>
  <c r="DL18" i="23"/>
  <c r="DN18" i="23"/>
  <c r="DN28" i="23" s="1"/>
  <c r="DP18" i="23"/>
  <c r="DP28" i="23" s="1"/>
  <c r="DR18" i="23"/>
  <c r="DR28" i="23" s="1"/>
  <c r="DT18" i="23"/>
  <c r="DT28" i="23" s="1"/>
  <c r="DZ18" i="23"/>
  <c r="DZ28" i="23" s="1"/>
  <c r="EB18" i="23"/>
  <c r="EB28" i="23" s="1"/>
  <c r="EF18" i="23"/>
  <c r="EH18" i="23"/>
  <c r="EL18" i="23"/>
  <c r="EN18" i="23"/>
  <c r="EN28" i="23" s="1"/>
  <c r="EP18" i="23"/>
  <c r="EP28" i="23" s="1"/>
  <c r="ER18" i="23"/>
  <c r="ER28" i="23" s="1"/>
  <c r="ET18" i="23"/>
  <c r="ET28" i="23" s="1"/>
  <c r="EV18" i="23"/>
  <c r="EX18" i="23"/>
  <c r="EX28" i="23" s="1"/>
  <c r="EZ18" i="23"/>
  <c r="EZ28" i="23" s="1"/>
  <c r="FB18" i="23"/>
  <c r="FD18" i="23"/>
  <c r="FF18" i="23"/>
  <c r="FF28" i="23" s="1"/>
  <c r="FH18" i="23"/>
  <c r="FJ18" i="23"/>
  <c r="FJ28" i="23" s="1"/>
  <c r="FL18" i="23"/>
  <c r="FL28" i="23" s="1"/>
  <c r="FN18" i="23"/>
  <c r="FR18" i="23"/>
  <c r="FT18" i="23"/>
  <c r="FT28" i="23" s="1"/>
  <c r="FV18" i="23"/>
  <c r="FZ18" i="23"/>
  <c r="FZ28" i="23" s="1"/>
  <c r="GB18" i="23"/>
  <c r="GB28" i="23" s="1"/>
  <c r="GD18" i="23"/>
  <c r="GF18" i="23"/>
  <c r="GJ18" i="23"/>
  <c r="GJ28" i="23" s="1"/>
  <c r="HB18" i="23"/>
  <c r="F12" i="23"/>
  <c r="H12" i="23"/>
  <c r="J12" i="23"/>
  <c r="P12" i="23"/>
  <c r="R12" i="23"/>
  <c r="T12" i="23"/>
  <c r="V12" i="23"/>
  <c r="X12" i="23"/>
  <c r="Z12" i="23"/>
  <c r="AB12" i="23"/>
  <c r="AD12" i="23"/>
  <c r="AJ12" i="23"/>
  <c r="AL12" i="23"/>
  <c r="AN12" i="23"/>
  <c r="AP12" i="23"/>
  <c r="AR12" i="23"/>
  <c r="AT12" i="23"/>
  <c r="AV12" i="23"/>
  <c r="AZ12" i="23"/>
  <c r="BB12" i="23"/>
  <c r="BD12" i="23"/>
  <c r="BF12" i="23"/>
  <c r="BH12" i="23"/>
  <c r="BJ12" i="23"/>
  <c r="BL12" i="23"/>
  <c r="BN12" i="23"/>
  <c r="BP12" i="23"/>
  <c r="BR12" i="23"/>
  <c r="BT12" i="23"/>
  <c r="BV12" i="23"/>
  <c r="BX12" i="23"/>
  <c r="BZ12" i="23"/>
  <c r="CB12" i="23"/>
  <c r="CD12" i="23"/>
  <c r="CH12" i="23"/>
  <c r="CJ12" i="23"/>
  <c r="CN12" i="23"/>
  <c r="CP12" i="23"/>
  <c r="CR12" i="23"/>
  <c r="CT12" i="23"/>
  <c r="CV12" i="23"/>
  <c r="CZ12" i="23"/>
  <c r="DB12" i="23"/>
  <c r="DD12" i="23"/>
  <c r="DF12" i="23"/>
  <c r="DH12" i="23"/>
  <c r="DJ12" i="23"/>
  <c r="DL12" i="23"/>
  <c r="DN12" i="23"/>
  <c r="DP12" i="23"/>
  <c r="DR12" i="23"/>
  <c r="DT12" i="23"/>
  <c r="DZ12" i="23"/>
  <c r="EB12" i="23"/>
  <c r="EF12" i="23"/>
  <c r="EH12" i="23"/>
  <c r="EL12" i="23"/>
  <c r="EN12" i="23"/>
  <c r="EP12" i="23"/>
  <c r="ER12" i="23"/>
  <c r="ET12" i="23"/>
  <c r="EV12" i="23"/>
  <c r="EX12" i="23"/>
  <c r="EZ12" i="23"/>
  <c r="FB12" i="23"/>
  <c r="FD12" i="23"/>
  <c r="FF12" i="23"/>
  <c r="FH12" i="23"/>
  <c r="FJ12" i="23"/>
  <c r="FN12" i="23"/>
  <c r="FR12" i="23"/>
  <c r="FT12" i="23"/>
  <c r="FV12" i="23"/>
  <c r="FZ12" i="23"/>
  <c r="GB12" i="23"/>
  <c r="GD12" i="23"/>
  <c r="GF12" i="23"/>
  <c r="GJ12" i="23"/>
  <c r="HB12" i="23"/>
  <c r="N13" i="34"/>
  <c r="N19" i="34"/>
  <c r="N29" i="34" s="1"/>
  <c r="N22" i="34"/>
  <c r="N38" i="34"/>
  <c r="N39" i="34"/>
  <c r="N47" i="34"/>
  <c r="N48" i="34"/>
  <c r="R10" i="39"/>
  <c r="I88" i="136" s="1"/>
  <c r="I89" i="136" s="1"/>
  <c r="R11" i="39"/>
  <c r="J88" i="136" s="1"/>
  <c r="J89" i="136" s="1"/>
  <c r="R12" i="39"/>
  <c r="K88" i="136" s="1"/>
  <c r="K89" i="136" s="1"/>
  <c r="R14" i="39"/>
  <c r="R15" i="39"/>
  <c r="R16" i="39"/>
  <c r="R18" i="39"/>
  <c r="N88" i="136" s="1"/>
  <c r="N89" i="136" s="1"/>
  <c r="R19" i="39"/>
  <c r="O88" i="136" s="1"/>
  <c r="O89" i="136" s="1"/>
  <c r="R20" i="39"/>
  <c r="R23" i="39"/>
  <c r="R24" i="39"/>
  <c r="R25" i="39"/>
  <c r="R26" i="39"/>
  <c r="R27" i="39"/>
  <c r="R31" i="39"/>
  <c r="Q88" i="136" s="1"/>
  <c r="Q89" i="136" s="1"/>
  <c r="R32" i="39"/>
  <c r="R88" i="136" s="1"/>
  <c r="R89" i="136" s="1"/>
  <c r="R33" i="39"/>
  <c r="S88" i="136" s="1"/>
  <c r="S89" i="136" s="1"/>
  <c r="R34" i="39"/>
  <c r="T88" i="136" s="1"/>
  <c r="T89" i="136" s="1"/>
  <c r="R35" i="39"/>
  <c r="U88" i="136" s="1"/>
  <c r="U89" i="136" s="1"/>
  <c r="R36" i="39"/>
  <c r="V88" i="136" s="1"/>
  <c r="V89" i="136" s="1"/>
  <c r="R37" i="39"/>
  <c r="W88" i="136" s="1"/>
  <c r="W89" i="136" s="1"/>
  <c r="R40" i="39"/>
  <c r="R41" i="39"/>
  <c r="R42" i="39"/>
  <c r="R45" i="39"/>
  <c r="R46" i="39"/>
  <c r="R51" i="39"/>
  <c r="R9" i="39"/>
  <c r="H88" i="136" s="1"/>
  <c r="H89" i="136" s="1"/>
  <c r="H316" i="131"/>
  <c r="H317" i="131" s="1"/>
  <c r="K316" i="131"/>
  <c r="K317" i="131" s="1"/>
  <c r="N316" i="131"/>
  <c r="N317" i="131" s="1"/>
  <c r="O316" i="131"/>
  <c r="O317" i="131" s="1"/>
  <c r="Q316" i="131"/>
  <c r="Q317" i="131" s="1"/>
  <c r="R316" i="131"/>
  <c r="R317" i="131" s="1"/>
  <c r="S316" i="131"/>
  <c r="S317" i="131" s="1"/>
  <c r="T316" i="131"/>
  <c r="T317" i="131" s="1"/>
  <c r="U316" i="131"/>
  <c r="U317" i="131" s="1"/>
  <c r="V316" i="131"/>
  <c r="V317" i="131" s="1"/>
  <c r="W316" i="131"/>
  <c r="W317" i="131" s="1"/>
  <c r="F47" i="40"/>
  <c r="H47" i="40"/>
  <c r="J47" i="40"/>
  <c r="L47" i="40"/>
  <c r="N47" i="40"/>
  <c r="P47" i="40"/>
  <c r="R47" i="40"/>
  <c r="T47" i="40"/>
  <c r="V47" i="40"/>
  <c r="X47" i="40"/>
  <c r="Z47" i="40"/>
  <c r="AB47" i="40"/>
  <c r="AD47" i="40"/>
  <c r="AF47" i="40"/>
  <c r="AH47" i="40"/>
  <c r="AJ47" i="40"/>
  <c r="AL47" i="40"/>
  <c r="AP47" i="40"/>
  <c r="F48" i="40"/>
  <c r="H48" i="40"/>
  <c r="J48" i="40"/>
  <c r="L48" i="40"/>
  <c r="N48" i="40"/>
  <c r="P48" i="40"/>
  <c r="R48" i="40"/>
  <c r="T48" i="40"/>
  <c r="V48" i="40"/>
  <c r="X48" i="40"/>
  <c r="Z48" i="40"/>
  <c r="AB48" i="40"/>
  <c r="AD48" i="40"/>
  <c r="AF48" i="40"/>
  <c r="AH48" i="40"/>
  <c r="AJ48" i="40"/>
  <c r="AL48" i="40"/>
  <c r="AP48" i="40"/>
  <c r="F38" i="40"/>
  <c r="H38" i="40"/>
  <c r="J38" i="40"/>
  <c r="L38" i="40"/>
  <c r="N38" i="40"/>
  <c r="P38" i="40"/>
  <c r="R38" i="40"/>
  <c r="T38" i="40"/>
  <c r="V38" i="40"/>
  <c r="X38" i="40"/>
  <c r="Z38" i="40"/>
  <c r="AB38" i="40"/>
  <c r="AD38" i="40"/>
  <c r="AF38" i="40"/>
  <c r="AH38" i="40"/>
  <c r="AJ38" i="40"/>
  <c r="AL38" i="40"/>
  <c r="AP38" i="40"/>
  <c r="F39" i="40"/>
  <c r="H39" i="40"/>
  <c r="J39" i="40"/>
  <c r="L39" i="40"/>
  <c r="N39" i="40"/>
  <c r="P39" i="40"/>
  <c r="R39" i="40"/>
  <c r="T39" i="40"/>
  <c r="V39" i="40"/>
  <c r="X39" i="40"/>
  <c r="Z39" i="40"/>
  <c r="AB39" i="40"/>
  <c r="AD39" i="40"/>
  <c r="AF39" i="40"/>
  <c r="AH39" i="40"/>
  <c r="AJ39" i="40"/>
  <c r="AL39" i="40"/>
  <c r="AP39" i="40"/>
  <c r="AB29" i="40"/>
  <c r="AF29" i="40"/>
  <c r="AH29" i="40"/>
  <c r="AJ29" i="40"/>
  <c r="AL29" i="40"/>
  <c r="AP29" i="40"/>
  <c r="F22" i="40"/>
  <c r="H22" i="40"/>
  <c r="J22" i="40"/>
  <c r="L22" i="40"/>
  <c r="N22" i="40"/>
  <c r="P22" i="40"/>
  <c r="R22" i="40"/>
  <c r="T22" i="40"/>
  <c r="V22" i="40"/>
  <c r="X22" i="40"/>
  <c r="Z22" i="40"/>
  <c r="AB22" i="40"/>
  <c r="AD22" i="40"/>
  <c r="AF22" i="40"/>
  <c r="AH22" i="40"/>
  <c r="AJ22" i="40"/>
  <c r="AL22" i="40"/>
  <c r="AP22" i="40"/>
  <c r="F13" i="40"/>
  <c r="F28" i="40" s="1"/>
  <c r="H13" i="40"/>
  <c r="H28" i="40" s="1"/>
  <c r="J13" i="40"/>
  <c r="L13" i="40"/>
  <c r="N13" i="40"/>
  <c r="N28" i="40" s="1"/>
  <c r="P13" i="40"/>
  <c r="P28" i="40" s="1"/>
  <c r="R13" i="40"/>
  <c r="T13" i="40"/>
  <c r="T28" i="40" s="1"/>
  <c r="V13" i="40"/>
  <c r="V28" i="40" s="1"/>
  <c r="X13" i="40"/>
  <c r="X28" i="40" s="1"/>
  <c r="Z13" i="40"/>
  <c r="AB13" i="40"/>
  <c r="AB21" i="40" s="1"/>
  <c r="AD13" i="40"/>
  <c r="AD28" i="40" s="1"/>
  <c r="AF13" i="40"/>
  <c r="AF21" i="40" s="1"/>
  <c r="AH13" i="40"/>
  <c r="AH28" i="40" s="1"/>
  <c r="AJ13" i="40"/>
  <c r="AJ28" i="40" s="1"/>
  <c r="AL13" i="40"/>
  <c r="AP13" i="40"/>
  <c r="AP21" i="40" s="1"/>
  <c r="D13" i="40"/>
  <c r="Z150" i="31"/>
  <c r="Z154" i="31"/>
  <c r="AA157" i="31"/>
  <c r="AB157" i="31" s="1"/>
  <c r="H29" i="38"/>
  <c r="L29" i="40"/>
  <c r="AA167" i="31"/>
  <c r="AB167" i="31" s="1"/>
  <c r="Z29" i="40"/>
  <c r="AA173" i="31"/>
  <c r="AB173" i="31" s="1"/>
  <c r="Z174" i="31"/>
  <c r="J29" i="73"/>
  <c r="Z183" i="31"/>
  <c r="AA80" i="31"/>
  <c r="AB80" i="31" s="1"/>
  <c r="AA97" i="31"/>
  <c r="AB97" i="31" s="1"/>
  <c r="AA103" i="31"/>
  <c r="AB103" i="31" s="1"/>
  <c r="G27" i="89"/>
  <c r="F47" i="74"/>
  <c r="H47" i="74"/>
  <c r="J47" i="74"/>
  <c r="N47" i="74"/>
  <c r="F48" i="74"/>
  <c r="H48" i="74"/>
  <c r="J48" i="74"/>
  <c r="N48" i="74"/>
  <c r="F38" i="74"/>
  <c r="H38" i="74"/>
  <c r="J38" i="74"/>
  <c r="N38" i="74"/>
  <c r="F39" i="74"/>
  <c r="H39" i="74"/>
  <c r="J39" i="74"/>
  <c r="N39" i="74"/>
  <c r="J29" i="74"/>
  <c r="N29" i="74"/>
  <c r="F22" i="74"/>
  <c r="H22" i="74"/>
  <c r="J22" i="74"/>
  <c r="N22" i="74"/>
  <c r="F13" i="74"/>
  <c r="H13" i="74"/>
  <c r="H28" i="74" s="1"/>
  <c r="J13" i="74"/>
  <c r="J21" i="74" s="1"/>
  <c r="N13" i="74"/>
  <c r="N28" i="74" s="1"/>
  <c r="N30" i="74" s="1"/>
  <c r="R12" i="73"/>
  <c r="K117" i="138" s="1"/>
  <c r="K118" i="138" s="1"/>
  <c r="R14" i="73"/>
  <c r="R15" i="73"/>
  <c r="R16" i="73"/>
  <c r="R18" i="73"/>
  <c r="N117" i="138" s="1"/>
  <c r="N118" i="138" s="1"/>
  <c r="R19" i="73"/>
  <c r="O117" i="138" s="1"/>
  <c r="O118" i="138" s="1"/>
  <c r="R20" i="73"/>
  <c r="R23" i="73"/>
  <c r="R24" i="73"/>
  <c r="R25" i="73"/>
  <c r="R26" i="73"/>
  <c r="R27" i="73"/>
  <c r="R31" i="73"/>
  <c r="Q117" i="138" s="1"/>
  <c r="Q118" i="138" s="1"/>
  <c r="R32" i="73"/>
  <c r="R117" i="138" s="1"/>
  <c r="R118" i="138" s="1"/>
  <c r="R33" i="73"/>
  <c r="S117" i="138" s="1"/>
  <c r="S118" i="138" s="1"/>
  <c r="R34" i="73"/>
  <c r="T117" i="138" s="1"/>
  <c r="T118" i="138" s="1"/>
  <c r="R35" i="73"/>
  <c r="U117" i="138" s="1"/>
  <c r="U118" i="138" s="1"/>
  <c r="R36" i="73"/>
  <c r="V117" i="138" s="1"/>
  <c r="V118" i="138" s="1"/>
  <c r="R37" i="73"/>
  <c r="W117" i="138" s="1"/>
  <c r="W118" i="138" s="1"/>
  <c r="R40" i="73"/>
  <c r="R41" i="73"/>
  <c r="R42" i="73"/>
  <c r="R45" i="73"/>
  <c r="R46" i="73"/>
  <c r="F47" i="73"/>
  <c r="H47" i="73"/>
  <c r="J47" i="73"/>
  <c r="L47" i="73"/>
  <c r="P47" i="73"/>
  <c r="F48" i="73"/>
  <c r="H48" i="73"/>
  <c r="J48" i="73"/>
  <c r="L48" i="73"/>
  <c r="P48" i="73"/>
  <c r="F38" i="73"/>
  <c r="H38" i="73"/>
  <c r="J38" i="73"/>
  <c r="L38" i="73"/>
  <c r="P38" i="73"/>
  <c r="F39" i="73"/>
  <c r="H39" i="73"/>
  <c r="J39" i="73"/>
  <c r="L39" i="73"/>
  <c r="P39" i="73"/>
  <c r="L29" i="73"/>
  <c r="P29" i="73"/>
  <c r="F22" i="73"/>
  <c r="H22" i="73"/>
  <c r="J22" i="73"/>
  <c r="L22" i="73"/>
  <c r="P22" i="73"/>
  <c r="F13" i="73"/>
  <c r="H13" i="73"/>
  <c r="H28" i="73" s="1"/>
  <c r="J13" i="73"/>
  <c r="L13" i="73"/>
  <c r="L28" i="73" s="1"/>
  <c r="P13" i="73"/>
  <c r="P21" i="73" s="1"/>
  <c r="V12" i="35"/>
  <c r="K86" i="132" s="1"/>
  <c r="K87" i="132" s="1"/>
  <c r="V14" i="35"/>
  <c r="V15" i="35"/>
  <c r="V16" i="35"/>
  <c r="V18" i="35"/>
  <c r="N86" i="132" s="1"/>
  <c r="N87" i="132" s="1"/>
  <c r="V19" i="35"/>
  <c r="O86" i="132" s="1"/>
  <c r="O87" i="132" s="1"/>
  <c r="V20" i="35"/>
  <c r="V23" i="35"/>
  <c r="V24" i="35"/>
  <c r="V25" i="35"/>
  <c r="V26" i="35"/>
  <c r="V27" i="35"/>
  <c r="V31" i="35"/>
  <c r="Q86" i="132" s="1"/>
  <c r="Q87" i="132" s="1"/>
  <c r="V32" i="35"/>
  <c r="R86" i="132" s="1"/>
  <c r="R87" i="132" s="1"/>
  <c r="V33" i="35"/>
  <c r="S86" i="132" s="1"/>
  <c r="S87" i="132" s="1"/>
  <c r="V35" i="35"/>
  <c r="U86" i="132" s="1"/>
  <c r="U87" i="132" s="1"/>
  <c r="V36" i="35"/>
  <c r="V86" i="132" s="1"/>
  <c r="V87" i="132" s="1"/>
  <c r="V37" i="35"/>
  <c r="W86" i="132" s="1"/>
  <c r="W87" i="132" s="1"/>
  <c r="V40" i="35"/>
  <c r="V41" i="35"/>
  <c r="V42" i="35"/>
  <c r="V45" i="35"/>
  <c r="V46" i="35"/>
  <c r="F47" i="35"/>
  <c r="H47" i="35"/>
  <c r="J47" i="35"/>
  <c r="N47" i="35"/>
  <c r="P47" i="35"/>
  <c r="T47" i="35"/>
  <c r="F48" i="35"/>
  <c r="H48" i="35"/>
  <c r="J48" i="35"/>
  <c r="N48" i="35"/>
  <c r="P48" i="35"/>
  <c r="T48" i="35"/>
  <c r="F38" i="35"/>
  <c r="H38" i="35"/>
  <c r="J38" i="35"/>
  <c r="N38" i="35"/>
  <c r="P38" i="35"/>
  <c r="T38" i="35"/>
  <c r="F39" i="35"/>
  <c r="H39" i="35"/>
  <c r="J39" i="35"/>
  <c r="N39" i="35"/>
  <c r="P39" i="35"/>
  <c r="T39" i="35"/>
  <c r="F29" i="35"/>
  <c r="H29" i="35"/>
  <c r="N29" i="35"/>
  <c r="T29" i="35"/>
  <c r="F22" i="35"/>
  <c r="H22" i="35"/>
  <c r="J22" i="35"/>
  <c r="N22" i="35"/>
  <c r="P22" i="35"/>
  <c r="T22" i="35"/>
  <c r="F13" i="35"/>
  <c r="F21" i="35" s="1"/>
  <c r="H13" i="35"/>
  <c r="H21" i="35" s="1"/>
  <c r="J13" i="35"/>
  <c r="J28" i="35" s="1"/>
  <c r="N13" i="35"/>
  <c r="N28" i="35" s="1"/>
  <c r="P13" i="35"/>
  <c r="P28" i="35" s="1"/>
  <c r="T13" i="35"/>
  <c r="T28" i="35" s="1"/>
  <c r="F47" i="39"/>
  <c r="H47" i="39"/>
  <c r="J47" i="39"/>
  <c r="L47" i="39"/>
  <c r="P47" i="39"/>
  <c r="F48" i="39"/>
  <c r="H48" i="39"/>
  <c r="J48" i="39"/>
  <c r="L48" i="39"/>
  <c r="P48" i="39"/>
  <c r="F38" i="39"/>
  <c r="H38" i="39"/>
  <c r="J38" i="39"/>
  <c r="L38" i="39"/>
  <c r="P38" i="39"/>
  <c r="F39" i="39"/>
  <c r="H39" i="39"/>
  <c r="J39" i="39"/>
  <c r="L39" i="39"/>
  <c r="P39" i="39"/>
  <c r="H29" i="39"/>
  <c r="L29" i="39"/>
  <c r="P29" i="39"/>
  <c r="F22" i="39"/>
  <c r="H22" i="39"/>
  <c r="J22" i="39"/>
  <c r="L22" i="39"/>
  <c r="P22" i="39"/>
  <c r="F13" i="39"/>
  <c r="F28" i="39" s="1"/>
  <c r="H13" i="39"/>
  <c r="H28" i="39" s="1"/>
  <c r="J13" i="39"/>
  <c r="J21" i="39" s="1"/>
  <c r="L13" i="39"/>
  <c r="L21" i="39" s="1"/>
  <c r="P13" i="39"/>
  <c r="P28" i="39" s="1"/>
  <c r="N12" i="36"/>
  <c r="K131" i="135" s="1"/>
  <c r="K132" i="135" s="1"/>
  <c r="N14" i="36"/>
  <c r="N15" i="36"/>
  <c r="N16" i="36"/>
  <c r="N18" i="36"/>
  <c r="N131" i="135" s="1"/>
  <c r="N132" i="135" s="1"/>
  <c r="N19" i="36"/>
  <c r="O131" i="135" s="1"/>
  <c r="O132" i="135" s="1"/>
  <c r="N20" i="36"/>
  <c r="N23" i="36"/>
  <c r="N24" i="36"/>
  <c r="N25" i="36"/>
  <c r="N26" i="36"/>
  <c r="N27" i="36"/>
  <c r="N31" i="36"/>
  <c r="Q131" i="135" s="1"/>
  <c r="Q132" i="135" s="1"/>
  <c r="N32" i="36"/>
  <c r="R131" i="135" s="1"/>
  <c r="R132" i="135" s="1"/>
  <c r="N33" i="36"/>
  <c r="S131" i="135" s="1"/>
  <c r="S132" i="135" s="1"/>
  <c r="N34" i="36"/>
  <c r="T131" i="135" s="1"/>
  <c r="T132" i="135" s="1"/>
  <c r="N35" i="36"/>
  <c r="U131" i="135" s="1"/>
  <c r="U132" i="135" s="1"/>
  <c r="N36" i="36"/>
  <c r="V131" i="135" s="1"/>
  <c r="V132" i="135" s="1"/>
  <c r="N37" i="36"/>
  <c r="W131" i="135" s="1"/>
  <c r="W132" i="135" s="1"/>
  <c r="N40" i="36"/>
  <c r="N41" i="36"/>
  <c r="N42" i="36"/>
  <c r="N45" i="36"/>
  <c r="N46" i="36"/>
  <c r="F47" i="36"/>
  <c r="H47" i="36"/>
  <c r="J47" i="36"/>
  <c r="F48" i="36"/>
  <c r="H48" i="36"/>
  <c r="J48" i="36"/>
  <c r="F38" i="36"/>
  <c r="H38" i="36"/>
  <c r="J38" i="36"/>
  <c r="F39" i="36"/>
  <c r="H39" i="36"/>
  <c r="J39" i="36"/>
  <c r="F22" i="36"/>
  <c r="H22" i="36"/>
  <c r="J22" i="36"/>
  <c r="F13" i="36"/>
  <c r="H13" i="36"/>
  <c r="H28" i="36" s="1"/>
  <c r="J13" i="36"/>
  <c r="J28" i="36" s="1"/>
  <c r="F47" i="38"/>
  <c r="H47" i="38"/>
  <c r="J47" i="38"/>
  <c r="F48" i="38"/>
  <c r="H48" i="38"/>
  <c r="J48" i="38"/>
  <c r="F38" i="38"/>
  <c r="H38" i="38"/>
  <c r="J38" i="38"/>
  <c r="F39" i="38"/>
  <c r="H39" i="38"/>
  <c r="J39" i="38"/>
  <c r="F22" i="38"/>
  <c r="H22" i="38"/>
  <c r="J22" i="38"/>
  <c r="F13" i="38"/>
  <c r="H13" i="38"/>
  <c r="H21" i="38" s="1"/>
  <c r="J13" i="38"/>
  <c r="J28" i="38" s="1"/>
  <c r="F47" i="37"/>
  <c r="H47" i="37"/>
  <c r="F48" i="37"/>
  <c r="H48" i="37"/>
  <c r="F38" i="37"/>
  <c r="H38" i="37"/>
  <c r="F39" i="37"/>
  <c r="H39" i="37"/>
  <c r="F22" i="37"/>
  <c r="H22" i="37"/>
  <c r="F13" i="37"/>
  <c r="F28" i="37" s="1"/>
  <c r="H13" i="37"/>
  <c r="H28" i="37" s="1"/>
  <c r="F47" i="34"/>
  <c r="H47" i="34"/>
  <c r="J47" i="34"/>
  <c r="T47" i="34"/>
  <c r="F48" i="34"/>
  <c r="H48" i="34"/>
  <c r="J48" i="34"/>
  <c r="T48" i="34"/>
  <c r="H38" i="34"/>
  <c r="J38" i="34"/>
  <c r="T38" i="34"/>
  <c r="F39" i="34"/>
  <c r="H39" i="34"/>
  <c r="J39" i="34"/>
  <c r="T39" i="34"/>
  <c r="F22" i="34"/>
  <c r="H22" i="34"/>
  <c r="J22" i="34"/>
  <c r="T22" i="34"/>
  <c r="H19" i="34"/>
  <c r="J19" i="34"/>
  <c r="T19" i="34"/>
  <c r="T29" i="34" s="1"/>
  <c r="F13" i="34"/>
  <c r="H13" i="34"/>
  <c r="J13" i="34"/>
  <c r="J28" i="34" s="1"/>
  <c r="T13" i="34"/>
  <c r="T28" i="34" s="1"/>
  <c r="R7" i="24"/>
  <c r="R30" i="24" s="1"/>
  <c r="D46" i="23"/>
  <c r="D27" i="23"/>
  <c r="L16" i="29"/>
  <c r="J27" i="89"/>
  <c r="I27" i="89"/>
  <c r="E27" i="89"/>
  <c r="J21" i="89"/>
  <c r="I21" i="89"/>
  <c r="E21" i="89"/>
  <c r="J8" i="89"/>
  <c r="I8" i="89"/>
  <c r="E8" i="89"/>
  <c r="F21" i="29"/>
  <c r="C67" i="25"/>
  <c r="P50" i="38"/>
  <c r="R50" i="39"/>
  <c r="V50" i="35"/>
  <c r="R50" i="73"/>
  <c r="C46" i="25"/>
  <c r="U184" i="31"/>
  <c r="V184" i="31"/>
  <c r="W184" i="31"/>
  <c r="D13" i="74"/>
  <c r="D21" i="74" s="1"/>
  <c r="D22" i="74"/>
  <c r="D29" i="74"/>
  <c r="D38" i="74"/>
  <c r="D13" i="73"/>
  <c r="D28" i="73" s="1"/>
  <c r="D22" i="73"/>
  <c r="D29" i="73"/>
  <c r="D38" i="73"/>
  <c r="D13" i="35"/>
  <c r="D28" i="35" s="1"/>
  <c r="D13" i="39"/>
  <c r="D28" i="39" s="1"/>
  <c r="D13" i="36"/>
  <c r="D21" i="36" s="1"/>
  <c r="D13" i="38"/>
  <c r="D21" i="38" s="1"/>
  <c r="D13" i="37"/>
  <c r="T51" i="23"/>
  <c r="Z62" i="31"/>
  <c r="Q7" i="24"/>
  <c r="Q30" i="24" s="1"/>
  <c r="P7" i="24"/>
  <c r="P30" i="24" s="1"/>
  <c r="O7" i="24"/>
  <c r="D29" i="35"/>
  <c r="D29" i="40"/>
  <c r="D29" i="39"/>
  <c r="D29" i="36"/>
  <c r="D29" i="38"/>
  <c r="D29" i="37"/>
  <c r="D38" i="40"/>
  <c r="AR38" i="40" s="1"/>
  <c r="D22" i="40"/>
  <c r="AR22" i="40" s="1"/>
  <c r="D38" i="39"/>
  <c r="D22" i="39"/>
  <c r="D38" i="38"/>
  <c r="D22" i="38"/>
  <c r="D38" i="37"/>
  <c r="T38" i="37" s="1"/>
  <c r="D22" i="37"/>
  <c r="T22" i="37" s="1"/>
  <c r="P124" i="133" s="1"/>
  <c r="P125" i="133" s="1"/>
  <c r="D38" i="36"/>
  <c r="D22" i="36"/>
  <c r="D38" i="35"/>
  <c r="D22" i="35"/>
  <c r="D47" i="23"/>
  <c r="ID47" i="23" s="1"/>
  <c r="BX47" i="128" s="1"/>
  <c r="D52" i="23"/>
  <c r="D37" i="23"/>
  <c r="E126" i="27"/>
  <c r="E124" i="27"/>
  <c r="E24" i="27"/>
  <c r="E22" i="27"/>
  <c r="AA147" i="31"/>
  <c r="AB147" i="31" s="1"/>
  <c r="N11" i="36"/>
  <c r="J131" i="135" s="1"/>
  <c r="J132" i="135" s="1"/>
  <c r="N10" i="36"/>
  <c r="I131" i="135" s="1"/>
  <c r="I132" i="135" s="1"/>
  <c r="V11" i="35"/>
  <c r="J86" i="132" s="1"/>
  <c r="J87" i="132" s="1"/>
  <c r="EL46" i="23"/>
  <c r="AB46" i="23"/>
  <c r="AA146" i="31"/>
  <c r="AB146" i="31" s="1"/>
  <c r="F29" i="40"/>
  <c r="CT37" i="23"/>
  <c r="FV46" i="23"/>
  <c r="AJ27" i="23"/>
  <c r="AB38" i="23"/>
  <c r="N50" i="36"/>
  <c r="R28" i="37"/>
  <c r="BL27" i="23"/>
  <c r="L21" i="74"/>
  <c r="F29" i="34"/>
  <c r="F13" i="94"/>
  <c r="F12" i="94" s="1"/>
  <c r="D16" i="91"/>
  <c r="P20" i="95"/>
  <c r="O25" i="95"/>
  <c r="O27" i="95" s="1"/>
  <c r="D14" i="96"/>
  <c r="D16" i="96" s="1"/>
  <c r="G26" i="96"/>
  <c r="G28" i="96" s="1"/>
  <c r="N21" i="37"/>
  <c r="O13" i="95"/>
  <c r="O15" i="95" s="1"/>
  <c r="H14" i="96"/>
  <c r="H16" i="96" s="1"/>
  <c r="P21" i="95"/>
  <c r="E14" i="96"/>
  <c r="E16" i="96" s="1"/>
  <c r="E29" i="96" s="1"/>
  <c r="Q30" i="94"/>
  <c r="Q29" i="94" s="1"/>
  <c r="I26" i="96"/>
  <c r="I28" i="96" s="1"/>
  <c r="I29" i="96" s="1"/>
  <c r="I10" i="92"/>
  <c r="J7" i="92" s="1"/>
  <c r="B19" i="97"/>
  <c r="R11" i="73"/>
  <c r="J117" i="138" s="1"/>
  <c r="J118" i="138" s="1"/>
  <c r="P11" i="38"/>
  <c r="J138" i="134" s="1"/>
  <c r="J139" i="134" s="1"/>
  <c r="N9" i="36"/>
  <c r="H131" i="135" s="1"/>
  <c r="H132" i="135" s="1"/>
  <c r="BT27" i="23"/>
  <c r="I316" i="131"/>
  <c r="I317" i="131" s="1"/>
  <c r="D29" i="34"/>
  <c r="E30" i="94"/>
  <c r="E29" i="94" s="1"/>
  <c r="D18" i="91"/>
  <c r="D26" i="91" s="1"/>
  <c r="I30" i="94"/>
  <c r="I29" i="94" s="1"/>
  <c r="N26" i="96"/>
  <c r="N28" i="96" s="1"/>
  <c r="H13" i="94"/>
  <c r="H12" i="94" s="1"/>
  <c r="N30" i="94"/>
  <c r="N29" i="94" s="1"/>
  <c r="K27" i="95"/>
  <c r="K28" i="95" s="1"/>
  <c r="G28" i="95"/>
  <c r="I28" i="95"/>
  <c r="M28" i="95"/>
  <c r="F28" i="95"/>
  <c r="C19" i="97"/>
  <c r="H26" i="96"/>
  <c r="H28" i="96" s="1"/>
  <c r="P19" i="96"/>
  <c r="D26" i="96"/>
  <c r="D28" i="96" s="1"/>
  <c r="G8" i="97"/>
  <c r="I12" i="92"/>
  <c r="AA168" i="31"/>
  <c r="AB168" i="31" s="1"/>
  <c r="F29" i="74"/>
  <c r="AA183" i="31"/>
  <c r="AB183" i="31" s="1"/>
  <c r="AA166" i="31"/>
  <c r="AB166" i="31" s="1"/>
  <c r="AA161" i="31"/>
  <c r="AB161" i="31" s="1"/>
  <c r="H29" i="40"/>
  <c r="V29" i="40"/>
  <c r="AA164" i="31"/>
  <c r="AB164" i="31" s="1"/>
  <c r="P29" i="35"/>
  <c r="Z165" i="31"/>
  <c r="M29" i="96"/>
  <c r="J29" i="96"/>
  <c r="AA178" i="31"/>
  <c r="AB178" i="31" s="1"/>
  <c r="H29" i="36"/>
  <c r="G13" i="94"/>
  <c r="G12" i="94" s="1"/>
  <c r="P41" i="38"/>
  <c r="S30" i="94"/>
  <c r="S29" i="94" s="1"/>
  <c r="Z143" i="31"/>
  <c r="AA143" i="31"/>
  <c r="AB143" i="31" s="1"/>
  <c r="F29" i="96"/>
  <c r="D15" i="92"/>
  <c r="P7" i="96"/>
  <c r="AR13" i="40" l="1"/>
  <c r="D48" i="91"/>
  <c r="N49" i="39"/>
  <c r="L21" i="73"/>
  <c r="J28" i="74"/>
  <c r="D21" i="37"/>
  <c r="T13" i="37"/>
  <c r="L124" i="133" s="1"/>
  <c r="L125" i="133" s="1"/>
  <c r="H47" i="41"/>
  <c r="H47" i="43" s="1"/>
  <c r="IF27" i="23"/>
  <c r="IF37" i="23"/>
  <c r="J28" i="23"/>
  <c r="IF18" i="23"/>
  <c r="ID37" i="23"/>
  <c r="BX37" i="128" s="1"/>
  <c r="IF12" i="23"/>
  <c r="IF46" i="23"/>
  <c r="IF21" i="23"/>
  <c r="IF38" i="23"/>
  <c r="IF47" i="23"/>
  <c r="H12" i="41"/>
  <c r="H12" i="43" s="1"/>
  <c r="H18" i="41"/>
  <c r="H18" i="43" s="1"/>
  <c r="D12" i="41"/>
  <c r="J28" i="40"/>
  <c r="F12" i="41"/>
  <c r="F46" i="41"/>
  <c r="BZ21" i="128"/>
  <c r="D18" i="41"/>
  <c r="H38" i="41"/>
  <c r="H38" i="43" s="1"/>
  <c r="F21" i="41"/>
  <c r="F38" i="41"/>
  <c r="BZ47" i="128"/>
  <c r="ID46" i="23"/>
  <c r="BX46" i="128" s="1"/>
  <c r="BZ37" i="128"/>
  <c r="BZ46" i="128"/>
  <c r="F46" i="43" s="1"/>
  <c r="F37" i="41"/>
  <c r="ID18" i="23"/>
  <c r="BX18" i="128" s="1"/>
  <c r="BZ38" i="128"/>
  <c r="BZ27" i="128"/>
  <c r="C70" i="25"/>
  <c r="H21" i="41"/>
  <c r="H21" i="43" s="1"/>
  <c r="F47" i="41"/>
  <c r="F52" i="23"/>
  <c r="ID38" i="23"/>
  <c r="BX38" i="128" s="1"/>
  <c r="D21" i="41"/>
  <c r="D37" i="41"/>
  <c r="BZ12" i="128"/>
  <c r="F12" i="43" s="1"/>
  <c r="H46" i="41"/>
  <c r="H46" i="43" s="1"/>
  <c r="H37" i="41"/>
  <c r="H37" i="43" s="1"/>
  <c r="EF17" i="23"/>
  <c r="EG17" i="23" s="1"/>
  <c r="X28" i="23"/>
  <c r="BZ18" i="128"/>
  <c r="AJ21" i="40"/>
  <c r="N28" i="38"/>
  <c r="EM20" i="23"/>
  <c r="EM28" i="23"/>
  <c r="EM29" i="23" s="1"/>
  <c r="T30" i="35"/>
  <c r="E70" i="25"/>
  <c r="C79" i="94"/>
  <c r="AH48" i="23"/>
  <c r="J15" i="41"/>
  <c r="F28" i="73"/>
  <c r="F21" i="73"/>
  <c r="D21" i="73"/>
  <c r="EH17" i="23"/>
  <c r="EI17" i="23" s="1"/>
  <c r="J28" i="37"/>
  <c r="N21" i="74"/>
  <c r="V21" i="40"/>
  <c r="AD20" i="23"/>
  <c r="E43" i="93"/>
  <c r="E20" i="93"/>
  <c r="P28" i="73"/>
  <c r="L49" i="74"/>
  <c r="DV48" i="23"/>
  <c r="R30" i="37"/>
  <c r="J49" i="37"/>
  <c r="GR48" i="23"/>
  <c r="V19" i="34"/>
  <c r="V22" i="34"/>
  <c r="P159" i="130" s="1"/>
  <c r="P160" i="130" s="1"/>
  <c r="L28" i="39"/>
  <c r="L30" i="39" s="1"/>
  <c r="P22" i="74"/>
  <c r="P112" i="137" s="1"/>
  <c r="P113" i="137" s="1"/>
  <c r="V13" i="34"/>
  <c r="L159" i="130" s="1"/>
  <c r="L160" i="130" s="1"/>
  <c r="V38" i="34"/>
  <c r="P38" i="74"/>
  <c r="N13" i="94"/>
  <c r="N12" i="94" s="1"/>
  <c r="N46" i="94" s="1"/>
  <c r="D28" i="37"/>
  <c r="D28" i="74"/>
  <c r="P13" i="74"/>
  <c r="L112" i="137" s="1"/>
  <c r="L113" i="137" s="1"/>
  <c r="E128" i="27"/>
  <c r="FT29" i="23"/>
  <c r="AP29" i="23"/>
  <c r="H30" i="36"/>
  <c r="F28" i="34"/>
  <c r="F30" i="34" s="1"/>
  <c r="T30" i="34"/>
  <c r="GP20" i="23"/>
  <c r="H49" i="74"/>
  <c r="L30" i="74"/>
  <c r="J30" i="74"/>
  <c r="H49" i="73"/>
  <c r="N30" i="35"/>
  <c r="H49" i="39"/>
  <c r="D30" i="39"/>
  <c r="J30" i="37"/>
  <c r="N30" i="37"/>
  <c r="D53" i="23"/>
  <c r="D54" i="23" s="1"/>
  <c r="D48" i="23"/>
  <c r="GV48" i="23"/>
  <c r="CT48" i="23"/>
  <c r="AB20" i="23"/>
  <c r="GH20" i="23"/>
  <c r="GL20" i="23"/>
  <c r="AH20" i="23"/>
  <c r="V29" i="23"/>
  <c r="ET29" i="23"/>
  <c r="AZ29" i="23"/>
  <c r="Q13" i="94"/>
  <c r="Q12" i="94" s="1"/>
  <c r="E42" i="93"/>
  <c r="I11" i="92"/>
  <c r="N28" i="95"/>
  <c r="H21" i="40"/>
  <c r="AH21" i="40"/>
  <c r="AP28" i="40"/>
  <c r="AP30" i="40" s="1"/>
  <c r="P49" i="40"/>
  <c r="U14" i="94"/>
  <c r="W18" i="94"/>
  <c r="U18" i="94"/>
  <c r="U31" i="94"/>
  <c r="J30" i="94"/>
  <c r="J29" i="94" s="1"/>
  <c r="R30" i="94"/>
  <c r="R29" i="94" s="1"/>
  <c r="U35" i="94"/>
  <c r="L29" i="96"/>
  <c r="N21" i="35"/>
  <c r="O28" i="95"/>
  <c r="P22" i="38"/>
  <c r="P138" i="134" s="1"/>
  <c r="P139" i="134" s="1"/>
  <c r="K13" i="94"/>
  <c r="K12" i="94" s="1"/>
  <c r="AB28" i="40"/>
  <c r="AB30" i="40" s="1"/>
  <c r="P38" i="38"/>
  <c r="N49" i="34"/>
  <c r="O26" i="96"/>
  <c r="O28" i="96" s="1"/>
  <c r="G29" i="96"/>
  <c r="F28" i="35"/>
  <c r="F30" i="35" s="1"/>
  <c r="H49" i="38"/>
  <c r="F49" i="73"/>
  <c r="X49" i="40"/>
  <c r="H49" i="40"/>
  <c r="R49" i="37"/>
  <c r="G15" i="92"/>
  <c r="T13" i="94"/>
  <c r="T12" i="94" s="1"/>
  <c r="H30" i="94"/>
  <c r="H29" i="94" s="1"/>
  <c r="H46" i="94" s="1"/>
  <c r="J28" i="95"/>
  <c r="F6" i="98"/>
  <c r="I7" i="92"/>
  <c r="D27" i="91"/>
  <c r="P9" i="95"/>
  <c r="P13" i="95" s="1"/>
  <c r="P15" i="95" s="1"/>
  <c r="D29" i="96"/>
  <c r="BL20" i="23"/>
  <c r="BD20" i="23"/>
  <c r="AT20" i="23"/>
  <c r="M30" i="94"/>
  <c r="M29" i="94" s="1"/>
  <c r="C30" i="94"/>
  <c r="C29" i="94" s="1"/>
  <c r="C46" i="94" s="1"/>
  <c r="O30" i="94"/>
  <c r="O29" i="94" s="1"/>
  <c r="D28" i="95"/>
  <c r="D29" i="95"/>
  <c r="E5" i="95" s="1"/>
  <c r="E29" i="95" s="1"/>
  <c r="F5" i="95" s="1"/>
  <c r="F29" i="95" s="1"/>
  <c r="G5" i="95" s="1"/>
  <c r="G29" i="95" s="1"/>
  <c r="H5" i="95" s="1"/>
  <c r="H29" i="95" s="1"/>
  <c r="I5" i="95" s="1"/>
  <c r="I29" i="95" s="1"/>
  <c r="J5" i="95" s="1"/>
  <c r="J29" i="95" s="1"/>
  <c r="K5" i="95" s="1"/>
  <c r="K29" i="95" s="1"/>
  <c r="L5" i="95" s="1"/>
  <c r="L29" i="95" s="1"/>
  <c r="M5" i="95" s="1"/>
  <c r="M29" i="95" s="1"/>
  <c r="N5" i="95" s="1"/>
  <c r="N29" i="95" s="1"/>
  <c r="O5" i="95" s="1"/>
  <c r="O29" i="95" s="1"/>
  <c r="E28" i="95"/>
  <c r="D28" i="34"/>
  <c r="R13" i="39"/>
  <c r="L88" i="136" s="1"/>
  <c r="L89" i="136" s="1"/>
  <c r="J28" i="39"/>
  <c r="R28" i="39" s="1"/>
  <c r="D30" i="35"/>
  <c r="F49" i="36"/>
  <c r="P30" i="39"/>
  <c r="N21" i="34"/>
  <c r="EL20" i="23"/>
  <c r="I18" i="91"/>
  <c r="AL49" i="40"/>
  <c r="V49" i="40"/>
  <c r="J22" i="41"/>
  <c r="G30" i="94"/>
  <c r="G29" i="94" s="1"/>
  <c r="G46" i="94" s="1"/>
  <c r="E12" i="97"/>
  <c r="G18" i="91"/>
  <c r="D21" i="39"/>
  <c r="F49" i="74"/>
  <c r="AD49" i="40"/>
  <c r="H28" i="35"/>
  <c r="H30" i="35" s="1"/>
  <c r="J49" i="36"/>
  <c r="J49" i="73"/>
  <c r="DT20" i="23"/>
  <c r="FD48" i="23"/>
  <c r="CJ48" i="23"/>
  <c r="BP48" i="23"/>
  <c r="J35" i="41"/>
  <c r="L28" i="95"/>
  <c r="H18" i="91"/>
  <c r="T184" i="31"/>
  <c r="T185" i="31" s="1"/>
  <c r="J10" i="41"/>
  <c r="J13" i="41"/>
  <c r="J39" i="41"/>
  <c r="J26" i="41"/>
  <c r="J34" i="41"/>
  <c r="J24" i="41"/>
  <c r="J45" i="41"/>
  <c r="J25" i="41"/>
  <c r="J31" i="41"/>
  <c r="AZ20" i="23"/>
  <c r="J20" i="23"/>
  <c r="GD20" i="23"/>
  <c r="AN48" i="23"/>
  <c r="CT29" i="23"/>
  <c r="F48" i="23"/>
  <c r="F54" i="23"/>
  <c r="FV48" i="23"/>
  <c r="FZ20" i="23"/>
  <c r="H20" i="23"/>
  <c r="ER29" i="23"/>
  <c r="V13" i="35"/>
  <c r="L86" i="132" s="1"/>
  <c r="L87" i="132" s="1"/>
  <c r="P30" i="35"/>
  <c r="E19" i="97"/>
  <c r="N28" i="34"/>
  <c r="N30" i="34" s="1"/>
  <c r="H28" i="38"/>
  <c r="H30" i="38" s="1"/>
  <c r="D21" i="35"/>
  <c r="H21" i="39"/>
  <c r="J49" i="39"/>
  <c r="T21" i="35"/>
  <c r="R38" i="73"/>
  <c r="P49" i="73"/>
  <c r="Z49" i="40"/>
  <c r="J49" i="40"/>
  <c r="CR29" i="23"/>
  <c r="AR48" i="23"/>
  <c r="GT48" i="23"/>
  <c r="F30" i="94"/>
  <c r="F29" i="94" s="1"/>
  <c r="F46" i="94" s="1"/>
  <c r="T21" i="34"/>
  <c r="DF29" i="23"/>
  <c r="CR48" i="23"/>
  <c r="O14" i="96"/>
  <c r="O16" i="96" s="1"/>
  <c r="BT20" i="23"/>
  <c r="R28" i="40"/>
  <c r="R30" i="40" s="1"/>
  <c r="H30" i="39"/>
  <c r="L49" i="73"/>
  <c r="AJ49" i="40"/>
  <c r="T49" i="40"/>
  <c r="N49" i="37"/>
  <c r="AF28" i="40"/>
  <c r="AF30" i="40" s="1"/>
  <c r="P21" i="39"/>
  <c r="L49" i="39"/>
  <c r="T49" i="35"/>
  <c r="R22" i="73"/>
  <c r="P117" i="138" s="1"/>
  <c r="P118" i="138" s="1"/>
  <c r="R49" i="40"/>
  <c r="FF29" i="23"/>
  <c r="DR29" i="23"/>
  <c r="CH29" i="23"/>
  <c r="P29" i="23"/>
  <c r="DD48" i="23"/>
  <c r="EB48" i="23"/>
  <c r="C56" i="94"/>
  <c r="C3" i="94" s="1"/>
  <c r="D3" i="94" s="1"/>
  <c r="J49" i="34"/>
  <c r="J29" i="23"/>
  <c r="J17" i="41"/>
  <c r="GH29" i="23"/>
  <c r="FP20" i="23"/>
  <c r="P13" i="94"/>
  <c r="P12" i="94" s="1"/>
  <c r="K30" i="94"/>
  <c r="K29" i="94" s="1"/>
  <c r="P21" i="35"/>
  <c r="GD28" i="23"/>
  <c r="GD29" i="23" s="1"/>
  <c r="E46" i="94"/>
  <c r="R48" i="23"/>
  <c r="BH20" i="23"/>
  <c r="V20" i="23"/>
  <c r="D30" i="94"/>
  <c r="D29" i="94" s="1"/>
  <c r="N49" i="74"/>
  <c r="AP20" i="23"/>
  <c r="P14" i="96"/>
  <c r="P16" i="96" s="1"/>
  <c r="D28" i="38"/>
  <c r="D30" i="38" s="1"/>
  <c r="H21" i="74"/>
  <c r="D28" i="36"/>
  <c r="D30" i="36" s="1"/>
  <c r="H29" i="96"/>
  <c r="CN20" i="23"/>
  <c r="F30" i="40"/>
  <c r="J49" i="38"/>
  <c r="F49" i="39"/>
  <c r="J49" i="35"/>
  <c r="L30" i="73"/>
  <c r="L49" i="40"/>
  <c r="GJ20" i="23"/>
  <c r="FN20" i="23"/>
  <c r="AN20" i="23"/>
  <c r="T20" i="23"/>
  <c r="J41" i="41"/>
  <c r="H15" i="92"/>
  <c r="EX20" i="23"/>
  <c r="DR20" i="23"/>
  <c r="FZ48" i="23"/>
  <c r="P20" i="23"/>
  <c r="FF20" i="23"/>
  <c r="EP20" i="23"/>
  <c r="DJ20" i="23"/>
  <c r="CR20" i="23"/>
  <c r="BP20" i="23"/>
  <c r="CD20" i="23"/>
  <c r="BN20" i="23"/>
  <c r="AN29" i="23"/>
  <c r="T29" i="23"/>
  <c r="DL48" i="23"/>
  <c r="Z48" i="23"/>
  <c r="BJ48" i="23"/>
  <c r="DN20" i="23"/>
  <c r="DF20" i="23"/>
  <c r="X29" i="23"/>
  <c r="CB48" i="23"/>
  <c r="DF48" i="23"/>
  <c r="CV48" i="23"/>
  <c r="GL48" i="23"/>
  <c r="EN20" i="23"/>
  <c r="EB20" i="23"/>
  <c r="GJ29" i="23"/>
  <c r="EL48" i="23"/>
  <c r="DZ20" i="23"/>
  <c r="DH48" i="23"/>
  <c r="BV48" i="23"/>
  <c r="BN48" i="23"/>
  <c r="BF48" i="23"/>
  <c r="AV48" i="23"/>
  <c r="T48" i="23"/>
  <c r="GB48" i="23"/>
  <c r="FR48" i="23"/>
  <c r="FH48" i="23"/>
  <c r="BT48" i="23"/>
  <c r="FP48" i="23"/>
  <c r="FX48" i="23"/>
  <c r="X20" i="23"/>
  <c r="CZ20" i="23"/>
  <c r="BN29" i="23"/>
  <c r="BR29" i="23"/>
  <c r="D30" i="73"/>
  <c r="N30" i="38"/>
  <c r="CZ48" i="23"/>
  <c r="V30" i="40"/>
  <c r="H30" i="40"/>
  <c r="J36" i="41"/>
  <c r="F21" i="34"/>
  <c r="F49" i="37"/>
  <c r="C81" i="94"/>
  <c r="C6" i="94" s="1"/>
  <c r="D6" i="94" s="1"/>
  <c r="E6" i="94" s="1"/>
  <c r="F6" i="94" s="1"/>
  <c r="G6" i="94" s="1"/>
  <c r="H6" i="94" s="1"/>
  <c r="I6" i="94" s="1"/>
  <c r="J6" i="94" s="1"/>
  <c r="K6" i="94" s="1"/>
  <c r="L6" i="94" s="1"/>
  <c r="M6" i="94" s="1"/>
  <c r="N6" i="94" s="1"/>
  <c r="O6" i="94" s="1"/>
  <c r="P6" i="94" s="1"/>
  <c r="Q6" i="94" s="1"/>
  <c r="R6" i="94" s="1"/>
  <c r="S6" i="94" s="1"/>
  <c r="T6" i="94" s="1"/>
  <c r="J49" i="74"/>
  <c r="P30" i="73"/>
  <c r="N49" i="35"/>
  <c r="P49" i="35"/>
  <c r="AB49" i="40"/>
  <c r="J30" i="41"/>
  <c r="AJ30" i="40"/>
  <c r="J11" i="41"/>
  <c r="N30" i="39"/>
  <c r="J49" i="41"/>
  <c r="DX10" i="41"/>
  <c r="J33" i="41"/>
  <c r="H49" i="34"/>
  <c r="J9" i="41"/>
  <c r="HB48" i="23"/>
  <c r="GJ48" i="23"/>
  <c r="FN48" i="23"/>
  <c r="FF48" i="23"/>
  <c r="EX48" i="23"/>
  <c r="EP48" i="23"/>
  <c r="CN48" i="23"/>
  <c r="BR48" i="23"/>
  <c r="BB48" i="23"/>
  <c r="AJ48" i="23"/>
  <c r="GN48" i="23"/>
  <c r="GF48" i="23"/>
  <c r="FL48" i="23"/>
  <c r="EV48" i="23"/>
  <c r="EN48" i="23"/>
  <c r="BX48" i="23"/>
  <c r="AZ48" i="23"/>
  <c r="T54" i="23"/>
  <c r="GH48" i="23"/>
  <c r="GP48" i="23"/>
  <c r="EF48" i="23"/>
  <c r="DR48" i="23"/>
  <c r="CH48" i="23"/>
  <c r="DZ48" i="23"/>
  <c r="DN48" i="23"/>
  <c r="FJ48" i="23"/>
  <c r="AB48" i="23"/>
  <c r="DJ48" i="23"/>
  <c r="CP48" i="23"/>
  <c r="CD48" i="23"/>
  <c r="BD48" i="23"/>
  <c r="AT48" i="23"/>
  <c r="AL48" i="23"/>
  <c r="X48" i="23"/>
  <c r="P54" i="23"/>
  <c r="AD48" i="23"/>
  <c r="DP29" i="23"/>
  <c r="BD29" i="23"/>
  <c r="DT29" i="23"/>
  <c r="DJ29" i="23"/>
  <c r="CD29" i="23"/>
  <c r="BP29" i="23"/>
  <c r="FX29" i="23"/>
  <c r="EN29" i="23"/>
  <c r="CV20" i="23"/>
  <c r="DP20" i="23"/>
  <c r="AV20" i="23"/>
  <c r="FT20" i="23"/>
  <c r="CV29" i="23"/>
  <c r="BF20" i="23"/>
  <c r="FJ20" i="23"/>
  <c r="CN29" i="23"/>
  <c r="CB20" i="23"/>
  <c r="GB20" i="23"/>
  <c r="EZ20" i="23"/>
  <c r="ER20" i="23"/>
  <c r="CT20" i="23"/>
  <c r="CJ20" i="23"/>
  <c r="BR20" i="23"/>
  <c r="CB29" i="23"/>
  <c r="AR29" i="23"/>
  <c r="GL29" i="23"/>
  <c r="BL29" i="23"/>
  <c r="EB29" i="23"/>
  <c r="EP29" i="23"/>
  <c r="AD29" i="23"/>
  <c r="FB20" i="23"/>
  <c r="FD20" i="23"/>
  <c r="H29" i="23"/>
  <c r="CJ29" i="23"/>
  <c r="Z29" i="23"/>
  <c r="GB29" i="23"/>
  <c r="DH20" i="23"/>
  <c r="CH20" i="23"/>
  <c r="BB29" i="23"/>
  <c r="AR20" i="23"/>
  <c r="Z20" i="23"/>
  <c r="AJ20" i="23"/>
  <c r="DH29" i="23"/>
  <c r="DZ29" i="23"/>
  <c r="AB29" i="23"/>
  <c r="AT29" i="23"/>
  <c r="EX29" i="23"/>
  <c r="DN29" i="23"/>
  <c r="FZ29" i="23"/>
  <c r="J21" i="38"/>
  <c r="BJ20" i="23"/>
  <c r="AA169" i="31"/>
  <c r="AB169" i="31" s="1"/>
  <c r="Z173" i="31"/>
  <c r="AA148" i="31"/>
  <c r="AB148" i="31" s="1"/>
  <c r="W185" i="31"/>
  <c r="J30" i="38"/>
  <c r="AA165" i="31"/>
  <c r="AB165" i="31" s="1"/>
  <c r="X29" i="40"/>
  <c r="X30" i="40" s="1"/>
  <c r="X21" i="40"/>
  <c r="F29" i="73"/>
  <c r="H21" i="34"/>
  <c r="H29" i="34"/>
  <c r="H21" i="73"/>
  <c r="H29" i="73"/>
  <c r="N21" i="40"/>
  <c r="N29" i="40"/>
  <c r="N30" i="40" s="1"/>
  <c r="AD21" i="40"/>
  <c r="AA62" i="31"/>
  <c r="AB62" i="31" s="1"/>
  <c r="AC62" i="31" s="1"/>
  <c r="U185" i="31"/>
  <c r="H29" i="74"/>
  <c r="H30" i="74" s="1"/>
  <c r="FD28" i="23"/>
  <c r="FD29" i="23" s="1"/>
  <c r="F20" i="23"/>
  <c r="BZ20" i="23"/>
  <c r="AA150" i="31"/>
  <c r="J29" i="39"/>
  <c r="J30" i="39" s="1"/>
  <c r="AA174" i="31"/>
  <c r="AB174" i="31" s="1"/>
  <c r="FR20" i="23"/>
  <c r="AA172" i="31"/>
  <c r="AB172" i="31" s="1"/>
  <c r="Z170" i="31"/>
  <c r="Z144" i="31"/>
  <c r="AD30" i="40"/>
  <c r="Z155" i="31"/>
  <c r="AA155" i="31"/>
  <c r="AB155" i="31" s="1"/>
  <c r="Z171" i="31"/>
  <c r="AA171" i="31"/>
  <c r="AB171" i="31" s="1"/>
  <c r="GV28" i="23"/>
  <c r="GV29" i="23" s="1"/>
  <c r="AA151" i="31"/>
  <c r="AB151" i="31" s="1"/>
  <c r="AL28" i="23"/>
  <c r="AL29" i="23" s="1"/>
  <c r="F21" i="40"/>
  <c r="AA144" i="31"/>
  <c r="AB144" i="31" s="1"/>
  <c r="AA160" i="31"/>
  <c r="AB160" i="31" s="1"/>
  <c r="R21" i="40"/>
  <c r="Z147" i="31"/>
  <c r="Z157" i="31"/>
  <c r="DL20" i="23"/>
  <c r="R17" i="73"/>
  <c r="D20" i="23"/>
  <c r="Z148" i="31"/>
  <c r="AA154" i="31"/>
  <c r="AB154" i="31" s="1"/>
  <c r="T29" i="40"/>
  <c r="T30" i="40" s="1"/>
  <c r="D28" i="23"/>
  <c r="D29" i="23" s="1"/>
  <c r="R17" i="39"/>
  <c r="F29" i="39"/>
  <c r="D28" i="40"/>
  <c r="D21" i="40"/>
  <c r="EL28" i="23"/>
  <c r="EL29" i="23" s="1"/>
  <c r="P21" i="40"/>
  <c r="P29" i="40"/>
  <c r="P30" i="40" s="1"/>
  <c r="Z169" i="31"/>
  <c r="P26" i="96"/>
  <c r="P28" i="96" s="1"/>
  <c r="BT29" i="23"/>
  <c r="F49" i="34"/>
  <c r="DP48" i="23"/>
  <c r="AA170" i="31"/>
  <c r="AB170" i="31" s="1"/>
  <c r="L316" i="131"/>
  <c r="L317" i="131" s="1"/>
  <c r="DL28" i="23"/>
  <c r="F21" i="37"/>
  <c r="Z177" i="31"/>
  <c r="AA177" i="31"/>
  <c r="AB177" i="31" s="1"/>
  <c r="J19" i="41"/>
  <c r="HB20" i="23"/>
  <c r="HB28" i="23"/>
  <c r="HB29" i="23" s="1"/>
  <c r="EV28" i="23"/>
  <c r="EV29" i="23" s="1"/>
  <c r="BJ28" i="23"/>
  <c r="BJ29" i="23" s="1"/>
  <c r="F21" i="39"/>
  <c r="J40" i="41"/>
  <c r="BV20" i="23"/>
  <c r="BV28" i="23"/>
  <c r="BV29" i="23" s="1"/>
  <c r="H21" i="37"/>
  <c r="H29" i="37"/>
  <c r="H30" i="37" s="1"/>
  <c r="R22" i="39"/>
  <c r="P88" i="136" s="1"/>
  <c r="P89" i="136" s="1"/>
  <c r="T49" i="34"/>
  <c r="N22" i="36"/>
  <c r="P131" i="135" s="1"/>
  <c r="P132" i="135" s="1"/>
  <c r="N38" i="36"/>
  <c r="H49" i="36"/>
  <c r="V38" i="35"/>
  <c r="FH28" i="23"/>
  <c r="FH29" i="23" s="1"/>
  <c r="FH20" i="23"/>
  <c r="R38" i="39"/>
  <c r="F21" i="74"/>
  <c r="AL28" i="40"/>
  <c r="AL30" i="40" s="1"/>
  <c r="AL21" i="40"/>
  <c r="F49" i="40"/>
  <c r="FT48" i="23"/>
  <c r="GD48" i="23"/>
  <c r="FB48" i="23"/>
  <c r="ET48" i="23"/>
  <c r="EH48" i="23"/>
  <c r="DT48" i="23"/>
  <c r="BB20" i="23"/>
  <c r="P48" i="23"/>
  <c r="FR28" i="23"/>
  <c r="FR29" i="23" s="1"/>
  <c r="F49" i="35"/>
  <c r="BF29" i="23"/>
  <c r="FJ29" i="23"/>
  <c r="BL48" i="23"/>
  <c r="EZ48" i="23"/>
  <c r="ER48" i="23"/>
  <c r="BH48" i="23"/>
  <c r="AP48" i="23"/>
  <c r="N49" i="38"/>
  <c r="AA26" i="31"/>
  <c r="BH29" i="23"/>
  <c r="L30" i="94"/>
  <c r="O30" i="24"/>
  <c r="H49" i="37"/>
  <c r="P49" i="39"/>
  <c r="H49" i="35"/>
  <c r="AH30" i="40"/>
  <c r="N49" i="40"/>
  <c r="R54" i="23"/>
  <c r="H48" i="23"/>
  <c r="F15" i="92"/>
  <c r="I13" i="94"/>
  <c r="I12" i="94" s="1"/>
  <c r="I46" i="94" s="1"/>
  <c r="R13" i="94"/>
  <c r="R12" i="94" s="1"/>
  <c r="L49" i="34"/>
  <c r="AH28" i="23"/>
  <c r="AH29" i="23" s="1"/>
  <c r="J13" i="94"/>
  <c r="J12" i="94" s="1"/>
  <c r="J46" i="94" s="1"/>
  <c r="O13" i="94"/>
  <c r="O12" i="94" s="1"/>
  <c r="S13" i="94"/>
  <c r="S12" i="94" s="1"/>
  <c r="S46" i="94" s="1"/>
  <c r="L13" i="94"/>
  <c r="L12" i="94" s="1"/>
  <c r="P30" i="94"/>
  <c r="P29" i="94" s="1"/>
  <c r="T30" i="94"/>
  <c r="T29" i="94" s="1"/>
  <c r="T46" i="94" s="1"/>
  <c r="K29" i="96"/>
  <c r="FX20" i="23"/>
  <c r="D13" i="94"/>
  <c r="M13" i="94"/>
  <c r="M12" i="94" s="1"/>
  <c r="FB28" i="23"/>
  <c r="GR20" i="23"/>
  <c r="GR28" i="23"/>
  <c r="GR29" i="23" s="1"/>
  <c r="N17" i="36"/>
  <c r="AA149" i="31"/>
  <c r="AB149" i="31" s="1"/>
  <c r="N13" i="36"/>
  <c r="L131" i="135" s="1"/>
  <c r="L132" i="135" s="1"/>
  <c r="F28" i="36"/>
  <c r="EZ29" i="23"/>
  <c r="Q46" i="94"/>
  <c r="P25" i="95"/>
  <c r="AJ28" i="23"/>
  <c r="V185" i="31"/>
  <c r="H28" i="34"/>
  <c r="H27" i="41" s="1"/>
  <c r="H27" i="43" s="1"/>
  <c r="F28" i="38"/>
  <c r="P13" i="38"/>
  <c r="L138" i="134" s="1"/>
  <c r="L139" i="134" s="1"/>
  <c r="F21" i="38"/>
  <c r="AA162" i="31"/>
  <c r="AB162" i="31" s="1"/>
  <c r="Z28" i="40"/>
  <c r="Z30" i="40" s="1"/>
  <c r="Z21" i="40"/>
  <c r="L28" i="40"/>
  <c r="L21" i="40"/>
  <c r="GF28" i="23"/>
  <c r="GF29" i="23" s="1"/>
  <c r="GF20" i="23"/>
  <c r="AA179" i="31"/>
  <c r="AB179" i="31" s="1"/>
  <c r="BX20" i="23"/>
  <c r="BX28" i="23"/>
  <c r="BX29" i="23" s="1"/>
  <c r="F28" i="74"/>
  <c r="J21" i="73"/>
  <c r="R13" i="73"/>
  <c r="L117" i="138" s="1"/>
  <c r="L118" i="138" s="1"/>
  <c r="J28" i="73"/>
  <c r="AP49" i="40"/>
  <c r="AF49" i="40"/>
  <c r="J14" i="41"/>
  <c r="H21" i="36"/>
  <c r="P316" i="131"/>
  <c r="P317" i="131" s="1"/>
  <c r="AV29" i="23"/>
  <c r="BZ48" i="23"/>
  <c r="V48" i="23"/>
  <c r="J48" i="23"/>
  <c r="J32" i="41"/>
  <c r="EV20" i="23"/>
  <c r="F49" i="38"/>
  <c r="ET20" i="23"/>
  <c r="F29" i="37"/>
  <c r="T29" i="37" s="1"/>
  <c r="V22" i="35"/>
  <c r="P86" i="132" s="1"/>
  <c r="P87" i="132" s="1"/>
  <c r="AH49" i="40"/>
  <c r="J23" i="41"/>
  <c r="DB48" i="23"/>
  <c r="N14" i="96"/>
  <c r="N16" i="96" s="1"/>
  <c r="N29" i="96" s="1"/>
  <c r="D30" i="40" l="1"/>
  <c r="AR28" i="40"/>
  <c r="O159" i="130"/>
  <c r="O160" i="130" s="1"/>
  <c r="M131" i="135"/>
  <c r="M132" i="135" s="1"/>
  <c r="M88" i="136"/>
  <c r="M89" i="136" s="1"/>
  <c r="M117" i="138"/>
  <c r="M118" i="138" s="1"/>
  <c r="IF48" i="23"/>
  <c r="D37" i="43"/>
  <c r="CD37" i="128"/>
  <c r="D30" i="37"/>
  <c r="T28" i="37"/>
  <c r="T21" i="37"/>
  <c r="DL29" i="23"/>
  <c r="L25" i="130"/>
  <c r="L26" i="130" s="1"/>
  <c r="ID17" i="23"/>
  <c r="BX17" i="128" s="1"/>
  <c r="D17" i="43" s="1"/>
  <c r="F38" i="43"/>
  <c r="H48" i="41"/>
  <c r="H48" i="43" s="1"/>
  <c r="P25" i="130"/>
  <c r="P26" i="130" s="1"/>
  <c r="CD38" i="128"/>
  <c r="F47" i="43"/>
  <c r="V189" i="31"/>
  <c r="E188" i="31" s="1"/>
  <c r="E187" i="31" s="1"/>
  <c r="CD47" i="128"/>
  <c r="U610" i="129"/>
  <c r="F37" i="43"/>
  <c r="O25" i="130"/>
  <c r="O26" i="130" s="1"/>
  <c r="L63" i="133"/>
  <c r="D30" i="34"/>
  <c r="D27" i="41"/>
  <c r="EG28" i="23"/>
  <c r="EG29" i="23" s="1"/>
  <c r="F48" i="41"/>
  <c r="D30" i="74"/>
  <c r="P28" i="74"/>
  <c r="D18" i="43"/>
  <c r="F21" i="43"/>
  <c r="BZ48" i="128"/>
  <c r="EF28" i="23"/>
  <c r="EF29" i="23" s="1"/>
  <c r="ID48" i="23"/>
  <c r="BX48" i="128" s="1"/>
  <c r="CD46" i="128"/>
  <c r="K46" i="94"/>
  <c r="F27" i="41"/>
  <c r="F27" i="43" s="1"/>
  <c r="E139" i="27"/>
  <c r="EF20" i="23"/>
  <c r="CD18" i="128"/>
  <c r="F18" i="43"/>
  <c r="EH28" i="23"/>
  <c r="EH29" i="23" s="1"/>
  <c r="R28" i="73"/>
  <c r="R21" i="73"/>
  <c r="V28" i="35"/>
  <c r="D43" i="35" s="1"/>
  <c r="D47" i="35" s="1"/>
  <c r="V47" i="35" s="1"/>
  <c r="F30" i="73"/>
  <c r="EH20" i="23"/>
  <c r="FL14" i="23"/>
  <c r="ID14" i="23" s="1"/>
  <c r="BX14" i="128" s="1"/>
  <c r="I15" i="92"/>
  <c r="D43" i="37"/>
  <c r="T43" i="37" s="1"/>
  <c r="R46" i="94"/>
  <c r="O46" i="94"/>
  <c r="L25" i="41"/>
  <c r="P46" i="94"/>
  <c r="L17" i="41"/>
  <c r="M46" i="94"/>
  <c r="V28" i="34"/>
  <c r="D43" i="34" s="1"/>
  <c r="D44" i="37"/>
  <c r="T44" i="37" s="1"/>
  <c r="L22" i="41"/>
  <c r="L40" i="41"/>
  <c r="P21" i="74"/>
  <c r="P29" i="74"/>
  <c r="D44" i="74" s="1"/>
  <c r="P44" i="74" s="1"/>
  <c r="L13" i="41"/>
  <c r="L24" i="41"/>
  <c r="L23" i="41"/>
  <c r="L32" i="41"/>
  <c r="N34" i="43"/>
  <c r="R21" i="39"/>
  <c r="L31" i="41"/>
  <c r="J34" i="43"/>
  <c r="L35" i="41"/>
  <c r="L36" i="41"/>
  <c r="O29" i="96"/>
  <c r="L34" i="41"/>
  <c r="N28" i="36"/>
  <c r="D43" i="36" s="1"/>
  <c r="D8" i="29" s="1"/>
  <c r="J21" i="41"/>
  <c r="L41" i="41"/>
  <c r="N25" i="43"/>
  <c r="J26" i="43"/>
  <c r="J36" i="43"/>
  <c r="N39" i="43"/>
  <c r="J15" i="43"/>
  <c r="J22" i="43"/>
  <c r="J70" i="43" s="1"/>
  <c r="FP28" i="23"/>
  <c r="FP29" i="23" s="1"/>
  <c r="L9" i="41"/>
  <c r="J49" i="43"/>
  <c r="J41" i="43"/>
  <c r="E40" i="120" s="1"/>
  <c r="Q53" i="43"/>
  <c r="N41" i="43"/>
  <c r="J25" i="43"/>
  <c r="J72" i="43" s="1"/>
  <c r="CZ28" i="23"/>
  <c r="CZ29" i="23" s="1"/>
  <c r="N22" i="43"/>
  <c r="J45" i="43"/>
  <c r="J39" i="43"/>
  <c r="E45" i="120" s="1"/>
  <c r="N36" i="43"/>
  <c r="J19" i="43"/>
  <c r="J33" i="43"/>
  <c r="L30" i="41"/>
  <c r="D43" i="40"/>
  <c r="AR43" i="40" s="1"/>
  <c r="N19" i="43"/>
  <c r="D43" i="39"/>
  <c r="D47" i="39" s="1"/>
  <c r="R47" i="39" s="1"/>
  <c r="C10" i="94"/>
  <c r="C11" i="94" s="1"/>
  <c r="AB26" i="31"/>
  <c r="R29" i="73"/>
  <c r="D44" i="73" s="1"/>
  <c r="D48" i="73" s="1"/>
  <c r="R48" i="73" s="1"/>
  <c r="L49" i="41"/>
  <c r="L11" i="41"/>
  <c r="N49" i="43"/>
  <c r="L8" i="41"/>
  <c r="L33" i="41"/>
  <c r="N35" i="43"/>
  <c r="J18" i="41"/>
  <c r="L18" i="41" s="1"/>
  <c r="M27" i="41"/>
  <c r="L10" i="41"/>
  <c r="J35" i="43"/>
  <c r="U6" i="94"/>
  <c r="GV20" i="23"/>
  <c r="Z172" i="31"/>
  <c r="F28" i="23"/>
  <c r="F29" i="23" s="1"/>
  <c r="H30" i="73"/>
  <c r="BZ28" i="23"/>
  <c r="BZ29" i="23" s="1"/>
  <c r="GN20" i="23"/>
  <c r="GN28" i="23"/>
  <c r="GN29" i="23" s="1"/>
  <c r="GT28" i="23"/>
  <c r="GT29" i="23" s="1"/>
  <c r="GT20" i="23"/>
  <c r="T21" i="40"/>
  <c r="DB28" i="23"/>
  <c r="DB29" i="23" s="1"/>
  <c r="DB20" i="23"/>
  <c r="L21" i="34"/>
  <c r="L29" i="34"/>
  <c r="Z158" i="31"/>
  <c r="AA158" i="31"/>
  <c r="AB158" i="31" s="1"/>
  <c r="AA180" i="31"/>
  <c r="AB180" i="31" s="1"/>
  <c r="Z180" i="31"/>
  <c r="CP28" i="23"/>
  <c r="CP29" i="23" s="1"/>
  <c r="CP20" i="23"/>
  <c r="Z163" i="31"/>
  <c r="AA163" i="31"/>
  <c r="AB163" i="31" s="1"/>
  <c r="DV28" i="23"/>
  <c r="DV29" i="23" s="1"/>
  <c r="DV20" i="23"/>
  <c r="IF20" i="23" s="1"/>
  <c r="DD28" i="23"/>
  <c r="DD29" i="23" s="1"/>
  <c r="DD20" i="23"/>
  <c r="FV20" i="23"/>
  <c r="FV28" i="23"/>
  <c r="FV29" i="23" s="1"/>
  <c r="R20" i="23"/>
  <c r="R28" i="23"/>
  <c r="R29" i="23" s="1"/>
  <c r="Z160" i="31"/>
  <c r="AL20" i="23"/>
  <c r="P17" i="38"/>
  <c r="F29" i="38"/>
  <c r="P29" i="38" s="1"/>
  <c r="D44" i="38" s="1"/>
  <c r="F21" i="36"/>
  <c r="F29" i="36"/>
  <c r="F30" i="36" s="1"/>
  <c r="J9" i="43"/>
  <c r="N9" i="43"/>
  <c r="R29" i="39"/>
  <c r="D44" i="39" s="1"/>
  <c r="F30" i="39"/>
  <c r="R30" i="39" s="1"/>
  <c r="L29" i="94"/>
  <c r="U30" i="94"/>
  <c r="D12" i="94"/>
  <c r="U13" i="94"/>
  <c r="J31" i="43"/>
  <c r="N31" i="43"/>
  <c r="N40" i="43"/>
  <c r="J40" i="43"/>
  <c r="J69" i="43" s="1"/>
  <c r="N33" i="43"/>
  <c r="N15" i="43"/>
  <c r="L19" i="41"/>
  <c r="J29" i="34"/>
  <c r="H28" i="41" s="1"/>
  <c r="H28" i="43" s="1"/>
  <c r="J21" i="34"/>
  <c r="H20" i="41" s="1"/>
  <c r="H20" i="43" s="1"/>
  <c r="AA10" i="31"/>
  <c r="AB10" i="31" s="1"/>
  <c r="J29" i="36"/>
  <c r="J21" i="36"/>
  <c r="N10" i="43"/>
  <c r="J10" i="43"/>
  <c r="P21" i="38"/>
  <c r="J12" i="41"/>
  <c r="L14" i="41"/>
  <c r="N30" i="43"/>
  <c r="J30" i="43"/>
  <c r="D6" i="119" s="1"/>
  <c r="F30" i="37"/>
  <c r="T30" i="37" s="1"/>
  <c r="J32" i="43"/>
  <c r="N32" i="43"/>
  <c r="J37" i="41"/>
  <c r="AA145" i="31"/>
  <c r="AB145" i="31" s="1"/>
  <c r="J29" i="40"/>
  <c r="J21" i="40"/>
  <c r="F20" i="41" s="1"/>
  <c r="H30" i="34"/>
  <c r="AJ29" i="23"/>
  <c r="P27" i="95"/>
  <c r="D10" i="94"/>
  <c r="D11" i="94" s="1"/>
  <c r="E3" i="94"/>
  <c r="FB29" i="23"/>
  <c r="J29" i="35"/>
  <c r="J21" i="35"/>
  <c r="V21" i="35" s="1"/>
  <c r="V17" i="35"/>
  <c r="N11" i="43"/>
  <c r="J11" i="43"/>
  <c r="Z175" i="31"/>
  <c r="AA175" i="31"/>
  <c r="AB175" i="31" s="1"/>
  <c r="J30" i="73"/>
  <c r="D43" i="73"/>
  <c r="F30" i="74"/>
  <c r="P30" i="74" s="1"/>
  <c r="D43" i="74"/>
  <c r="P43" i="74" s="1"/>
  <c r="L30" i="40"/>
  <c r="P28" i="38"/>
  <c r="D43" i="38" s="1"/>
  <c r="E144" i="27" l="1"/>
  <c r="I146" i="27" s="1"/>
  <c r="I151" i="27" s="1"/>
  <c r="M139" i="27"/>
  <c r="F28" i="41"/>
  <c r="AR29" i="40"/>
  <c r="AR21" i="40"/>
  <c r="U892" i="129"/>
  <c r="U893" i="129" s="1"/>
  <c r="X1269" i="129"/>
  <c r="O1269" i="129"/>
  <c r="O1270" i="129" s="1"/>
  <c r="M316" i="131"/>
  <c r="M317" i="131" s="1"/>
  <c r="M138" i="134"/>
  <c r="M139" i="134" s="1"/>
  <c r="M86" i="132"/>
  <c r="M87" i="132" s="1"/>
  <c r="IF28" i="23"/>
  <c r="BZ28" i="128" s="1"/>
  <c r="F28" i="43" s="1"/>
  <c r="IF29" i="23"/>
  <c r="BZ29" i="128" s="1"/>
  <c r="U611" i="129"/>
  <c r="F48" i="43"/>
  <c r="IE17" i="23"/>
  <c r="BY17" i="128" s="1"/>
  <c r="EG20" i="23"/>
  <c r="CD48" i="128"/>
  <c r="E45" i="91"/>
  <c r="J71" i="43"/>
  <c r="BZ20" i="128"/>
  <c r="F20" i="43" s="1"/>
  <c r="CD17" i="128"/>
  <c r="D7" i="29"/>
  <c r="V43" i="34"/>
  <c r="D12" i="29"/>
  <c r="D42" i="41"/>
  <c r="D42" i="43" s="1"/>
  <c r="D14" i="43"/>
  <c r="CD14" i="128"/>
  <c r="D20" i="41"/>
  <c r="D28" i="41"/>
  <c r="J44" i="41"/>
  <c r="L44" i="41" s="1"/>
  <c r="E39" i="38"/>
  <c r="E38" i="41" s="1"/>
  <c r="FL12" i="23"/>
  <c r="ID12" i="23" s="1"/>
  <c r="BX12" i="128" s="1"/>
  <c r="BY14" i="128"/>
  <c r="EI20" i="23"/>
  <c r="EI28" i="23"/>
  <c r="E44" i="91"/>
  <c r="E44" i="120"/>
  <c r="E23" i="91"/>
  <c r="F23" i="91" s="1"/>
  <c r="E23" i="120"/>
  <c r="G23" i="120" s="1"/>
  <c r="I21" i="119"/>
  <c r="H18" i="90"/>
  <c r="E20" i="120"/>
  <c r="I18" i="119"/>
  <c r="E7" i="120"/>
  <c r="G7" i="120" s="1"/>
  <c r="I9" i="119"/>
  <c r="E15" i="91"/>
  <c r="F15" i="91" s="1"/>
  <c r="E15" i="120"/>
  <c r="G15" i="120" s="1"/>
  <c r="E11" i="91"/>
  <c r="F11" i="91" s="1"/>
  <c r="E11" i="120"/>
  <c r="G11" i="120" s="1"/>
  <c r="E4" i="120"/>
  <c r="I6" i="119"/>
  <c r="E30" i="120"/>
  <c r="G30" i="120" s="1"/>
  <c r="D8" i="119"/>
  <c r="E6" i="120"/>
  <c r="I8" i="119"/>
  <c r="D18" i="119"/>
  <c r="E39" i="120"/>
  <c r="E29" i="120"/>
  <c r="D7" i="119"/>
  <c r="E5" i="120"/>
  <c r="I7" i="119"/>
  <c r="E33" i="120"/>
  <c r="D11" i="119"/>
  <c r="E31" i="91"/>
  <c r="F31" i="91" s="1"/>
  <c r="E31" i="120"/>
  <c r="D9" i="119"/>
  <c r="Q12" i="95"/>
  <c r="R12" i="95" s="1"/>
  <c r="S12" i="95" s="1"/>
  <c r="E34" i="120"/>
  <c r="D12" i="119"/>
  <c r="E28" i="120"/>
  <c r="H40" i="120"/>
  <c r="I40" i="120" s="1"/>
  <c r="J40" i="120" s="1"/>
  <c r="G40" i="120"/>
  <c r="H22" i="90"/>
  <c r="E24" i="120"/>
  <c r="I22" i="119"/>
  <c r="Q10" i="95"/>
  <c r="R10" i="95" s="1"/>
  <c r="S10" i="95" s="1"/>
  <c r="E32" i="120"/>
  <c r="D10" i="119"/>
  <c r="E40" i="91"/>
  <c r="F40" i="91" s="1"/>
  <c r="D19" i="119"/>
  <c r="R30" i="73"/>
  <c r="D10" i="29"/>
  <c r="M10" i="29" s="1"/>
  <c r="D47" i="37"/>
  <c r="T47" i="37" s="1"/>
  <c r="V29" i="34"/>
  <c r="V43" i="35"/>
  <c r="D13" i="29"/>
  <c r="M13" i="29" s="1"/>
  <c r="V21" i="34"/>
  <c r="L30" i="34"/>
  <c r="O34" i="43"/>
  <c r="N43" i="36"/>
  <c r="T9" i="24"/>
  <c r="U9" i="24" s="1"/>
  <c r="L21" i="41"/>
  <c r="E32" i="91"/>
  <c r="F32" i="91" s="1"/>
  <c r="E24" i="91"/>
  <c r="D10" i="90"/>
  <c r="E34" i="91"/>
  <c r="F34" i="91" s="1"/>
  <c r="D12" i="90"/>
  <c r="D47" i="36"/>
  <c r="N47" i="36" s="1"/>
  <c r="O36" i="43"/>
  <c r="O15" i="43"/>
  <c r="O22" i="43"/>
  <c r="E20" i="91"/>
  <c r="G20" i="91" s="1"/>
  <c r="H20" i="91" s="1"/>
  <c r="L12" i="41"/>
  <c r="D19" i="90"/>
  <c r="O49" i="43"/>
  <c r="O41" i="43"/>
  <c r="Q9" i="95"/>
  <c r="R9" i="95" s="1"/>
  <c r="S9" i="95" s="1"/>
  <c r="O39" i="43"/>
  <c r="D9" i="90"/>
  <c r="O31" i="43"/>
  <c r="O25" i="43"/>
  <c r="H21" i="90"/>
  <c r="O19" i="43"/>
  <c r="R44" i="73"/>
  <c r="F14" i="29" s="1"/>
  <c r="N14" i="29" s="1"/>
  <c r="O33" i="43"/>
  <c r="O32" i="43"/>
  <c r="D47" i="40"/>
  <c r="AR47" i="40" s="1"/>
  <c r="D39" i="39"/>
  <c r="R39" i="39" s="1"/>
  <c r="D15" i="29"/>
  <c r="M15" i="29" s="1"/>
  <c r="R43" i="39"/>
  <c r="F30" i="38"/>
  <c r="P30" i="38" s="1"/>
  <c r="L37" i="41"/>
  <c r="O9" i="43"/>
  <c r="Q11" i="95"/>
  <c r="R11" i="95" s="1"/>
  <c r="S11" i="95" s="1"/>
  <c r="E33" i="91"/>
  <c r="D11" i="90"/>
  <c r="O35" i="43"/>
  <c r="Z58" i="31"/>
  <c r="AA58" i="31"/>
  <c r="AB58" i="31" s="1"/>
  <c r="AC58" i="31" s="1"/>
  <c r="N21" i="36"/>
  <c r="F11" i="29"/>
  <c r="N11" i="29" s="1"/>
  <c r="D48" i="74"/>
  <c r="P48" i="74" s="1"/>
  <c r="AA79" i="31"/>
  <c r="AB79" i="31" s="1"/>
  <c r="AC79" i="31" s="1"/>
  <c r="Z79" i="31"/>
  <c r="P44" i="38"/>
  <c r="F9" i="29"/>
  <c r="N9" i="29" s="1"/>
  <c r="D48" i="38"/>
  <c r="P48" i="38" s="1"/>
  <c r="N17" i="43"/>
  <c r="J17" i="43"/>
  <c r="O40" i="43"/>
  <c r="U29" i="94"/>
  <c r="L46" i="94"/>
  <c r="F15" i="29"/>
  <c r="R44" i="39"/>
  <c r="D48" i="39"/>
  <c r="H7" i="90"/>
  <c r="E5" i="91"/>
  <c r="Q18" i="95"/>
  <c r="R18" i="95" s="1"/>
  <c r="S18" i="95" s="1"/>
  <c r="D18" i="90"/>
  <c r="E39" i="91"/>
  <c r="J62" i="43"/>
  <c r="Q7" i="95"/>
  <c r="R7" i="95" s="1"/>
  <c r="S7" i="95" s="1"/>
  <c r="D7" i="90"/>
  <c r="E29" i="91"/>
  <c r="M58" i="43"/>
  <c r="P61" i="43"/>
  <c r="P32" i="43"/>
  <c r="J18" i="43"/>
  <c r="N18" i="43"/>
  <c r="D46" i="94"/>
  <c r="D47" i="94" s="1"/>
  <c r="U12" i="94"/>
  <c r="J50" i="43"/>
  <c r="N50" i="43"/>
  <c r="FL27" i="23"/>
  <c r="FL29" i="23" s="1"/>
  <c r="J30" i="35"/>
  <c r="V30" i="35" s="1"/>
  <c r="V29" i="35"/>
  <c r="D44" i="35" s="1"/>
  <c r="D47" i="38"/>
  <c r="P43" i="38"/>
  <c r="D39" i="38"/>
  <c r="P39" i="38" s="1"/>
  <c r="D9" i="29"/>
  <c r="D11" i="29"/>
  <c r="D47" i="74"/>
  <c r="P47" i="74" s="1"/>
  <c r="D39" i="74"/>
  <c r="P39" i="74" s="1"/>
  <c r="O11" i="43"/>
  <c r="E4" i="91"/>
  <c r="Q17" i="95"/>
  <c r="H6" i="90"/>
  <c r="E30" i="91"/>
  <c r="F30" i="91" s="1"/>
  <c r="D8" i="90"/>
  <c r="Q8" i="95"/>
  <c r="R8" i="95" s="1"/>
  <c r="S8" i="95" s="1"/>
  <c r="D6" i="90"/>
  <c r="J58" i="43"/>
  <c r="E28" i="91"/>
  <c r="Q6" i="95"/>
  <c r="P60" i="43"/>
  <c r="O10" i="43"/>
  <c r="M20" i="41"/>
  <c r="P28" i="95"/>
  <c r="J30" i="40"/>
  <c r="D44" i="40"/>
  <c r="AR44" i="40" s="1"/>
  <c r="F10" i="29"/>
  <c r="D39" i="37"/>
  <c r="D48" i="37"/>
  <c r="T48" i="37" s="1"/>
  <c r="O30" i="43"/>
  <c r="N29" i="36"/>
  <c r="D44" i="36" s="1"/>
  <c r="J30" i="36"/>
  <c r="N30" i="36" s="1"/>
  <c r="C47" i="94"/>
  <c r="M8" i="29"/>
  <c r="F3" i="94"/>
  <c r="E10" i="94"/>
  <c r="E11" i="94" s="1"/>
  <c r="E47" i="94" s="1"/>
  <c r="AA142" i="31"/>
  <c r="Z142" i="31"/>
  <c r="N37" i="43"/>
  <c r="J37" i="43"/>
  <c r="I14" i="90" s="1"/>
  <c r="J30" i="34"/>
  <c r="H29" i="41" s="1"/>
  <c r="H29" i="43" s="1"/>
  <c r="J27" i="41"/>
  <c r="R43" i="73"/>
  <c r="D14" i="29" s="1"/>
  <c r="D47" i="73"/>
  <c r="D39" i="73"/>
  <c r="R39" i="73" s="1"/>
  <c r="E7" i="91"/>
  <c r="F7" i="91" s="1"/>
  <c r="Q20" i="95"/>
  <c r="R20" i="95" s="1"/>
  <c r="S20" i="95" s="1"/>
  <c r="H9" i="90"/>
  <c r="H8" i="90"/>
  <c r="E6" i="91"/>
  <c r="Q19" i="95"/>
  <c r="R19" i="95" s="1"/>
  <c r="S19" i="95" s="1"/>
  <c r="J16" i="41"/>
  <c r="J13" i="43"/>
  <c r="E9" i="120" s="1"/>
  <c r="N13" i="43"/>
  <c r="F29" i="41" l="1"/>
  <c r="AR30" i="40"/>
  <c r="X1270" i="129"/>
  <c r="U1274" i="129"/>
  <c r="U1275" i="129" s="1"/>
  <c r="F29" i="43"/>
  <c r="X88" i="136"/>
  <c r="X89" i="136" s="1"/>
  <c r="X117" i="138"/>
  <c r="X118" i="138" s="1"/>
  <c r="X112" i="137"/>
  <c r="X113" i="137" s="1"/>
  <c r="T39" i="37"/>
  <c r="CE17" i="128"/>
  <c r="E17" i="43"/>
  <c r="K17" i="43" s="1"/>
  <c r="F13" i="120" s="1"/>
  <c r="F18" i="120" s="1"/>
  <c r="F55" i="120" s="1"/>
  <c r="F56" i="120" s="1"/>
  <c r="U63" i="133"/>
  <c r="EI29" i="23"/>
  <c r="D16" i="29"/>
  <c r="FN23" i="23" s="1"/>
  <c r="FO23" i="23" s="1"/>
  <c r="G4" i="120"/>
  <c r="H4" i="120"/>
  <c r="I4" i="120" s="1"/>
  <c r="J4" i="120" s="1"/>
  <c r="D12" i="43"/>
  <c r="CD12" i="128"/>
  <c r="E14" i="43"/>
  <c r="K14" i="43" s="1"/>
  <c r="CE14" i="128"/>
  <c r="D29" i="41"/>
  <c r="Q39" i="38"/>
  <c r="J44" i="43"/>
  <c r="N44" i="43"/>
  <c r="FM27" i="23"/>
  <c r="FM12" i="23"/>
  <c r="IE12" i="23" s="1"/>
  <c r="G11" i="91"/>
  <c r="G40" i="91"/>
  <c r="H40" i="91" s="1"/>
  <c r="I40" i="91" s="1"/>
  <c r="D42" i="119"/>
  <c r="G31" i="91"/>
  <c r="H31" i="91" s="1"/>
  <c r="D15" i="119"/>
  <c r="D30" i="119" s="1"/>
  <c r="E14" i="91"/>
  <c r="F14" i="91" s="1"/>
  <c r="G28" i="120"/>
  <c r="E36" i="120"/>
  <c r="E13" i="120"/>
  <c r="G13" i="120" s="1"/>
  <c r="I12" i="119"/>
  <c r="E14" i="120"/>
  <c r="G14" i="120" s="1"/>
  <c r="H20" i="120"/>
  <c r="G5" i="120"/>
  <c r="H5" i="120"/>
  <c r="I5" i="120" s="1"/>
  <c r="J5" i="120" s="1"/>
  <c r="G39" i="120"/>
  <c r="H39" i="120"/>
  <c r="H6" i="120"/>
  <c r="J6" i="120" s="1"/>
  <c r="G6" i="120"/>
  <c r="H34" i="120"/>
  <c r="G34" i="120"/>
  <c r="H31" i="120"/>
  <c r="G31" i="120"/>
  <c r="D16" i="119"/>
  <c r="D34" i="119" s="1"/>
  <c r="D14" i="119"/>
  <c r="G32" i="120"/>
  <c r="E37" i="120"/>
  <c r="H9" i="120"/>
  <c r="H8" i="120" s="1"/>
  <c r="G9" i="120"/>
  <c r="I13" i="119"/>
  <c r="L16" i="41"/>
  <c r="V30" i="34"/>
  <c r="D16" i="90"/>
  <c r="D34" i="90" s="1"/>
  <c r="G34" i="91"/>
  <c r="H34" i="91" s="1"/>
  <c r="H37" i="91" s="1"/>
  <c r="D42" i="90"/>
  <c r="O18" i="43"/>
  <c r="O17" i="43"/>
  <c r="O50" i="43"/>
  <c r="O13" i="43"/>
  <c r="R48" i="39"/>
  <c r="D49" i="39"/>
  <c r="R49" i="39" s="1"/>
  <c r="T50" i="39" s="1"/>
  <c r="L27" i="41"/>
  <c r="H13" i="90"/>
  <c r="Q24" i="95"/>
  <c r="R24" i="95" s="1"/>
  <c r="S24" i="95" s="1"/>
  <c r="F29" i="91"/>
  <c r="E37" i="91"/>
  <c r="F39" i="91"/>
  <c r="G39" i="91"/>
  <c r="H39" i="91" s="1"/>
  <c r="I39" i="91" s="1"/>
  <c r="F5" i="91"/>
  <c r="G5" i="91"/>
  <c r="H5" i="91" s="1"/>
  <c r="I5" i="91" s="1"/>
  <c r="I15" i="29"/>
  <c r="N15" i="29"/>
  <c r="O15" i="29" s="1"/>
  <c r="H12" i="90"/>
  <c r="Q23" i="95"/>
  <c r="R23" i="95" s="1"/>
  <c r="S23" i="95" s="1"/>
  <c r="E13" i="91"/>
  <c r="F13" i="91" s="1"/>
  <c r="FL20" i="23"/>
  <c r="ID20" i="23" s="1"/>
  <c r="BX20" i="128" s="1"/>
  <c r="CD20" i="128" s="1"/>
  <c r="U46" i="94"/>
  <c r="D48" i="40"/>
  <c r="AR48" i="40" s="1"/>
  <c r="D39" i="40"/>
  <c r="V6" i="95"/>
  <c r="R6" i="95"/>
  <c r="S6" i="95" s="1"/>
  <c r="Q13" i="95"/>
  <c r="R47" i="73"/>
  <c r="D49" i="73"/>
  <c r="R49" i="73" s="1"/>
  <c r="D44" i="34"/>
  <c r="D39" i="34" s="1"/>
  <c r="Z184" i="31"/>
  <c r="AA184" i="31"/>
  <c r="E36" i="91"/>
  <c r="F28" i="91"/>
  <c r="D49" i="74"/>
  <c r="P49" i="74" s="1"/>
  <c r="M9" i="29"/>
  <c r="O9" i="29" s="1"/>
  <c r="I9" i="29"/>
  <c r="F13" i="29"/>
  <c r="V44" i="35"/>
  <c r="D48" i="35"/>
  <c r="D39" i="35"/>
  <c r="V39" i="35" s="1"/>
  <c r="N16" i="43"/>
  <c r="J16" i="43"/>
  <c r="F6" i="91"/>
  <c r="G6" i="91"/>
  <c r="H6" i="91" s="1"/>
  <c r="I6" i="91" s="1"/>
  <c r="J28" i="41"/>
  <c r="M12" i="29"/>
  <c r="D49" i="37"/>
  <c r="T49" i="37" s="1"/>
  <c r="G4" i="91"/>
  <c r="F4" i="91"/>
  <c r="D49" i="38"/>
  <c r="P49" i="38" s="1"/>
  <c r="R50" i="38" s="1"/>
  <c r="P47" i="38"/>
  <c r="O37" i="43"/>
  <c r="N10" i="29"/>
  <c r="O10" i="29" s="1"/>
  <c r="I10" i="29"/>
  <c r="M11" i="29"/>
  <c r="O11" i="29" s="1"/>
  <c r="I11" i="29"/>
  <c r="J20" i="41"/>
  <c r="I20" i="91"/>
  <c r="M14" i="29"/>
  <c r="O14" i="29" s="1"/>
  <c r="I14" i="29"/>
  <c r="E9" i="91"/>
  <c r="I149" i="27"/>
  <c r="G3" i="94"/>
  <c r="F10" i="94"/>
  <c r="D48" i="36"/>
  <c r="N44" i="36"/>
  <c r="F8" i="29"/>
  <c r="D39" i="36"/>
  <c r="N39" i="36" s="1"/>
  <c r="D47" i="34"/>
  <c r="V47" i="34" s="1"/>
  <c r="D14" i="90"/>
  <c r="D15" i="90"/>
  <c r="D30" i="90" s="1"/>
  <c r="R17" i="95"/>
  <c r="S17" i="95" s="1"/>
  <c r="AR39" i="40" l="1"/>
  <c r="X316" i="131" s="1"/>
  <c r="X317" i="131" s="1"/>
  <c r="N1269" i="129"/>
  <c r="N1270" i="129" s="1"/>
  <c r="X131" i="135"/>
  <c r="X132" i="135" s="1"/>
  <c r="X124" i="133"/>
  <c r="X125" i="133" s="1"/>
  <c r="X86" i="132"/>
  <c r="X87" i="132" s="1"/>
  <c r="X138" i="134"/>
  <c r="X139" i="134" s="1"/>
  <c r="N57" i="43"/>
  <c r="J12" i="119"/>
  <c r="J16" i="119" s="1"/>
  <c r="E35" i="119" s="1"/>
  <c r="E36" i="119" s="1"/>
  <c r="FM29" i="23"/>
  <c r="BY12" i="128"/>
  <c r="CE12" i="128" s="1"/>
  <c r="R14" i="43"/>
  <c r="F10" i="120"/>
  <c r="D46" i="41"/>
  <c r="D46" i="43" s="1"/>
  <c r="FM20" i="23"/>
  <c r="IE20" i="23" s="1"/>
  <c r="D20" i="43"/>
  <c r="K38" i="41"/>
  <c r="E38" i="43"/>
  <c r="K38" i="43" s="1"/>
  <c r="V44" i="34"/>
  <c r="D43" i="41"/>
  <c r="D43" i="43" s="1"/>
  <c r="O44" i="43"/>
  <c r="E43" i="91"/>
  <c r="G43" i="91" s="1"/>
  <c r="H43" i="91" s="1"/>
  <c r="I43" i="91" s="1"/>
  <c r="E43" i="120"/>
  <c r="H43" i="120" s="1"/>
  <c r="I43" i="120" s="1"/>
  <c r="J43" i="120" s="1"/>
  <c r="ID23" i="23"/>
  <c r="BX23" i="128" s="1"/>
  <c r="G36" i="91"/>
  <c r="H36" i="120"/>
  <c r="H35" i="120"/>
  <c r="I16" i="120"/>
  <c r="I17" i="120"/>
  <c r="I39" i="120"/>
  <c r="E12" i="120"/>
  <c r="I34" i="120"/>
  <c r="H37" i="120"/>
  <c r="E50" i="120"/>
  <c r="G36" i="120"/>
  <c r="E54" i="120"/>
  <c r="G37" i="120"/>
  <c r="E35" i="120"/>
  <c r="G35" i="120" s="1"/>
  <c r="H16" i="120"/>
  <c r="H17" i="120"/>
  <c r="I11" i="119"/>
  <c r="I16" i="119" s="1"/>
  <c r="D35" i="119" s="1"/>
  <c r="D36" i="119" s="1"/>
  <c r="I34" i="91"/>
  <c r="I37" i="91" s="1"/>
  <c r="G37" i="91"/>
  <c r="G35" i="91"/>
  <c r="H35" i="91"/>
  <c r="L20" i="41"/>
  <c r="J14" i="43"/>
  <c r="N14" i="43"/>
  <c r="I31" i="91"/>
  <c r="I36" i="91" s="1"/>
  <c r="H36" i="91"/>
  <c r="E54" i="91"/>
  <c r="F37" i="91"/>
  <c r="J29" i="41"/>
  <c r="N48" i="36"/>
  <c r="D49" i="36"/>
  <c r="N49" i="36" s="1"/>
  <c r="P49" i="36" s="1"/>
  <c r="O5" i="43"/>
  <c r="H11" i="90"/>
  <c r="E12" i="91"/>
  <c r="Q22" i="95"/>
  <c r="R22" i="95" s="1"/>
  <c r="S22" i="95" s="1"/>
  <c r="M57" i="43"/>
  <c r="D48" i="34"/>
  <c r="F7" i="29"/>
  <c r="I7" i="29" s="1"/>
  <c r="R13" i="95"/>
  <c r="S13" i="95" s="1"/>
  <c r="D49" i="40"/>
  <c r="J42" i="41"/>
  <c r="L42" i="41" s="1"/>
  <c r="O16" i="43"/>
  <c r="N13" i="29"/>
  <c r="O13" i="29" s="1"/>
  <c r="I13" i="29"/>
  <c r="L28" i="41"/>
  <c r="F12" i="29"/>
  <c r="M7" i="29"/>
  <c r="N8" i="29"/>
  <c r="O8" i="29" s="1"/>
  <c r="I8" i="29"/>
  <c r="F11" i="94"/>
  <c r="G9" i="91"/>
  <c r="F9" i="91"/>
  <c r="H4" i="91"/>
  <c r="G10" i="94"/>
  <c r="G11" i="94" s="1"/>
  <c r="G47" i="94" s="1"/>
  <c r="H3" i="94"/>
  <c r="V48" i="35"/>
  <c r="D49" i="35"/>
  <c r="V49" i="35" s="1"/>
  <c r="X50" i="35" s="1"/>
  <c r="F36" i="91"/>
  <c r="E50" i="91"/>
  <c r="E35" i="91"/>
  <c r="F35" i="91" s="1"/>
  <c r="AR49" i="40" l="1"/>
  <c r="AT50" i="40" s="1"/>
  <c r="L1269" i="129"/>
  <c r="P58" i="43"/>
  <c r="R58" i="43" s="1"/>
  <c r="IE23" i="23"/>
  <c r="BY23" i="128" s="1"/>
  <c r="BY20" i="128"/>
  <c r="CD23" i="128"/>
  <c r="D23" i="43"/>
  <c r="E12" i="43"/>
  <c r="K12" i="43" s="1"/>
  <c r="V48" i="34"/>
  <c r="D47" i="41"/>
  <c r="D47" i="43" s="1"/>
  <c r="V39" i="34"/>
  <c r="D38" i="41"/>
  <c r="D38" i="43" s="1"/>
  <c r="FO27" i="23"/>
  <c r="IE27" i="23" s="1"/>
  <c r="J34" i="120"/>
  <c r="I37" i="120"/>
  <c r="I35" i="120"/>
  <c r="J17" i="120"/>
  <c r="J16" i="120"/>
  <c r="G12" i="120"/>
  <c r="E18" i="120"/>
  <c r="J39" i="120"/>
  <c r="E10" i="91"/>
  <c r="F10" i="91" s="1"/>
  <c r="E10" i="120"/>
  <c r="G10" i="120" s="1"/>
  <c r="L29" i="41"/>
  <c r="I35" i="91"/>
  <c r="F16" i="29"/>
  <c r="FN24" i="23" s="1"/>
  <c r="FO24" i="23" s="1"/>
  <c r="O14" i="43"/>
  <c r="J20" i="43"/>
  <c r="J60" i="43" s="1"/>
  <c r="N20" i="43"/>
  <c r="J12" i="43"/>
  <c r="J57" i="43" s="1"/>
  <c r="N12" i="43"/>
  <c r="G8" i="91"/>
  <c r="H9" i="91"/>
  <c r="E18" i="91"/>
  <c r="F12" i="91"/>
  <c r="J43" i="41"/>
  <c r="L43" i="41" s="1"/>
  <c r="D49" i="34"/>
  <c r="H10" i="94"/>
  <c r="H11" i="94" s="1"/>
  <c r="H47" i="94" s="1"/>
  <c r="I3" i="94"/>
  <c r="I4" i="91"/>
  <c r="N12" i="29"/>
  <c r="O12" i="29" s="1"/>
  <c r="P12" i="29" s="1"/>
  <c r="I12" i="29"/>
  <c r="N7" i="29"/>
  <c r="O7" i="29" s="1"/>
  <c r="H16" i="90"/>
  <c r="D35" i="90" s="1"/>
  <c r="D36" i="90" s="1"/>
  <c r="F47" i="94"/>
  <c r="M16" i="29"/>
  <c r="J46" i="41"/>
  <c r="L46" i="41" s="1"/>
  <c r="J42" i="43"/>
  <c r="N42" i="43"/>
  <c r="X159" i="130" l="1"/>
  <c r="X160" i="130" s="1"/>
  <c r="L1270" i="129"/>
  <c r="K57" i="43"/>
  <c r="IE24" i="23"/>
  <c r="CE23" i="128"/>
  <c r="E23" i="43"/>
  <c r="K23" i="43" s="1"/>
  <c r="J19" i="119" s="1"/>
  <c r="X25" i="130"/>
  <c r="X26" i="130" s="1"/>
  <c r="ID24" i="23"/>
  <c r="BX24" i="128" s="1"/>
  <c r="D24" i="43" s="1"/>
  <c r="CE20" i="128"/>
  <c r="E20" i="43"/>
  <c r="K20" i="43" s="1"/>
  <c r="BY27" i="128"/>
  <c r="J10" i="119"/>
  <c r="F8" i="120"/>
  <c r="V49" i="34"/>
  <c r="D48" i="41"/>
  <c r="D48" i="43" s="1"/>
  <c r="FN21" i="23"/>
  <c r="ID21" i="23" s="1"/>
  <c r="BX21" i="128" s="1"/>
  <c r="E41" i="120"/>
  <c r="E46" i="120" s="1"/>
  <c r="D20" i="119"/>
  <c r="E55" i="120"/>
  <c r="E56" i="120" s="1"/>
  <c r="G18" i="120"/>
  <c r="J35" i="120"/>
  <c r="J37" i="120"/>
  <c r="E8" i="91"/>
  <c r="F8" i="91" s="1"/>
  <c r="E8" i="120"/>
  <c r="I10" i="119"/>
  <c r="J38" i="41"/>
  <c r="L38" i="41" s="1"/>
  <c r="O42" i="43"/>
  <c r="O12" i="43"/>
  <c r="I16" i="29"/>
  <c r="J14" i="90"/>
  <c r="M62" i="43"/>
  <c r="M42" i="41"/>
  <c r="F19" i="29"/>
  <c r="F22" i="29" s="1"/>
  <c r="H10" i="90"/>
  <c r="O4" i="43"/>
  <c r="Q21" i="95"/>
  <c r="O20" i="43"/>
  <c r="J47" i="41"/>
  <c r="L47" i="41" s="1"/>
  <c r="H8" i="91"/>
  <c r="I9" i="91"/>
  <c r="I8" i="91" s="1"/>
  <c r="I16" i="91" s="1"/>
  <c r="J38" i="43"/>
  <c r="N38" i="43"/>
  <c r="D20" i="90"/>
  <c r="E41" i="91"/>
  <c r="O16" i="29"/>
  <c r="N16" i="29"/>
  <c r="J3" i="94"/>
  <c r="I10" i="94"/>
  <c r="E55" i="91"/>
  <c r="E56" i="91" s="1"/>
  <c r="F18" i="91"/>
  <c r="N46" i="43"/>
  <c r="J46" i="43"/>
  <c r="FN27" i="23"/>
  <c r="ID27" i="23" s="1"/>
  <c r="BX27" i="128" s="1"/>
  <c r="FN28" i="23"/>
  <c r="ID28" i="23" s="1"/>
  <c r="BX28" i="128" s="1"/>
  <c r="J43" i="43"/>
  <c r="J67" i="43" s="1"/>
  <c r="N43" i="43"/>
  <c r="G16" i="91"/>
  <c r="G17" i="91"/>
  <c r="R16" i="43" l="1"/>
  <c r="F21" i="120"/>
  <c r="F25" i="120" s="1"/>
  <c r="CD24" i="128"/>
  <c r="E27" i="43"/>
  <c r="K27" i="43" s="1"/>
  <c r="CE27" i="128"/>
  <c r="BY24" i="128"/>
  <c r="D25" i="119"/>
  <c r="F17" i="120"/>
  <c r="F51" i="120" s="1"/>
  <c r="F52" i="120" s="1"/>
  <c r="F58" i="120" s="1"/>
  <c r="F16" i="120"/>
  <c r="J14" i="119"/>
  <c r="J15" i="119"/>
  <c r="E31" i="119" s="1"/>
  <c r="E32" i="119" s="1"/>
  <c r="E38" i="119" s="1"/>
  <c r="J25" i="119"/>
  <c r="CD27" i="128"/>
  <c r="D27" i="43"/>
  <c r="CD28" i="128"/>
  <c r="D28" i="43"/>
  <c r="CD21" i="128"/>
  <c r="D21" i="43"/>
  <c r="FO28" i="23"/>
  <c r="IE28" i="23" s="1"/>
  <c r="FO21" i="23"/>
  <c r="IE21" i="23" s="1"/>
  <c r="H41" i="120"/>
  <c r="G41" i="120"/>
  <c r="E17" i="91"/>
  <c r="F17" i="91" s="1"/>
  <c r="D21" i="119"/>
  <c r="E42" i="120"/>
  <c r="E16" i="91"/>
  <c r="F16" i="91" s="1"/>
  <c r="G8" i="120"/>
  <c r="E16" i="120"/>
  <c r="G16" i="120" s="1"/>
  <c r="E17" i="120"/>
  <c r="I15" i="119"/>
  <c r="D31" i="119" s="1"/>
  <c r="D32" i="119" s="1"/>
  <c r="D38" i="119" s="1"/>
  <c r="I14" i="119"/>
  <c r="O43" i="43"/>
  <c r="Q25" i="95"/>
  <c r="R25" i="95" s="1"/>
  <c r="S25" i="95" s="1"/>
  <c r="R21" i="95"/>
  <c r="S21" i="95" s="1"/>
  <c r="O38" i="43"/>
  <c r="H14" i="90"/>
  <c r="H15" i="90"/>
  <c r="D31" i="90" s="1"/>
  <c r="D32" i="90" s="1"/>
  <c r="D38" i="90" s="1"/>
  <c r="D25" i="90"/>
  <c r="I17" i="91"/>
  <c r="H16" i="91"/>
  <c r="H17" i="91"/>
  <c r="J48" i="41"/>
  <c r="J54" i="41" s="1"/>
  <c r="O46" i="43"/>
  <c r="I11" i="94"/>
  <c r="N47" i="43"/>
  <c r="J47" i="43"/>
  <c r="F41" i="91"/>
  <c r="G41" i="91"/>
  <c r="E46" i="91"/>
  <c r="X50" i="34"/>
  <c r="D21" i="90"/>
  <c r="D26" i="90" s="1"/>
  <c r="E42" i="91"/>
  <c r="E38" i="91" s="1"/>
  <c r="FN29" i="23"/>
  <c r="ID29" i="23" s="1"/>
  <c r="BX29" i="128" s="1"/>
  <c r="K3" i="94"/>
  <c r="J10" i="94"/>
  <c r="J11" i="94" s="1"/>
  <c r="J47" i="94" s="1"/>
  <c r="Q14" i="95"/>
  <c r="O58" i="43"/>
  <c r="Q58" i="43" s="1"/>
  <c r="I17" i="90"/>
  <c r="D26" i="119" l="1"/>
  <c r="D27" i="119" s="1"/>
  <c r="D17" i="119"/>
  <c r="CE24" i="128"/>
  <c r="E24" i="43"/>
  <c r="K24" i="43" s="1"/>
  <c r="BY21" i="128"/>
  <c r="CD29" i="128"/>
  <c r="D29" i="43"/>
  <c r="J29" i="43" s="1"/>
  <c r="FO29" i="23"/>
  <c r="IE29" i="23" s="1"/>
  <c r="BY28" i="128"/>
  <c r="E51" i="91"/>
  <c r="E52" i="91" s="1"/>
  <c r="E58" i="91" s="1"/>
  <c r="G46" i="120"/>
  <c r="H42" i="120"/>
  <c r="G42" i="120"/>
  <c r="E47" i="120"/>
  <c r="G47" i="120" s="1"/>
  <c r="E38" i="120"/>
  <c r="I41" i="120"/>
  <c r="H46" i="120"/>
  <c r="G17" i="120"/>
  <c r="E51" i="120"/>
  <c r="E52" i="120" s="1"/>
  <c r="E58" i="120" s="1"/>
  <c r="D27" i="90"/>
  <c r="L48" i="41"/>
  <c r="O47" i="43"/>
  <c r="F38" i="91"/>
  <c r="I47" i="94"/>
  <c r="J48" i="43"/>
  <c r="N48" i="43"/>
  <c r="N28" i="43"/>
  <c r="J28" i="43"/>
  <c r="G42" i="91"/>
  <c r="G38" i="91" s="1"/>
  <c r="F42" i="91"/>
  <c r="E47" i="91"/>
  <c r="F47" i="91" s="1"/>
  <c r="M48" i="41"/>
  <c r="R14" i="95"/>
  <c r="S14" i="95" s="1"/>
  <c r="Q15" i="95"/>
  <c r="R15" i="95" s="1"/>
  <c r="S15" i="95" s="1"/>
  <c r="K10" i="94"/>
  <c r="K11" i="94" s="1"/>
  <c r="K47" i="94" s="1"/>
  <c r="L3" i="94"/>
  <c r="F46" i="91"/>
  <c r="G46" i="91"/>
  <c r="H41" i="91"/>
  <c r="N21" i="43"/>
  <c r="J21" i="43"/>
  <c r="N23" i="43"/>
  <c r="J23" i="43"/>
  <c r="D17" i="90"/>
  <c r="N24" i="43"/>
  <c r="J24" i="43"/>
  <c r="J68" i="43" l="1"/>
  <c r="J20" i="119"/>
  <c r="K68" i="43"/>
  <c r="O57" i="43"/>
  <c r="Q57" i="43" s="1"/>
  <c r="F22" i="120"/>
  <c r="F19" i="120" s="1"/>
  <c r="F59" i="120" s="1"/>
  <c r="F60" i="120" s="1"/>
  <c r="CE21" i="128"/>
  <c r="E21" i="43"/>
  <c r="K21" i="43" s="1"/>
  <c r="R17" i="43"/>
  <c r="BY29" i="128"/>
  <c r="CE29" i="128" s="1"/>
  <c r="J53" i="43"/>
  <c r="CE28" i="128"/>
  <c r="E28" i="43"/>
  <c r="K28" i="43" s="1"/>
  <c r="E48" i="120"/>
  <c r="G48" i="120" s="1"/>
  <c r="J41" i="120"/>
  <c r="I46" i="120"/>
  <c r="I42" i="120"/>
  <c r="H47" i="120"/>
  <c r="H48" i="120" s="1"/>
  <c r="E21" i="120"/>
  <c r="I19" i="119"/>
  <c r="I25" i="119" s="1"/>
  <c r="G38" i="120"/>
  <c r="I20" i="119"/>
  <c r="E22" i="120"/>
  <c r="H38" i="120"/>
  <c r="E48" i="91"/>
  <c r="F48" i="91" s="1"/>
  <c r="O48" i="43"/>
  <c r="O23" i="43"/>
  <c r="O28" i="43"/>
  <c r="O24" i="43"/>
  <c r="J17" i="90"/>
  <c r="Q26" i="95"/>
  <c r="N29" i="43"/>
  <c r="O21" i="43"/>
  <c r="J27" i="43"/>
  <c r="N27" i="43"/>
  <c r="M3" i="94"/>
  <c r="L10" i="94"/>
  <c r="L11" i="94" s="1"/>
  <c r="L47" i="94" s="1"/>
  <c r="H42" i="91"/>
  <c r="H38" i="91" s="1"/>
  <c r="G47" i="91"/>
  <c r="G48" i="91" s="1"/>
  <c r="I27" i="90"/>
  <c r="E21" i="91"/>
  <c r="H19" i="90"/>
  <c r="E22" i="91"/>
  <c r="H20" i="90"/>
  <c r="H26" i="90" s="1"/>
  <c r="I41" i="91"/>
  <c r="H46" i="91"/>
  <c r="L892" i="129" l="1"/>
  <c r="L893" i="129" s="1"/>
  <c r="P1269" i="129"/>
  <c r="P1270" i="129" s="1"/>
  <c r="I26" i="119"/>
  <c r="I17" i="119"/>
  <c r="D39" i="119" s="1"/>
  <c r="D40" i="119" s="1"/>
  <c r="J26" i="119"/>
  <c r="J27" i="119" s="1"/>
  <c r="J17" i="119"/>
  <c r="E39" i="119" s="1"/>
  <c r="E40" i="119" s="1"/>
  <c r="P57" i="43"/>
  <c r="R57" i="43" s="1"/>
  <c r="F26" i="120"/>
  <c r="F27" i="120" s="1"/>
  <c r="E29" i="43"/>
  <c r="K29" i="43" s="1"/>
  <c r="K53" i="43" s="1"/>
  <c r="I27" i="119"/>
  <c r="J46" i="120"/>
  <c r="J42" i="120"/>
  <c r="J47" i="120" s="1"/>
  <c r="I47" i="120"/>
  <c r="I48" i="120" s="1"/>
  <c r="H22" i="120"/>
  <c r="G22" i="120"/>
  <c r="E26" i="120"/>
  <c r="G26" i="120" s="1"/>
  <c r="I38" i="120"/>
  <c r="H21" i="120"/>
  <c r="G21" i="120"/>
  <c r="E19" i="120"/>
  <c r="E25" i="120"/>
  <c r="J64" i="43"/>
  <c r="O53" i="43"/>
  <c r="O29" i="43"/>
  <c r="O27" i="43"/>
  <c r="I46" i="91"/>
  <c r="H17" i="90"/>
  <c r="D39" i="90" s="1"/>
  <c r="D40" i="90" s="1"/>
  <c r="H25" i="90"/>
  <c r="H27" i="90" s="1"/>
  <c r="F21" i="91"/>
  <c r="G21" i="91"/>
  <c r="E19" i="91"/>
  <c r="E25" i="91"/>
  <c r="M10" i="94"/>
  <c r="M11" i="94" s="1"/>
  <c r="M47" i="94" s="1"/>
  <c r="N3" i="94"/>
  <c r="F22" i="91"/>
  <c r="G22" i="91"/>
  <c r="E26" i="91"/>
  <c r="F26" i="91" s="1"/>
  <c r="R26" i="95"/>
  <c r="S26" i="95" s="1"/>
  <c r="Q27" i="95"/>
  <c r="R27" i="95" s="1"/>
  <c r="S27" i="95" s="1"/>
  <c r="I42" i="91"/>
  <c r="I47" i="91" s="1"/>
  <c r="H47" i="91"/>
  <c r="H48" i="91" s="1"/>
  <c r="P30" i="43"/>
  <c r="J27" i="90"/>
  <c r="L1274" i="129" l="1"/>
  <c r="L1275" i="129" s="1"/>
  <c r="L610" i="129"/>
  <c r="J48" i="120"/>
  <c r="J38" i="120"/>
  <c r="I21" i="120"/>
  <c r="H19" i="120"/>
  <c r="H25" i="120"/>
  <c r="I22" i="120"/>
  <c r="H26" i="120"/>
  <c r="E27" i="120"/>
  <c r="G27" i="120" s="1"/>
  <c r="G25" i="120"/>
  <c r="G19" i="120"/>
  <c r="E59" i="120"/>
  <c r="E60" i="120" s="1"/>
  <c r="M55" i="43"/>
  <c r="N10" i="94"/>
  <c r="N11" i="94" s="1"/>
  <c r="N47" i="94" s="1"/>
  <c r="O3" i="94"/>
  <c r="H21" i="91"/>
  <c r="G19" i="91"/>
  <c r="G25" i="91"/>
  <c r="I38" i="91"/>
  <c r="G26" i="91"/>
  <c r="H22" i="91"/>
  <c r="I48" i="91"/>
  <c r="F25" i="91"/>
  <c r="E27" i="91"/>
  <c r="F27" i="91" s="1"/>
  <c r="F19" i="91"/>
  <c r="E59" i="91"/>
  <c r="E60" i="91" s="1"/>
  <c r="L611" i="129" l="1"/>
  <c r="J21" i="120"/>
  <c r="I19" i="120"/>
  <c r="I25" i="120"/>
  <c r="J22" i="120"/>
  <c r="J26" i="120" s="1"/>
  <c r="I26" i="120"/>
  <c r="H27" i="120"/>
  <c r="I21" i="91"/>
  <c r="H19" i="91"/>
  <c r="H25" i="91"/>
  <c r="O10" i="94"/>
  <c r="O11" i="94" s="1"/>
  <c r="O47" i="94" s="1"/>
  <c r="P3" i="94"/>
  <c r="G27" i="91"/>
  <c r="I22" i="91"/>
  <c r="I26" i="91" s="1"/>
  <c r="H26" i="91"/>
  <c r="I27" i="120" l="1"/>
  <c r="L53" i="120" s="1"/>
  <c r="M47" i="120"/>
  <c r="M42" i="120"/>
  <c r="P38" i="120"/>
  <c r="L37" i="120"/>
  <c r="L56" i="120"/>
  <c r="H50" i="120"/>
  <c r="J19" i="120"/>
  <c r="J25" i="120"/>
  <c r="J27" i="120" s="1"/>
  <c r="H27" i="91"/>
  <c r="H50" i="91" s="1"/>
  <c r="K37" i="91"/>
  <c r="O38" i="91"/>
  <c r="L47" i="91"/>
  <c r="L42" i="91"/>
  <c r="K56" i="91"/>
  <c r="G50" i="91"/>
  <c r="P10" i="94"/>
  <c r="P11" i="94" s="1"/>
  <c r="P47" i="94" s="1"/>
  <c r="Q3" i="94"/>
  <c r="I19" i="91"/>
  <c r="I25" i="91"/>
  <c r="I27" i="91" s="1"/>
  <c r="L43" i="120" l="1"/>
  <c r="I50" i="120"/>
  <c r="L48" i="120"/>
  <c r="J50" i="120"/>
  <c r="K43" i="91"/>
  <c r="K53" i="91"/>
  <c r="Q10" i="94"/>
  <c r="Q11" i="94" s="1"/>
  <c r="Q47" i="94" s="1"/>
  <c r="R3" i="94"/>
  <c r="K48" i="91"/>
  <c r="I50" i="91"/>
  <c r="R10" i="94" l="1"/>
  <c r="R11" i="94" s="1"/>
  <c r="R47" i="94" s="1"/>
  <c r="S3" i="94"/>
  <c r="T3" i="94" l="1"/>
  <c r="S10" i="94"/>
  <c r="S11" i="94" s="1"/>
  <c r="S47" i="94" s="1"/>
  <c r="T10" i="94" l="1"/>
  <c r="U3" i="94"/>
  <c r="T11" i="94" l="1"/>
  <c r="U10" i="94"/>
  <c r="T47" i="94" l="1"/>
  <c r="U47" i="94" s="1"/>
  <c r="U11" i="94"/>
  <c r="J185" i="31"/>
  <c r="F185" i="31"/>
  <c r="L185" i="31"/>
  <c r="P185" i="31"/>
  <c r="N185" i="31"/>
  <c r="R185" i="31"/>
  <c r="H185" i="31"/>
  <c r="AA141" i="31" l="1"/>
  <c r="Z141" i="31"/>
  <c r="AB141" i="31" l="1"/>
  <c r="Z185" i="31"/>
  <c r="AA185" i="31"/>
  <c r="AB150" i="31"/>
  <c r="AB142" i="31"/>
  <c r="AC141" i="31" l="1"/>
  <c r="AB184" i="31" l="1"/>
  <c r="AB185" i="31" l="1"/>
  <c r="K7" i="24"/>
  <c r="K30" i="24" s="1"/>
  <c r="I7" i="24"/>
  <c r="I30" i="24" s="1"/>
  <c r="J7" i="24"/>
  <c r="J30" i="24" s="1"/>
  <c r="F7" i="24"/>
  <c r="F30" i="24" s="1"/>
  <c r="E7" i="24"/>
  <c r="E30" i="24" s="1"/>
  <c r="Q13" i="43" s="1"/>
  <c r="R13" i="43" s="1"/>
  <c r="M7" i="24"/>
  <c r="M30" i="24" s="1"/>
  <c r="G7" i="24"/>
  <c r="G30" i="24" s="1"/>
  <c r="H7" i="24"/>
  <c r="H30" i="24" s="1"/>
  <c r="L7" i="24"/>
  <c r="L30" i="24" s="1"/>
  <c r="D7" i="24" l="1"/>
  <c r="N8" i="24"/>
  <c r="N7" i="24" l="1"/>
  <c r="N30" i="24" s="1"/>
  <c r="T8" i="24"/>
  <c r="U8" i="24" s="1"/>
  <c r="D30" i="24"/>
  <c r="T30" i="24" l="1"/>
  <c r="U30" i="24" s="1"/>
  <c r="T7" i="24"/>
  <c r="U7" i="24" s="1"/>
  <c r="L105" i="134"/>
  <c r="L106" i="134" s="1"/>
</calcChain>
</file>

<file path=xl/sharedStrings.xml><?xml version="1.0" encoding="utf-8"?>
<sst xmlns="http://schemas.openxmlformats.org/spreadsheetml/2006/main" count="21328" uniqueCount="3492">
  <si>
    <t>Működési bevételek</t>
  </si>
  <si>
    <t>Kormányzati funkció</t>
  </si>
  <si>
    <t>Megnevezés</t>
  </si>
  <si>
    <t>ebből: immateriális javak</t>
  </si>
  <si>
    <t>ebből: ingatlan</t>
  </si>
  <si>
    <t>ebből informatikai eszközök</t>
  </si>
  <si>
    <t>ebből: egyéb tárgyi eszközök</t>
  </si>
  <si>
    <t>ebből: áfa</t>
  </si>
  <si>
    <t>saját forrásai</t>
  </si>
  <si>
    <t>EU-s pályázat</t>
  </si>
  <si>
    <t>hitelfelvétel</t>
  </si>
  <si>
    <t>Ellátott feladat típusa</t>
  </si>
  <si>
    <t>K-61</t>
  </si>
  <si>
    <t>K-62</t>
  </si>
  <si>
    <t>K-63</t>
  </si>
  <si>
    <t>K-64</t>
  </si>
  <si>
    <t>K-67</t>
  </si>
  <si>
    <t>A/II. Önkormányzat: Út-, járdaépítés</t>
  </si>
  <si>
    <t>A/III. Önkormányzat: Szennyvíz, csapadékvíz, ivóvíz beruházások</t>
  </si>
  <si>
    <t>A/IV. Önkormányzat: Városgazdálkodási feladatok</t>
  </si>
  <si>
    <t>A/V. Önkormányzat: Ingatlan fejlesztések</t>
  </si>
  <si>
    <t>A/VI. Önkormányzat: Egyéb beruházások</t>
  </si>
  <si>
    <t>B. Intézményi kör kiadásai</t>
  </si>
  <si>
    <t>Dunaharaszti Városi Bölcsőde</t>
  </si>
  <si>
    <t>Dunaharaszti Hétszínvirág Óvoda</t>
  </si>
  <si>
    <t>Dunaharaszti Területi Gondozási Központ</t>
  </si>
  <si>
    <t>B. INTÉZMÉNYI KÖR BERUHÁZÁSAI ÖSSZESEN</t>
  </si>
  <si>
    <t>A. ÖNKORMÁNYZAT BERUHÁZÁSAI ÖSSZESEN</t>
  </si>
  <si>
    <t xml:space="preserve">A/I. Önkormányzat: Európai Uniós kiadások </t>
  </si>
  <si>
    <t>DUNAHARASZTI ÖNKORMÁNYZAT VÁROSI SZINTEN ÖSSZESEN</t>
  </si>
  <si>
    <t>Beruházási kiadások</t>
  </si>
  <si>
    <t>K1-K9</t>
  </si>
  <si>
    <t>TÁRGYÉVI MŰKÖDÉSI KIADÁSOK (K1+K2+K3+K4+K5+K9)</t>
  </si>
  <si>
    <t>TÁRGYÉVI FELHALMOZÁSI KIADÁSOK (K6+K7+K8+K9)</t>
  </si>
  <si>
    <t>Általános- és céltartalékok</t>
  </si>
  <si>
    <t>Rendelkezési jogosultság</t>
  </si>
  <si>
    <t>I. Útépítések, víz, csapadékvíz elvezetések céltartalék</t>
  </si>
  <si>
    <t>Sor-szám</t>
  </si>
  <si>
    <t>Polgármester</t>
  </si>
  <si>
    <t>Civil szervezetek, egyházak támogatása (Művészeti, oktatási, kulturális év közben belépő feladatok)</t>
  </si>
  <si>
    <t>Képviselő-testület</t>
  </si>
  <si>
    <t>Oktatási, Művelődési és Sport Bizottság</t>
  </si>
  <si>
    <t>Városgazdálkodás: üzemeltetés, karbantartás biztonsági tartalék</t>
  </si>
  <si>
    <t>Intézményvezetők jutalmazási kerete</t>
  </si>
  <si>
    <t>Nyári napközis tábor kiadásai</t>
  </si>
  <si>
    <t xml:space="preserve">Oktatási-nevelési intézmények kulturális programjának támogatása </t>
  </si>
  <si>
    <t>Köztisztviselők felmentése, végkielégítése</t>
  </si>
  <si>
    <t>Törvény által kötelezően kifizetendő jubileumi jutalom</t>
  </si>
  <si>
    <t xml:space="preserve">Intézményi ingatlanok különféle karbantartási kerete </t>
  </si>
  <si>
    <t>Képviselő-testület rendelkezése</t>
  </si>
  <si>
    <t>Polgármester rendelkezése</t>
  </si>
  <si>
    <t>TARTALÉKOK MINDÖSSZESEN</t>
  </si>
  <si>
    <t xml:space="preserve">Működési célú támogatások államháztartáson belülről </t>
  </si>
  <si>
    <t>Sorszám</t>
  </si>
  <si>
    <t>Részgazda</t>
  </si>
  <si>
    <t>Rovat</t>
  </si>
  <si>
    <t>K-84</t>
  </si>
  <si>
    <t>Lakossági járdaépítés költsége</t>
  </si>
  <si>
    <t>Felhalmozási célú pénzeszköz átadás lakosságnak: Első lakáshoz jutók támogatása</t>
  </si>
  <si>
    <t>A, Önkormányzat</t>
  </si>
  <si>
    <t>Felhalmozási célú kölcsön nyújtása munkavállalók</t>
  </si>
  <si>
    <t>K-86</t>
  </si>
  <si>
    <t>B, Intézmények</t>
  </si>
  <si>
    <t>Működési célú támogatások</t>
  </si>
  <si>
    <t>081030</t>
  </si>
  <si>
    <t>I. Sportlétesítmények, edzőtáborok működtetése és fejlesztése</t>
  </si>
  <si>
    <t>Egyéb működési célú támogatások államháztartáson kívülre</t>
  </si>
  <si>
    <t>012</t>
  </si>
  <si>
    <t>013</t>
  </si>
  <si>
    <t>Felhalmozási célú pénzeszköz átadások, kölcsönök, lakástámogatás</t>
  </si>
  <si>
    <t>Egyéb működési célú támogatások államháztartáson belülre</t>
  </si>
  <si>
    <t>084031</t>
  </si>
  <si>
    <t>Dunaharaszti Vöröskereszt szervezetének támogatása</t>
  </si>
  <si>
    <t>022010</t>
  </si>
  <si>
    <t>011130</t>
  </si>
  <si>
    <t>045140</t>
  </si>
  <si>
    <t>BURSA-HUNGARICA ösztöndíj pályázat</t>
  </si>
  <si>
    <t>081041</t>
  </si>
  <si>
    <t>K-506</t>
  </si>
  <si>
    <t>Dunaharaszti Nemzetiségi Önkormányzatok részére nyújtott támogatás államháztartáson belül</t>
  </si>
  <si>
    <t>DMTK támogatásai mindösszesen:</t>
  </si>
  <si>
    <t>Bolgár Nemzetiségi Önkormányzat</t>
  </si>
  <si>
    <t>Német Nemzetiségi Önkormányzat</t>
  </si>
  <si>
    <t>Rovatrend száma</t>
  </si>
  <si>
    <t>DUNAHARASZTI VÁROS ÖNKORMÁNYZATA ÁLTAL NYÚJTOTT MŰKÖDÉSI CÉLÚ TÁMOGATÁSOK MINDÖSSZESEN</t>
  </si>
  <si>
    <t xml:space="preserve">Működési </t>
  </si>
  <si>
    <t>Felhalmozási</t>
  </si>
  <si>
    <t>Dunaharaszti Polgármesteri Hivatal</t>
  </si>
  <si>
    <t>Dunaharaszti Mese Óvoda</t>
  </si>
  <si>
    <t>Dunaharaszti Gyermekjóléti- és Családsegítő Szolgálat</t>
  </si>
  <si>
    <t>Intézményfinanszírozási kiadások mindösszesen:</t>
  </si>
  <si>
    <t>002</t>
  </si>
  <si>
    <t>Mutató</t>
  </si>
  <si>
    <t>Fajlagos összeg</t>
  </si>
  <si>
    <t>I.</t>
  </si>
  <si>
    <t>II.</t>
  </si>
  <si>
    <t>A TELEPÜLÉSI ÖNKORMÁNYZATOK EGYES KÖZNEVELÉSI FELADATAINAK TÁMOGATÁSA</t>
  </si>
  <si>
    <t>Óvodaműködtetési támogatás</t>
  </si>
  <si>
    <t>III.</t>
  </si>
  <si>
    <t>Szociális étkeztetés</t>
  </si>
  <si>
    <t>Házi segítségnyújtás</t>
  </si>
  <si>
    <t>Időskorúak nappali intézményi ellátása</t>
  </si>
  <si>
    <t xml:space="preserve">A TELEPÜLÉSI ÖNKORMÁNYZATOK KULTURÁLIS FELADATAINAK TÁMOGATÁSA </t>
  </si>
  <si>
    <t>Települési önkormányzatok nyilvános könyvtári és közművelődési feladatainak támogatása</t>
  </si>
  <si>
    <t>2. számú melléklet összesen</t>
  </si>
  <si>
    <t>A/II. Önkormányzati kiadások</t>
  </si>
  <si>
    <t xml:space="preserve">A/I. Európai Uniós pályázatokhoz kapcsolódó felújítások </t>
  </si>
  <si>
    <t>K-71</t>
  </si>
  <si>
    <t>K-72</t>
  </si>
  <si>
    <t>K-73</t>
  </si>
  <si>
    <t>K-74</t>
  </si>
  <si>
    <t>ebből: informatikai eszközök</t>
  </si>
  <si>
    <t>ebből: ingatlanok</t>
  </si>
  <si>
    <t>TÁRGYÉVI MŰKÖDÉSI BEVÉTELEK (B1+B3+B4+B6+B8)</t>
  </si>
  <si>
    <t>TÁRGYÉVI FELHALMOZÁSI BEVÉTELEK (B2+B5+B7+B8)</t>
  </si>
  <si>
    <t>A beruházásokhoz kapcsolódó EU támogatások és hitelek kockázati fedezete</t>
  </si>
  <si>
    <t xml:space="preserve"> Ebből: működési tartalékok</t>
  </si>
  <si>
    <t>Kormányzati funkció száma</t>
  </si>
  <si>
    <t>Szociális ellátások, támogatások</t>
  </si>
  <si>
    <t>Összesen</t>
  </si>
  <si>
    <t>Krízishelyzet és egyéb szociális célú támogatás</t>
  </si>
  <si>
    <t>Köztemetés</t>
  </si>
  <si>
    <t>Gyógyászati segédeszköz támogatás</t>
  </si>
  <si>
    <t>Hátrányos helyzetű gyermekek üdültetése és rendezvényeik támogatása</t>
  </si>
  <si>
    <t>I. Önkormányzati segélyek</t>
  </si>
  <si>
    <t xml:space="preserve"> Ebből: felhalmozási célú pénzeszköz átadások, támogatások</t>
  </si>
  <si>
    <t xml:space="preserve"> Ebből: működési célú pénzeszköz átadások, támogatások</t>
  </si>
  <si>
    <t xml:space="preserve">   Ebből: hitelfelvétellel kapcsolatos kiadások</t>
  </si>
  <si>
    <t>001</t>
  </si>
  <si>
    <t>069</t>
  </si>
  <si>
    <t>052080</t>
  </si>
  <si>
    <t>066020</t>
  </si>
  <si>
    <t>003</t>
  </si>
  <si>
    <t>006</t>
  </si>
  <si>
    <t>007</t>
  </si>
  <si>
    <t>008</t>
  </si>
  <si>
    <t>049</t>
  </si>
  <si>
    <t>Intézmény</t>
  </si>
  <si>
    <t>016030 Állampolgársági ügyek</t>
  </si>
  <si>
    <t>Intézmény összesen</t>
  </si>
  <si>
    <t>072450 Fizikotherápiás szolgáltatás</t>
  </si>
  <si>
    <t>074031              Család-és nővédelem egészségügyi gondozás</t>
  </si>
  <si>
    <t>074032                       Ifjúság-egészségügyi gondozás</t>
  </si>
  <si>
    <t>010 Fizikotherápiás szolgáltatás</t>
  </si>
  <si>
    <t>011                  Család-és nővédelem egészségügyi gondozás</t>
  </si>
  <si>
    <t>012                Ifjúság-egészségügyi gondozás</t>
  </si>
  <si>
    <t>016        Vendéglátás étkeztetés</t>
  </si>
  <si>
    <t>107053 Jelzőrendszeres házi segítségnyújtás</t>
  </si>
  <si>
    <t>072111        Háziorvosi alapellátás</t>
  </si>
  <si>
    <t>072420 Egészségügyi laboratóriumi szolgáltatás</t>
  </si>
  <si>
    <t>DUNAHARASZTI INTÉZMÉNYEK ÖSSZESEN</t>
  </si>
  <si>
    <t>004</t>
  </si>
  <si>
    <t>005</t>
  </si>
  <si>
    <t>011</t>
  </si>
  <si>
    <t>014</t>
  </si>
  <si>
    <t>015</t>
  </si>
  <si>
    <t>75.</t>
  </si>
  <si>
    <t>DUNAHARASZTI ÖNKORMÁNYZAT ÖSSZESEN</t>
  </si>
  <si>
    <t>VÁROSI SZINTŰ DUNAHARASZTI ÖNKORMÁNYZAT MINDÖSSZESEN</t>
  </si>
  <si>
    <t>Dunaharaszti Polgármesteri Hivatal (igazgatás)</t>
  </si>
  <si>
    <t>Dunaharaszti Polgármesteri Hivatal (adó)</t>
  </si>
  <si>
    <t>011220</t>
  </si>
  <si>
    <t>091110</t>
  </si>
  <si>
    <t>Dunaharaszti Hétszínvirág Óvoda (Hétszínvirág)</t>
  </si>
  <si>
    <t>104042</t>
  </si>
  <si>
    <t>016</t>
  </si>
  <si>
    <t>107053</t>
  </si>
  <si>
    <t>072111</t>
  </si>
  <si>
    <t>074031</t>
  </si>
  <si>
    <t>074032</t>
  </si>
  <si>
    <t>Dunaharaszti Területi Gondozási Központ (Család és nővédelem)</t>
  </si>
  <si>
    <t>Dunaharaszti Területi Gondozási Központ (Ifjúság egészségügy)</t>
  </si>
  <si>
    <t>Dunaharaszti Területi Gondozási Központ (Házi jelzőrendszer)</t>
  </si>
  <si>
    <t>Dunaharaszti Területi Gondozási Központ (Óvodai intézményi étkezés)</t>
  </si>
  <si>
    <t>Dunaharaszti Területi Gondozási Központ (Gimnáziumi intézményi étkeztetés)</t>
  </si>
  <si>
    <t>Dunaharaszti Területi Gondozási Központ (Vendéglátás étkeztetés)</t>
  </si>
  <si>
    <t>082044</t>
  </si>
  <si>
    <t>111 Továbbszámlázás bevétele és kiadása</t>
  </si>
  <si>
    <t>Felújítási kiadások</t>
  </si>
  <si>
    <t>Intézményfinanszírozási kiadások</t>
  </si>
  <si>
    <t>096015 Gyermekétkeztetés köznevelési intézményben</t>
  </si>
  <si>
    <t>104035 Gyermekétkeztetés bölcsődében, fogyatékosok nappali intézményében</t>
  </si>
  <si>
    <t>Hóeltakarítás opció</t>
  </si>
  <si>
    <t xml:space="preserve">    Ebből: államháztartáson belüli megelőlegezések visszafizetése</t>
  </si>
  <si>
    <t>Pályázati forrás</t>
  </si>
  <si>
    <t>Vegyes</t>
  </si>
  <si>
    <t>Sor-
szám</t>
  </si>
  <si>
    <t>Rovat megnevezése</t>
  </si>
  <si>
    <t>1.</t>
  </si>
  <si>
    <t>2.</t>
  </si>
  <si>
    <t>3.</t>
  </si>
  <si>
    <t>4.</t>
  </si>
  <si>
    <t>5.</t>
  </si>
  <si>
    <t>6.</t>
  </si>
  <si>
    <t>7.</t>
  </si>
  <si>
    <t>8.</t>
  </si>
  <si>
    <t>9.</t>
  </si>
  <si>
    <t>10.</t>
  </si>
  <si>
    <t>11.</t>
  </si>
  <si>
    <t>K1</t>
  </si>
  <si>
    <t xml:space="preserve">Munkaadókat terhelő járulékok és szociális hozzájárulási adó                                                                            </t>
  </si>
  <si>
    <t>K2</t>
  </si>
  <si>
    <t>K3</t>
  </si>
  <si>
    <t>K4</t>
  </si>
  <si>
    <t>K5</t>
  </si>
  <si>
    <t>K6</t>
  </si>
  <si>
    <t>K7</t>
  </si>
  <si>
    <t>K8</t>
  </si>
  <si>
    <t>K1-K8</t>
  </si>
  <si>
    <t>B1</t>
  </si>
  <si>
    <t>B2</t>
  </si>
  <si>
    <t>B3</t>
  </si>
  <si>
    <t>B4</t>
  </si>
  <si>
    <t>B5</t>
  </si>
  <si>
    <t>B6</t>
  </si>
  <si>
    <t>B7</t>
  </si>
  <si>
    <t>B1-B7</t>
  </si>
  <si>
    <t>K9</t>
  </si>
  <si>
    <t>B8</t>
  </si>
  <si>
    <t xml:space="preserve">Közhatalmi bevételek </t>
  </si>
  <si>
    <t xml:space="preserve">Felhalmozási célú támogatások államháztartáson belülről </t>
  </si>
  <si>
    <t>Finanszírozási kiadások</t>
  </si>
  <si>
    <t>kötelező</t>
  </si>
  <si>
    <t>önként vállalt</t>
  </si>
  <si>
    <t>államigazgatási</t>
  </si>
  <si>
    <t>12.</t>
  </si>
  <si>
    <t>13.</t>
  </si>
  <si>
    <t>14.</t>
  </si>
  <si>
    <t>15.</t>
  </si>
  <si>
    <t>16.</t>
  </si>
  <si>
    <t>17.</t>
  </si>
  <si>
    <t>18.</t>
  </si>
  <si>
    <t>19.</t>
  </si>
  <si>
    <t>20.</t>
  </si>
  <si>
    <t xml:space="preserve">Egyéb működési célú kiadások </t>
  </si>
  <si>
    <t xml:space="preserve">Egyéb felhalmozási célú kiadások </t>
  </si>
  <si>
    <t xml:space="preserve">Költségvetési kiadások </t>
  </si>
  <si>
    <t xml:space="preserve">Működési célú átvett pénzeszközök </t>
  </si>
  <si>
    <t xml:space="preserve">Felhalmozási célú átvett pénzeszközök </t>
  </si>
  <si>
    <t xml:space="preserve">Költségvetési bevételek </t>
  </si>
  <si>
    <t>Finanszírozási bevételek</t>
  </si>
  <si>
    <t xml:space="preserve">Beruházások </t>
  </si>
  <si>
    <t xml:space="preserve">Felhalmozási bevételek </t>
  </si>
  <si>
    <t>összesen</t>
  </si>
  <si>
    <t>Kormányzati funkciók száma és megnevezése</t>
  </si>
  <si>
    <t>Rovat száma</t>
  </si>
  <si>
    <t>018010 Önkormányzatok elszámolásai a központi költségvetéssel</t>
  </si>
  <si>
    <t>042220 Erdőgazdálkodás</t>
  </si>
  <si>
    <t>083040 Rádióműsor szolgáltatása és támogatása</t>
  </si>
  <si>
    <t>106010 Lakóingatlan szociális célú bérbeadása, üzemeltetése</t>
  </si>
  <si>
    <t>081030 Sportlétesítmények, edzőtáborok működtetése és fejlesztése</t>
  </si>
  <si>
    <t>081041 Versenysport- és utánpótlás-nevelési tevékenység és támogatása</t>
  </si>
  <si>
    <t>Kiadások</t>
  </si>
  <si>
    <t>051020                Nem veszélyes (települési) hulladék összetevőinek válogatása, elkülönített begyűjtése, szállítása, átrakása</t>
  </si>
  <si>
    <t>066020              Város-, község-gazdálkodási egyéb szolgáltatások</t>
  </si>
  <si>
    <t xml:space="preserve">029    Erdőállomány kezelés és fenntartás </t>
  </si>
  <si>
    <t>038        Dunaharaszti sajtókapcsolatai</t>
  </si>
  <si>
    <t>041                        Piac üzemeltetés</t>
  </si>
  <si>
    <t>046               Kitüntetői díjak</t>
  </si>
  <si>
    <t>048 Önkormányzati gondnokság</t>
  </si>
  <si>
    <t>21.</t>
  </si>
  <si>
    <t>22.</t>
  </si>
  <si>
    <t>23.</t>
  </si>
  <si>
    <t>24.</t>
  </si>
  <si>
    <t>25.</t>
  </si>
  <si>
    <t>26.</t>
  </si>
  <si>
    <t>27.</t>
  </si>
  <si>
    <t>28.</t>
  </si>
  <si>
    <t>29.</t>
  </si>
  <si>
    <t>30.</t>
  </si>
  <si>
    <t>31.</t>
  </si>
  <si>
    <t>32.</t>
  </si>
  <si>
    <t>33.</t>
  </si>
  <si>
    <t>Eredeti előirányzat</t>
  </si>
  <si>
    <t>011130 Önkormányzatok és önkormányzati hivatalok jogalkotási és általános igazgatási tevékenysége</t>
  </si>
  <si>
    <t>081041 Versenysport- és utánpótlás-nevelési tevékenység és támogatás</t>
  </si>
  <si>
    <t>34.</t>
  </si>
  <si>
    <t>35.</t>
  </si>
  <si>
    <t>36.</t>
  </si>
  <si>
    <t>37.</t>
  </si>
  <si>
    <t>38.</t>
  </si>
  <si>
    <t>39.</t>
  </si>
  <si>
    <t>40.</t>
  </si>
  <si>
    <t>41.</t>
  </si>
  <si>
    <t>42.</t>
  </si>
  <si>
    <t>43.</t>
  </si>
  <si>
    <t>44.</t>
  </si>
  <si>
    <t>45.</t>
  </si>
  <si>
    <t>46.</t>
  </si>
  <si>
    <t>47.</t>
  </si>
  <si>
    <t>48.</t>
  </si>
  <si>
    <t>49.</t>
  </si>
  <si>
    <t>50.</t>
  </si>
  <si>
    <t>51.</t>
  </si>
  <si>
    <t>52.</t>
  </si>
  <si>
    <t>54.</t>
  </si>
  <si>
    <t>56.</t>
  </si>
  <si>
    <t>57.</t>
  </si>
  <si>
    <t>58.</t>
  </si>
  <si>
    <t>59.</t>
  </si>
  <si>
    <t>60.</t>
  </si>
  <si>
    <t>61.</t>
  </si>
  <si>
    <t>62.</t>
  </si>
  <si>
    <t>63.</t>
  </si>
  <si>
    <t>64.</t>
  </si>
  <si>
    <t>65.</t>
  </si>
  <si>
    <t>66.</t>
  </si>
  <si>
    <t>67.</t>
  </si>
  <si>
    <t>68.</t>
  </si>
  <si>
    <t>69.</t>
  </si>
  <si>
    <t>71.</t>
  </si>
  <si>
    <t>72.</t>
  </si>
  <si>
    <t>76.</t>
  </si>
  <si>
    <t>79.</t>
  </si>
  <si>
    <t>80.</t>
  </si>
  <si>
    <t>81.</t>
  </si>
  <si>
    <t>82.</t>
  </si>
  <si>
    <t>83.</t>
  </si>
  <si>
    <t>84.</t>
  </si>
  <si>
    <t>85.</t>
  </si>
  <si>
    <t>86.</t>
  </si>
  <si>
    <t>96.</t>
  </si>
  <si>
    <t>97.</t>
  </si>
  <si>
    <t>98.</t>
  </si>
  <si>
    <t>99.</t>
  </si>
  <si>
    <t>100.</t>
  </si>
  <si>
    <t xml:space="preserve">önként vállalt </t>
  </si>
  <si>
    <t>TÁRGYÉVI KIADÁSOK ÖSSZESEN</t>
  </si>
  <si>
    <t>TÁRGYÉVI BEVÉTELEK ÖSSZESEN</t>
  </si>
  <si>
    <t>Személyi juttatások</t>
  </si>
  <si>
    <t xml:space="preserve">Dologi kiadások </t>
  </si>
  <si>
    <t>Ellátottak pénzbeli juttatásai</t>
  </si>
  <si>
    <t>Felújítások</t>
  </si>
  <si>
    <t>011130                                                   Önkormányzatok és önkormányzati hivatalok jogalkoltó és általános igazgatási tevékenysége</t>
  </si>
  <si>
    <t>011220                                            Adó, vám és jövedéki igazgatás</t>
  </si>
  <si>
    <t>091110                                       Óvodai nevelés, ellátás szakmai feladatai</t>
  </si>
  <si>
    <t xml:space="preserve">091120                                              Sajátos nevelési igényű gyermekek óvodai nevelésének, ellátásának szakmai feladatai                     </t>
  </si>
  <si>
    <t xml:space="preserve">091120                                                Sajátos nevelési igényű gyermekek óvodai nevelésének, ellátásának szakmai feladatai                     </t>
  </si>
  <si>
    <t>104060                                  A gyermekek, fiatalok és családok életminőségét javító programok</t>
  </si>
  <si>
    <t>107052                                Házi segítségnyújtás</t>
  </si>
  <si>
    <t>017                                                        Előző évekről hozott hátralék</t>
  </si>
  <si>
    <t>009                                  Eü labor</t>
  </si>
  <si>
    <t>008                                              Egyéb járóbeteg</t>
  </si>
  <si>
    <t>005                                   Házi jelzőrendszer</t>
  </si>
  <si>
    <t>004                                              Házi segítségnyújtás</t>
  </si>
  <si>
    <t>003                                           Szociális étkeztetés</t>
  </si>
  <si>
    <t>001                                    Intézmény finanszírozás</t>
  </si>
  <si>
    <t>072111                                                Háziorvosi alapellátás</t>
  </si>
  <si>
    <t>002                       Étkeztetés</t>
  </si>
  <si>
    <t>001                       Intézmény finanszírozás</t>
  </si>
  <si>
    <t>003                               Könyvtári állomány feltárása, megőrzése</t>
  </si>
  <si>
    <t>002                                 Könyvtári állomány gyarapítása</t>
  </si>
  <si>
    <t>004                                          Könyvtári szolgáltatások</t>
  </si>
  <si>
    <t>082044                                  Könyvtári szolgáltatások</t>
  </si>
  <si>
    <t>K-89</t>
  </si>
  <si>
    <t>II. Elkülönített számlák</t>
  </si>
  <si>
    <t xml:space="preserve">Bérlakás értékesítés </t>
  </si>
  <si>
    <t>Víziközmű számla</t>
  </si>
  <si>
    <t>Környezetvédelmi szla</t>
  </si>
  <si>
    <t>Parkolóhely megváltás számla</t>
  </si>
  <si>
    <t>107060                                 Egyes szociális pénzbeli és természetbeni ellátások, támogatások</t>
  </si>
  <si>
    <t xml:space="preserve">Szemétdíj átvállalása rászorultsági alapon </t>
  </si>
  <si>
    <t xml:space="preserve">Sorszám </t>
  </si>
  <si>
    <t>045140                                   Városi és elővárosi közúti személy-szállítás</t>
  </si>
  <si>
    <t>022010                                     Polgári honvédelem ágazati feladatai, a lakosság felkészítése</t>
  </si>
  <si>
    <t>084040                                Egyházak közösségi és hitéleti tevékenységének támogatása</t>
  </si>
  <si>
    <t>045120                                    Út, autópálya építése</t>
  </si>
  <si>
    <t>066020                          Város-, községgazdálkodási egyéb szolgáltatások</t>
  </si>
  <si>
    <t>016080                              Kiemelt állami és önkormányzati rendezvények</t>
  </si>
  <si>
    <t>066020                                   Város-, községgazdálkodási egyéb szolgáltatások</t>
  </si>
  <si>
    <t>045160                          Közutak, hidak, alagutak üzemeltetése, fenntartása</t>
  </si>
  <si>
    <t>074032                            Ifjúság-egészségügyi gondozás</t>
  </si>
  <si>
    <t>016080                               Kiemelt állami és önkormányzati rendezvények</t>
  </si>
  <si>
    <t>083030                                         Egyéb kiadói tevékenység</t>
  </si>
  <si>
    <t>064010                                      Közvilágítás</t>
  </si>
  <si>
    <t>013350                                            Az önkormányzati vagyonnal való gazdálkodással kapcsolatos feladatok</t>
  </si>
  <si>
    <t>066020                      Város-, községgaz-dálkodási egyéb szolgáltatások</t>
  </si>
  <si>
    <t>047120                          Piac üzemeltetése</t>
  </si>
  <si>
    <t>066020                                                          Város-, községgazdálkodási egyéb szolgáltatások</t>
  </si>
  <si>
    <t>051030                                     Nem veszélyes (települési) hulladék vegyes (ömlesztett) begyűjtése, szállítása, átrakása</t>
  </si>
  <si>
    <t>033                            Lomtalanítás és köztéri szemétgyűjtés</t>
  </si>
  <si>
    <t>051050                            Veszélyes hulladék begyűjtése, szállítása, átrakása</t>
  </si>
  <si>
    <t>107060                                      Egyes szociális pénzbeli és természetbeni ellátások, támogatások</t>
  </si>
  <si>
    <t>031                                Külterületi szemét és veszélyes hulladék gyűjtése</t>
  </si>
  <si>
    <t>084031                                   Civil szervezetek működési támogatása</t>
  </si>
  <si>
    <t>Gyermekétkeztetés támogatása méltányossági alapon, ételallergiában szenvedő étkeztetési támogatása</t>
  </si>
  <si>
    <t>107060                     Egyes szociális pénzbeli és természetbeni ellátások, támogatások</t>
  </si>
  <si>
    <t>212                       Ételallergiában szenvedő gyerekek támogatása</t>
  </si>
  <si>
    <t>211                                 Gyógyászati segédeszköz támogatás</t>
  </si>
  <si>
    <t>Rendszeres települési támogatás ápolás céljára</t>
  </si>
  <si>
    <t>Útfenntartás rendkívüli kiadásai (útfenntartási opció)</t>
  </si>
  <si>
    <t>K-512</t>
  </si>
  <si>
    <t>013                        Óvodai intézményi étkeztetés</t>
  </si>
  <si>
    <t>015                               Gimnáziumi  intézményi étkeztetés</t>
  </si>
  <si>
    <t>107052</t>
  </si>
  <si>
    <t>Dunaharaszti Területi Gondozási Központ (Idősek nappali ellátása)</t>
  </si>
  <si>
    <t>Dunaharaszti Területi Gondozási Központ (Házi segítségnyújtás)</t>
  </si>
  <si>
    <t>001                                     Intézmény finanszírozás</t>
  </si>
  <si>
    <t xml:space="preserve">002                                Mese Óvoda      </t>
  </si>
  <si>
    <t>003                                 Napsugár Óvoda</t>
  </si>
  <si>
    <t>001                        Intézmény finanszírozás</t>
  </si>
  <si>
    <t xml:space="preserve">002                     Hétszínvirág Óvoda      </t>
  </si>
  <si>
    <t>001                              Intézmény finanszírozás</t>
  </si>
  <si>
    <t>002                           Polgármesteri Hivatal</t>
  </si>
  <si>
    <t>003                              Adóügyi feladatok</t>
  </si>
  <si>
    <t>004                            Anyakönyvi feladatok</t>
  </si>
  <si>
    <t>008                               Előző évekről hozott hátralék</t>
  </si>
  <si>
    <t>001                          Intézmény finanszírozás</t>
  </si>
  <si>
    <t>Nemzetiségi Önkormányzatok részére nyújtott támogatás összesen:</t>
  </si>
  <si>
    <t xml:space="preserve">Ügyeleti Szolgálat (Haraszti Fraxinus Kft.) támogatása </t>
  </si>
  <si>
    <t>014                                           Iskolai intézményi étkeztetés</t>
  </si>
  <si>
    <t>059                             Nemzetközi kapcsolatok</t>
  </si>
  <si>
    <t>072112                         Háziorvosi ügyeleti ellátás</t>
  </si>
  <si>
    <t>045160                        Közutak, hidak, alagutak üzemeltetése, fenntartása</t>
  </si>
  <si>
    <t>083050                           Televízió-műsor szolgáltatása és támogatása</t>
  </si>
  <si>
    <t>041160                      Földmérés, térképészet</t>
  </si>
  <si>
    <t>058                       Kiemelt állami és önkormányzati rendezvények</t>
  </si>
  <si>
    <t>031030                                 Közterület rendjének fenntartása</t>
  </si>
  <si>
    <t>074051                                Nem fertőző megbetegedések megelőzése</t>
  </si>
  <si>
    <t>074040                                    Fertőző megbetegedések megelőzése, járványügyi ellátás</t>
  </si>
  <si>
    <t>072160                                      Betegszállítás, valamint orvosi rendelvényű halottszállítás</t>
  </si>
  <si>
    <t>074                                       Betegszállítási szolgáltatások igénybevétele</t>
  </si>
  <si>
    <t>084040                                        Egyházak közösségi és hitéleti tevényekségének támogatása</t>
  </si>
  <si>
    <t>013350                                   Az önkormányzati vagyonnal való gazdálkodással kapcsolatos feladatok</t>
  </si>
  <si>
    <t>002                       Gyermekjóléti szolgáltatás</t>
  </si>
  <si>
    <t>104012                       Gyermekek átmeneti ellátása</t>
  </si>
  <si>
    <t>096025                             Munkahelyi étkeztetés köznevelési intézményben</t>
  </si>
  <si>
    <t>081061                                      Szabadidős park, fürdő és strandszolgáltatás</t>
  </si>
  <si>
    <t>084032                             Civil szervezetek program-támogatása</t>
  </si>
  <si>
    <t>II. Versenysport és utánpótlás-nevelési tevékenységek támogatása</t>
  </si>
  <si>
    <t>084                                          Tartalékok</t>
  </si>
  <si>
    <t>adatok Ft-ban</t>
  </si>
  <si>
    <t>104042                                                                 Család és gyermekjóléti szolgáltatások</t>
  </si>
  <si>
    <t xml:space="preserve">018030                                          Támogatási célú finanszírozási műveletek              </t>
  </si>
  <si>
    <t>102031                                 Idősek nappali ellátása</t>
  </si>
  <si>
    <t>019                  Választott tisztségviselők (polgármester és képviselők)</t>
  </si>
  <si>
    <t>Intézmény neve</t>
  </si>
  <si>
    <t>Létszámkeret</t>
  </si>
  <si>
    <t>Dunaharaszti Város Önkormányzata</t>
  </si>
  <si>
    <t xml:space="preserve"> ebből: Választott tisztségviselő</t>
  </si>
  <si>
    <t>019</t>
  </si>
  <si>
    <t xml:space="preserve"> ebből: Piac üzemeltetés</t>
  </si>
  <si>
    <t>041</t>
  </si>
  <si>
    <t xml:space="preserve"> ebből: Önkormányzati gondnokság</t>
  </si>
  <si>
    <t>048</t>
  </si>
  <si>
    <t xml:space="preserve"> ebből: Közterület felügyelet , rendőrség, közterületi kamerák</t>
  </si>
  <si>
    <t xml:space="preserve"> ebből: Temető fenntartás</t>
  </si>
  <si>
    <t>054</t>
  </si>
  <si>
    <t xml:space="preserve"> ebből: Temetkezés</t>
  </si>
  <si>
    <t>055</t>
  </si>
  <si>
    <t xml:space="preserve"> ebből: Polgármesteri Hivatal</t>
  </si>
  <si>
    <t xml:space="preserve"> ebből: Adóügyi feladatok</t>
  </si>
  <si>
    <t xml:space="preserve"> ebből: Anyakönyvi feladatok</t>
  </si>
  <si>
    <t xml:space="preserve"> ebből: Étkeztetés</t>
  </si>
  <si>
    <t xml:space="preserve"> ebből: Gyermekek egyéb ellátása</t>
  </si>
  <si>
    <t xml:space="preserve"> ebből: Hétszínvirág Óvoda</t>
  </si>
  <si>
    <t xml:space="preserve"> ebből: Százszorszép Óvoda</t>
  </si>
  <si>
    <t xml:space="preserve"> ebből: Szivárvány Óvoda</t>
  </si>
  <si>
    <t xml:space="preserve"> ebből: Mese Óvoda</t>
  </si>
  <si>
    <t xml:space="preserve"> ebből: Napsugár Óvoda</t>
  </si>
  <si>
    <t xml:space="preserve"> ebből: Idősek nappali ellátása</t>
  </si>
  <si>
    <t xml:space="preserve"> ebből: Szociális étkeztetés</t>
  </si>
  <si>
    <t xml:space="preserve"> ebből: Házi segítségnyújtás</t>
  </si>
  <si>
    <t xml:space="preserve"> ebből: Jelzőrendszeres házi segítségnyújtás</t>
  </si>
  <si>
    <t xml:space="preserve"> ebből:  Egyéb m.n.s. járóbetegellátás</t>
  </si>
  <si>
    <t xml:space="preserve"> ebből: Egészségügyi laboratóriumi szolgáltatás</t>
  </si>
  <si>
    <t>009</t>
  </si>
  <si>
    <t xml:space="preserve"> ebből: Fizikotherápiás szolgáltatás</t>
  </si>
  <si>
    <t>010</t>
  </si>
  <si>
    <t xml:space="preserve"> ebből: Család- és nővédelem egészségügyi gondozás</t>
  </si>
  <si>
    <t xml:space="preserve"> ebből: Ifjúság-egészségügyi gondozás</t>
  </si>
  <si>
    <t xml:space="preserve"> ebből: Könyvtári szolgáltatások</t>
  </si>
  <si>
    <t xml:space="preserve"> ebből: Közművelődési tevékenység</t>
  </si>
  <si>
    <t>Dunaharaszti Gyermekjóléti és Családsegítő Szolgálat</t>
  </si>
  <si>
    <t>VÁROSI SZINTŰ ÖNKORMÁNYZAT MINDÖSSZESEN</t>
  </si>
  <si>
    <t>043                                          Lakihegy rádió</t>
  </si>
  <si>
    <t>055                                  Temetkezés</t>
  </si>
  <si>
    <t>013320                                                            Köztemető-fenntartás és működtetés</t>
  </si>
  <si>
    <t>085                                 Intézmény finanszírozás</t>
  </si>
  <si>
    <t>091110                                                                             Óvodai nevelés, ellátás szakmai feladatai</t>
  </si>
  <si>
    <t>018030                      Támogatási célú finanszírozási műveletek</t>
  </si>
  <si>
    <t>091110                          Óvodai nevelés, ellátás szakmai feladatai</t>
  </si>
  <si>
    <t>091110                                         Óvodai nevelés, ellátás szakmai feladatai</t>
  </si>
  <si>
    <t>072210                                      Járóbetegek gyógyító szakellátása</t>
  </si>
  <si>
    <t>061030                          Lakáshoz jutást segítő támogatások</t>
  </si>
  <si>
    <t>031030                            Közterület rendjének fenntartása</t>
  </si>
  <si>
    <t>018030                        Támogatási célú finanszírozási műveletek</t>
  </si>
  <si>
    <t>018030                  Támogatási célú finanszírozási műveletek</t>
  </si>
  <si>
    <t>018030                       Támogatási célú finanszírozási műveletek</t>
  </si>
  <si>
    <t>082042                              Könyvtári állomány gyarapítása, nyilvántartása</t>
  </si>
  <si>
    <t xml:space="preserve">018030                                      Támogatási célú finanszírozási műveletek              </t>
  </si>
  <si>
    <t>Polgármesteri Hivatal</t>
  </si>
  <si>
    <t>Létszámkeret  (fő)</t>
  </si>
  <si>
    <t>Tervezett átlagos statisztikai állományi létszám (fő)</t>
  </si>
  <si>
    <t>Nyitólétszám (az időszak első napján munkavégzésre irányuló jogviszonyban állók statisztikai állományi létszáma) (fő)</t>
  </si>
  <si>
    <t>Munkajogi nyitólétszám (az időszak első napján munkaviszonyban állók létszáma) (fő)</t>
  </si>
  <si>
    <t>018030                             Támogatási célú finanszírozási műveletek</t>
  </si>
  <si>
    <t>Dunaharaszti Város Önkormányzata létszám</t>
  </si>
  <si>
    <t>006                          Előző évi hátralék</t>
  </si>
  <si>
    <t>Vegyes (előző évi maradvány: 018030)</t>
  </si>
  <si>
    <t>111                                                       Továbbszámlázás bevétele és kiadása</t>
  </si>
  <si>
    <t>006                                                         Nyári napközis tábor</t>
  </si>
  <si>
    <t>104042                                                     Család és gyermekjóléti szolgáltatások</t>
  </si>
  <si>
    <t>006                                Damjanich u. 32.                                        Orvosi rendelő</t>
  </si>
  <si>
    <t>018                                                        Nyári napközi étkezés</t>
  </si>
  <si>
    <t>007                                   Fő út 35. Gyermekorvosi rendelő</t>
  </si>
  <si>
    <t>082044                                           Könyvtári szolgáltatások</t>
  </si>
  <si>
    <t>007                              Könyvtári elkülönített SZJA 1%-os számla</t>
  </si>
  <si>
    <t>016030</t>
  </si>
  <si>
    <t>Dunaharaszti Polgármesteri Hivatal (anyakönyv)</t>
  </si>
  <si>
    <t>107051</t>
  </si>
  <si>
    <t>Dunaharaszti Területi Gondozási Központ (Szociális étkeztetés)</t>
  </si>
  <si>
    <t>Dunaharaszti Területi Gondozási Központ (Damjanich u. 32.)</t>
  </si>
  <si>
    <t>Dunaharaszti Területi Gondozási Központ (Fő út 35. Gyermekorvosi rendelő)</t>
  </si>
  <si>
    <t>072420</t>
  </si>
  <si>
    <t>Dunaharaszti Területi Gondozási Központ (Eü-i labor)</t>
  </si>
  <si>
    <t>072450</t>
  </si>
  <si>
    <t>Dunaharaszti Területi Gondozási Központ (Fizikotherápia)</t>
  </si>
  <si>
    <t>Ágazati pótlék, bérkompenzáció, személyi juttatás és járulék tartalék</t>
  </si>
  <si>
    <t>104037                                                               Intézményen kívüli gyermekétkeztetés</t>
  </si>
  <si>
    <t>072440                                      Mentés</t>
  </si>
  <si>
    <t>068                                             Közműfejlesztési hozzájárulás</t>
  </si>
  <si>
    <t>052080                        Szennyvízcsatorna építése, fenntartása, üzemeltet.                                                    063080                                       Vízellátással lapcsolatos közmű építése, fenntart.</t>
  </si>
  <si>
    <t>087                             Elektromos autó töltőállomás</t>
  </si>
  <si>
    <t>Települési támogatás</t>
  </si>
  <si>
    <t>Rendszeres települési támogatás gyógyszerköltségre</t>
  </si>
  <si>
    <t>060</t>
  </si>
  <si>
    <t xml:space="preserve">052020                                         Szennyvíz gyűjtése, tisztítása, elhelyezése </t>
  </si>
  <si>
    <t xml:space="preserve">DMTK részére nyújtott támogatások </t>
  </si>
  <si>
    <t>020                  Önkormányzati igazgatás</t>
  </si>
  <si>
    <t xml:space="preserve">215                                                   Rendszeres települési támogatás ápolás céljára </t>
  </si>
  <si>
    <t>Egyéb önkormányzati feladatok támogatása</t>
  </si>
  <si>
    <t>Lakott külterülettel kapcsolatos feladatok támogatása</t>
  </si>
  <si>
    <t>Szolidaritási hozzájárulás</t>
  </si>
  <si>
    <t>Szociális segítés</t>
  </si>
  <si>
    <t>085</t>
  </si>
  <si>
    <t>007                                                       Ingatlanfejlesztések (Ingatlan vásárlás)</t>
  </si>
  <si>
    <t xml:space="preserve"> ebből: Önkormányzati igazgatás</t>
  </si>
  <si>
    <t>020</t>
  </si>
  <si>
    <t xml:space="preserve">    Ebből: működési célú intézményfinanszírozás bevétele</t>
  </si>
  <si>
    <t xml:space="preserve">    Ebből: felhalmozási célú intézményfinanszírozás bevétele</t>
  </si>
  <si>
    <t>107060                                                                                                Egyes szociális pénzbeli és természetbeni ellátások, támogatások</t>
  </si>
  <si>
    <t>013320</t>
  </si>
  <si>
    <t xml:space="preserve"> ebből: Iskolai intézményi étkeztetés</t>
  </si>
  <si>
    <t>018020                                                     Központi költségvetési befizetések</t>
  </si>
  <si>
    <t>104031</t>
  </si>
  <si>
    <t xml:space="preserve"> 063080                                       Vízellátással kapcsolatos közmű építése, fenntart.</t>
  </si>
  <si>
    <t>063080</t>
  </si>
  <si>
    <t>052080                        Szennyvízcsatorna építése, fenntartása, üzemeltet.</t>
  </si>
  <si>
    <t>Ebből: elvonások és befizetések</t>
  </si>
  <si>
    <t xml:space="preserve"> Ebből: elvonások és befizetések</t>
  </si>
  <si>
    <t>VÁROSI SZINTŰ ÖNKORMÁNYZATI SEGÉLYEK MINDÖSSZESEN</t>
  </si>
  <si>
    <t xml:space="preserve">Normatíva felülvizsgálat tartalék </t>
  </si>
  <si>
    <t xml:space="preserve">    Ebből: működési célú intézményfinanszírozás kiadása</t>
  </si>
  <si>
    <t xml:space="preserve">    Ebből: felhalmozási célú intézményfinanszírozás kiadása</t>
  </si>
  <si>
    <t>104035</t>
  </si>
  <si>
    <t>102031</t>
  </si>
  <si>
    <t>096015</t>
  </si>
  <si>
    <t>096025</t>
  </si>
  <si>
    <t>082091</t>
  </si>
  <si>
    <t>Dunaharaszti Család- és Gyermekjóléti Szolgálat (Gyermekjóléti)</t>
  </si>
  <si>
    <t>Dunaharaszti Család- és Gyermekjóléti Szolgálat (Családsegítő)</t>
  </si>
  <si>
    <t xml:space="preserve">  Ebből: működési célú pénzeszköz átadások, támogatások</t>
  </si>
  <si>
    <t xml:space="preserve">  Ebből: működési tartalékok</t>
  </si>
  <si>
    <t xml:space="preserve">  Ebből: elvonások és befizetések</t>
  </si>
  <si>
    <t xml:space="preserve">  Ebből: felhalmozási célú pénzeszköz átadások, támogatások</t>
  </si>
  <si>
    <t xml:space="preserve">    Ebből: államháztartáson belüli megelőlegezések</t>
  </si>
  <si>
    <t>066020                                   Város-, községgazdálkodási egyéb szolgáltatások  043610                       Egyéb energiaipar igazgatása és támogatása</t>
  </si>
  <si>
    <t>091140                                      Óvodai nevelés, ellátás működtetési feladatai</t>
  </si>
  <si>
    <t>063                                  Művészeti Alkotótábor</t>
  </si>
  <si>
    <t xml:space="preserve">   Ebből: működési célú pénzeszköz átadások, támogatások</t>
  </si>
  <si>
    <t xml:space="preserve">   Ebből: elvonások és befizetések</t>
  </si>
  <si>
    <t xml:space="preserve">   Ebből: működési tartalékok</t>
  </si>
  <si>
    <t xml:space="preserve">   Ebből: felhalmozási célú pénzeszköz átadások, támogatások</t>
  </si>
  <si>
    <t xml:space="preserve">   Ebből: hitelfelvétel</t>
  </si>
  <si>
    <t xml:space="preserve">    Ebből: államháztartáson belüli megelőlegezések </t>
  </si>
  <si>
    <t>004                                                 Helytörténeti emléktár</t>
  </si>
  <si>
    <t>003                                  Közművelődési tevékenység</t>
  </si>
  <si>
    <t xml:space="preserve">002                               Laffert-kúria </t>
  </si>
  <si>
    <t>082091                             Közművelődés- közösségi és társadalmi részvétel fejlesztése</t>
  </si>
  <si>
    <t>082063                                   Múzeumi kiállító tevékenység</t>
  </si>
  <si>
    <t>003                        Százszorszép Óvoda</t>
  </si>
  <si>
    <t>002                               Szivárvány Óvoda</t>
  </si>
  <si>
    <t>045120</t>
  </si>
  <si>
    <t>064010</t>
  </si>
  <si>
    <t xml:space="preserve">Közvilágítás bővítése lakossági igény szerint </t>
  </si>
  <si>
    <t>Választott tisztségviselők (polgármester és képviselők) eszközfejlesztés</t>
  </si>
  <si>
    <t>033</t>
  </si>
  <si>
    <t>Köztéri szemétgyűjtők beszerzése</t>
  </si>
  <si>
    <t>051030</t>
  </si>
  <si>
    <t>047120</t>
  </si>
  <si>
    <t>Temetkezés eszközbeszerzés</t>
  </si>
  <si>
    <t>Városi szintű gyesen, gyeden lévő munkavállalók visszatérési tartaléka</t>
  </si>
  <si>
    <t>Dunaharaszti Szivárvány Óvoda (Szivárvány)</t>
  </si>
  <si>
    <t>Dunaharaszti Szivárvány Óvoda (Százszorszép)</t>
  </si>
  <si>
    <t>005                               Előző évekről hozott hátralék</t>
  </si>
  <si>
    <t>Dunaharaszti Városi Könyvtár (Könyvtári szolgáltatás)</t>
  </si>
  <si>
    <t>Dunaharaszti József Attila Művelődési Ház (Laffert-kúria)</t>
  </si>
  <si>
    <t>Dunaharaszti József Attila Művelődési Ház (Közművelődési tevékenység)</t>
  </si>
  <si>
    <t>082030</t>
  </si>
  <si>
    <t>Dunaharaszti Szivárvány Óvoda</t>
  </si>
  <si>
    <t>Dunaharaszti József Attila Művelődési Ház</t>
  </si>
  <si>
    <t>084032</t>
  </si>
  <si>
    <t>Bölcsőde, mini bölcsőde támogatása</t>
  </si>
  <si>
    <t>Felsőfokú végzettségű kisgyermeknevelők, szaktanácsadók bértámogatása</t>
  </si>
  <si>
    <t>Bölcsődei dajkák, középfokú végzettségű kisgyermeknevelők, szaktanácsadók bértámogatása</t>
  </si>
  <si>
    <t>Gyermekétkeztetés támogatása méltányossági alapon, tartósan beteg gyermekek étkeztetési támogatása</t>
  </si>
  <si>
    <t xml:space="preserve">Roma Nemzetiségi Önkormányzat </t>
  </si>
  <si>
    <t>002                                           Idősek nappali ellátása</t>
  </si>
  <si>
    <t>Dunaharaszti Mese Óvoda (Mese)</t>
  </si>
  <si>
    <t>Dunaharaszti Mese Óvoda (Napsugár)</t>
  </si>
  <si>
    <t>ebből: Sportcsarnok</t>
  </si>
  <si>
    <t>Dunaharaszti Városi Könyvtár</t>
  </si>
  <si>
    <t xml:space="preserve"> ebből: Gyermekjóléti szolgáltatás és Családsegítés</t>
  </si>
  <si>
    <t xml:space="preserve"> ebből: Laffert-kúria</t>
  </si>
  <si>
    <t xml:space="preserve"> ebből: Helytörténeti emléktár</t>
  </si>
  <si>
    <t>-</t>
  </si>
  <si>
    <t>Mályvavirág Központ (Alapítvány) támogatása</t>
  </si>
  <si>
    <t>004                                        Városgazdálkodási feladatok</t>
  </si>
  <si>
    <t>066020                                 Város- és községgazdálkodási egyéb szolgáltatás</t>
  </si>
  <si>
    <t>013350</t>
  </si>
  <si>
    <t>045160                                     Közutak, hidak, alagutak üzemeltetése, fenntartása</t>
  </si>
  <si>
    <t>005                                                 Előző évekről hozott hátralék</t>
  </si>
  <si>
    <t xml:space="preserve">    Ebbő: felhalmozási célú intézményfinanszírozás bevétele</t>
  </si>
  <si>
    <t>003                        Gyermekek egyéb ellátása                             (régi)</t>
  </si>
  <si>
    <t>004                        Gyermekek egyéb ellátása                                     (új tagbölcsőde)</t>
  </si>
  <si>
    <t>031030</t>
  </si>
  <si>
    <t>halasztott</t>
  </si>
  <si>
    <t>Bárka Alapítvány</t>
  </si>
  <si>
    <t>Beszélj Velem Alapítvány</t>
  </si>
  <si>
    <t>Péter Cerny Alapítvány</t>
  </si>
  <si>
    <t>004                        Szivárvány Óvoda SNI</t>
  </si>
  <si>
    <t>Nemzetiségi pótlék</t>
  </si>
  <si>
    <t>102023                                     Időskorúak tartós bentlakásos ellátása</t>
  </si>
  <si>
    <t>052                        Lakásgazdál-kodással kapcsolatos feladatok</t>
  </si>
  <si>
    <t>082063</t>
  </si>
  <si>
    <t>Dunaharaszti József Attila Művelődési Ház (Helytörténeti emléktár)</t>
  </si>
  <si>
    <t>088</t>
  </si>
  <si>
    <t>Vis maior tartalék</t>
  </si>
  <si>
    <t xml:space="preserve"> ebből: Hétszínvirág Óvoda sajátos nevelési igényű gyerekekkel foglalkozók</t>
  </si>
  <si>
    <t>003                                        Városgazdálkodási feladatok</t>
  </si>
  <si>
    <t>Városi civil sport- és kulturális rendezvények kiadásainak valamint DMTK-n kívüli sportegyesületek kiadásainak finanszírozási kerete</t>
  </si>
  <si>
    <r>
      <t xml:space="preserve">037                           </t>
    </r>
    <r>
      <rPr>
        <sz val="12"/>
        <color indexed="17"/>
        <rFont val="Garamond"/>
        <family val="1"/>
        <charset val="238"/>
      </rPr>
      <t xml:space="preserve"> </t>
    </r>
    <r>
      <rPr>
        <sz val="12"/>
        <color indexed="17"/>
        <rFont val="Garamond"/>
        <family val="1"/>
        <charset val="238"/>
      </rPr>
      <t xml:space="preserve"> </t>
    </r>
    <r>
      <rPr>
        <sz val="12"/>
        <rFont val="Garamond"/>
        <family val="1"/>
        <charset val="238"/>
      </rPr>
      <t xml:space="preserve">Társulások tagdíjai, Alsófalusi Nyugdíjasklub, </t>
    </r>
    <r>
      <rPr>
        <sz val="12"/>
        <color indexed="8"/>
        <rFont val="Garamond"/>
        <family val="1"/>
        <charset val="238"/>
      </rPr>
      <t>Városi ösztöndíj</t>
    </r>
  </si>
  <si>
    <t>040                                                Terület előkészítés, földmérés és eljárási díjak</t>
  </si>
  <si>
    <t>101221                                     Fogyatékossággal élők nappali ellátása</t>
  </si>
  <si>
    <t>Építési beruházásokhoz tartaléka</t>
  </si>
  <si>
    <t>Civil szervezetek, egyházak támogatása és helyi DMTK keretein kívül működő egyéb sportok támogatása (civil pályázat)</t>
  </si>
  <si>
    <r>
      <t xml:space="preserve">049          </t>
    </r>
    <r>
      <rPr>
        <sz val="12"/>
        <color indexed="53"/>
        <rFont val="Garamond"/>
        <family val="1"/>
        <charset val="238"/>
      </rPr>
      <t xml:space="preserve">     </t>
    </r>
    <r>
      <rPr>
        <sz val="12"/>
        <color indexed="8"/>
        <rFont val="Garamond"/>
        <family val="1"/>
        <charset val="238"/>
      </rPr>
      <t>Közterületi feladatok, közterületi kamerák</t>
    </r>
  </si>
  <si>
    <t>009                                                   Közúti káresemények térítése</t>
  </si>
  <si>
    <t>011 Továbbszámlázás bevétele és kiadása</t>
  </si>
  <si>
    <t>021                           P+R parkolók fenntartása</t>
  </si>
  <si>
    <t>022                                           Utcanévtáblák, gyepmester, városi közkutak</t>
  </si>
  <si>
    <t>023                              Intézményi zöldterület ad hoc feladatainak ellátása</t>
  </si>
  <si>
    <t>024                                        Városi településfejlesztési koncepció, településszerkezeti terv</t>
  </si>
  <si>
    <t>025                              "Várossá válás" szeptemberi ünnepsége</t>
  </si>
  <si>
    <t>028               Fásítási program</t>
  </si>
  <si>
    <r>
      <t>060                                               Sportcsarnok működtetése</t>
    </r>
    <r>
      <rPr>
        <sz val="12"/>
        <color indexed="10"/>
        <rFont val="Garamond"/>
        <family val="1"/>
        <charset val="238"/>
      </rPr>
      <t/>
    </r>
  </si>
  <si>
    <t>050                             Rendőrségi feladatok</t>
  </si>
  <si>
    <t>061                                             Mobil jégpálya üzemeltetése</t>
  </si>
  <si>
    <t>064                                       Városi munkavállalók munka-egészségügyi felülvizsgálata</t>
  </si>
  <si>
    <t>069                                 Szennyvíz bérleti díj felhasználás előző évekről (Szennyvíz)</t>
  </si>
  <si>
    <t>070                                   Szennyvíz bérleti díj felhasználás előző évekről (Ivóvíz)</t>
  </si>
  <si>
    <t>075                Átmeneti bentlakásos otthonban elhelyezés</t>
  </si>
  <si>
    <t>077                                     Fogyatékossággal élők nappali ellátása</t>
  </si>
  <si>
    <t>076                                            Mentési pont</t>
  </si>
  <si>
    <t>079                                     Köznevelési intézmények 1-4. évfolyamával kapcsolatos feladatok</t>
  </si>
  <si>
    <t>080                                     Köznevelési intézmények 5-8. évfolyamával kapcsolatos feladatok</t>
  </si>
  <si>
    <t>093                 Bölcsődei feladatok</t>
  </si>
  <si>
    <t>094                 Művelődési házzal kapcsolatos feladatok</t>
  </si>
  <si>
    <t>095                                               Könyvtári feladatok</t>
  </si>
  <si>
    <t>096                                   Óvodai feladatok</t>
  </si>
  <si>
    <t>099                                         Szolidaritási hozzájárulás</t>
  </si>
  <si>
    <t xml:space="preserve">   203                                           Köztemetés</t>
  </si>
  <si>
    <t>205                                                 Gyermekétkeztetési támogatás</t>
  </si>
  <si>
    <t xml:space="preserve">  206                                                     Hátrányos helyzetű gyermekek üdültetése</t>
  </si>
  <si>
    <t xml:space="preserve">210                                   Téli rezsicsökkentésben korábban nem részesültek" Tűzifa támogatása </t>
  </si>
  <si>
    <t>302                                    Első lakáshoz jutók támogatása</t>
  </si>
  <si>
    <t>303                                    Egyházak eszközfejlesztésének támogatása</t>
  </si>
  <si>
    <t xml:space="preserve">    304                                                DMTK támogatása</t>
  </si>
  <si>
    <t xml:space="preserve"> 305                                      DMTK támogatása</t>
  </si>
  <si>
    <t>307                                 Polgárőr Egyesület támogatása</t>
  </si>
  <si>
    <t>309                                           Helyi tömegközlekedés támogatása</t>
  </si>
  <si>
    <t xml:space="preserve">  310                                     Bursa Hungarica ösztöndíj</t>
  </si>
  <si>
    <t>311                                                Nemzetiségi Önkormányzatok támogatása</t>
  </si>
  <si>
    <t>313                                 Haraszti Fraxinus Kft.</t>
  </si>
  <si>
    <t>015                            Egyéb adóbevételek</t>
  </si>
  <si>
    <t>014                        Egyéb bevételek</t>
  </si>
  <si>
    <t>012        Felh.c.kölcsön visszatérülése munkavállalótól</t>
  </si>
  <si>
    <t>a)  ellátottak térítési díjának,  kártérítésének méltányossági alapon történő elengedésének összege</t>
  </si>
  <si>
    <t>sorszám</t>
  </si>
  <si>
    <t>Szervezet neve</t>
  </si>
  <si>
    <t>Eredeti Támogatásértékű működési kiadás</t>
  </si>
  <si>
    <t>Eredeti                   Működési célú pénzeszköz átadás államháztartáson kívülre</t>
  </si>
  <si>
    <t>Halasztott tételek</t>
  </si>
  <si>
    <t>Feladat típusa</t>
  </si>
  <si>
    <t>Szociális (Gondozási Központ)</t>
  </si>
  <si>
    <t>Szociális (Városi Bölcsőde)</t>
  </si>
  <si>
    <t>Közoktatás</t>
  </si>
  <si>
    <t>Összesen:</t>
  </si>
  <si>
    <t>b)  lakosság részére lakásépítéshez, lakásfelújításhoz nyújtott kölcsönök elengedésének összege nemleges</t>
  </si>
  <si>
    <t xml:space="preserve">c)  a helyi adónál, gépjárműadónál biztosított kedvezmény, mentesség összege adónemenként </t>
  </si>
  <si>
    <t>Építményadó</t>
  </si>
  <si>
    <t>Telekadó</t>
  </si>
  <si>
    <t>Kommunális adó</t>
  </si>
  <si>
    <t>Iparűzési adó</t>
  </si>
  <si>
    <t>Gépjárműadó</t>
  </si>
  <si>
    <t>Késedelmi pótlék</t>
  </si>
  <si>
    <t>Bírság</t>
  </si>
  <si>
    <t>d)  a helyiségek, eszközök hasznosításából származó bevételből nyújtott kedvezmény, mentesség összege</t>
  </si>
  <si>
    <t>Közterület rendjének fenntartása</t>
  </si>
  <si>
    <t>Önkormányzati tulajdonban álló helyiségek</t>
  </si>
  <si>
    <t>e) az egyéb nyújtott kedvezmény vagy kölcsön elengedésének összege nemleges</t>
  </si>
  <si>
    <t>Magyar Államkincstárnál vezetett Bölcsődei pályázathoz kapcsolódó számla</t>
  </si>
  <si>
    <t>Részletezőkód száma és megnevezése</t>
  </si>
  <si>
    <t>Részletezőkód</t>
  </si>
  <si>
    <t>működés</t>
  </si>
  <si>
    <t>felhalmozás</t>
  </si>
  <si>
    <t>kiadás</t>
  </si>
  <si>
    <t>bevétel</t>
  </si>
  <si>
    <t>finanszírozás</t>
  </si>
  <si>
    <t>066020                                            Város-, község-gazdálkodási egyéb szolgáltatások</t>
  </si>
  <si>
    <t>045                            Szünidei  veszélyforrások</t>
  </si>
  <si>
    <t>057                          Dunaharaszti Hírek és információs kiadványok</t>
  </si>
  <si>
    <t>091140                       Óvodai nevelés, ellátás működtetési feladatai</t>
  </si>
  <si>
    <t>091220                                              Köznevelési intézmények 1-4. évfolyamán tanulók nevelésével, oktatásával összefüggő működtetési feladatok</t>
  </si>
  <si>
    <t>092120                                Köznevelési intézmények 5-8. évfolyamán tanulók nevelésével, oktatásával összefüggő működtetési feladatok</t>
  </si>
  <si>
    <t>092260                                        Gimnázium és szakközépiskola tanulóinak közismeret és szakmai elméleti oktatásával összefüggő működtetési feladatok</t>
  </si>
  <si>
    <t>081                                Gimnáziumi feladatok</t>
  </si>
  <si>
    <t>082                                     Pedagógiai szakszolgálati feladatok</t>
  </si>
  <si>
    <t>098022                                  Pedagógiai szakszolgáltató tevékenység működtetési feladatai</t>
  </si>
  <si>
    <t>53.</t>
  </si>
  <si>
    <t>55.</t>
  </si>
  <si>
    <t>70.</t>
  </si>
  <si>
    <t>73.</t>
  </si>
  <si>
    <t>74.</t>
  </si>
  <si>
    <t>77.</t>
  </si>
  <si>
    <t>78.</t>
  </si>
  <si>
    <t>87.</t>
  </si>
  <si>
    <t>88.</t>
  </si>
  <si>
    <t>89.</t>
  </si>
  <si>
    <t>90.</t>
  </si>
  <si>
    <t>91.</t>
  </si>
  <si>
    <t>92.</t>
  </si>
  <si>
    <t>94.</t>
  </si>
  <si>
    <t>101.</t>
  </si>
  <si>
    <t>304</t>
  </si>
  <si>
    <t>305</t>
  </si>
  <si>
    <t>311</t>
  </si>
  <si>
    <t>070</t>
  </si>
  <si>
    <t>Részle-  tező- kód</t>
  </si>
  <si>
    <t>Részle- tező- kód</t>
  </si>
  <si>
    <t>316                                 Hátrányos helyzetű gyermekek nyelvoktatása</t>
  </si>
  <si>
    <t>003                                    Gyermekek átmeneti otthona</t>
  </si>
  <si>
    <t>004                                    Hátrányos helyzetű gyermekek, fiatalok …</t>
  </si>
  <si>
    <t>005                                   Szünidei étkezés</t>
  </si>
  <si>
    <t>K-915 Központi, irányítószervi támogatás folyósítása</t>
  </si>
  <si>
    <t>204                                             Rendszeres települési támogatás gyógyszerköltségre</t>
  </si>
  <si>
    <t xml:space="preserve">    306                                                                                               Civil szervezetek támogatása</t>
  </si>
  <si>
    <t xml:space="preserve">    306                                                                                                                                                                                                         Civil szervezetek támogatása </t>
  </si>
  <si>
    <t xml:space="preserve"> 312                                                                   KisDuna TV-től műsoridő vásárlás, támogatása</t>
  </si>
  <si>
    <t>091120</t>
  </si>
  <si>
    <t>072210</t>
  </si>
  <si>
    <t>Működési célú visszatérítendő támogatások, kölcsönök nyújtása államháztartáson kívülre</t>
  </si>
  <si>
    <t>K-508</t>
  </si>
  <si>
    <t>Biztos bevétel</t>
  </si>
  <si>
    <t>Bizonytalan bevétel</t>
  </si>
  <si>
    <t>K-66</t>
  </si>
  <si>
    <t>ebből: meglévő részesedések növeléséhez kapcsolódó kiadások</t>
  </si>
  <si>
    <t>102.</t>
  </si>
  <si>
    <t>103.</t>
  </si>
  <si>
    <t>104.</t>
  </si>
  <si>
    <t>109.</t>
  </si>
  <si>
    <t>110.</t>
  </si>
  <si>
    <t>105.</t>
  </si>
  <si>
    <t>106.</t>
  </si>
  <si>
    <t>107.</t>
  </si>
  <si>
    <t>108.</t>
  </si>
  <si>
    <t>111.</t>
  </si>
  <si>
    <t>112.</t>
  </si>
  <si>
    <t>113.</t>
  </si>
  <si>
    <t>114.</t>
  </si>
  <si>
    <t>115.</t>
  </si>
  <si>
    <t>116.</t>
  </si>
  <si>
    <t>117.</t>
  </si>
  <si>
    <t>118.</t>
  </si>
  <si>
    <t>119.</t>
  </si>
  <si>
    <t>120.</t>
  </si>
  <si>
    <t>121.</t>
  </si>
  <si>
    <t>122.</t>
  </si>
  <si>
    <t>123.</t>
  </si>
  <si>
    <t>124.</t>
  </si>
  <si>
    <t>125.</t>
  </si>
  <si>
    <t>126.</t>
  </si>
  <si>
    <t>127.</t>
  </si>
  <si>
    <t>138.</t>
  </si>
  <si>
    <t>137.</t>
  </si>
  <si>
    <t>136.</t>
  </si>
  <si>
    <t>134.</t>
  </si>
  <si>
    <t>133.</t>
  </si>
  <si>
    <t>131.</t>
  </si>
  <si>
    <t>129.</t>
  </si>
  <si>
    <t>128.</t>
  </si>
  <si>
    <t>130.</t>
  </si>
  <si>
    <t>Felhalmozási célú kölcsön nyújtása munkavállalónak</t>
  </si>
  <si>
    <t>132.</t>
  </si>
  <si>
    <t>131                   Tájház felújítása</t>
  </si>
  <si>
    <t>135.</t>
  </si>
  <si>
    <t>139.</t>
  </si>
  <si>
    <t>140.</t>
  </si>
  <si>
    <t>141.</t>
  </si>
  <si>
    <t>083                             Alapfokú Művészet-oktatási feladatok</t>
  </si>
  <si>
    <t>Dunaharaszti Hétszínvirág Óvoda (Hétszínvirág SNI)</t>
  </si>
  <si>
    <t>039</t>
  </si>
  <si>
    <t>081061</t>
  </si>
  <si>
    <t>I. világháborús hadi síremlék felújítása</t>
  </si>
  <si>
    <t xml:space="preserve">   Ebből: Magyar Államkötvény eladás, Betétfelbontás</t>
  </si>
  <si>
    <t xml:space="preserve">   Ebből: Magyar Államkötvény vásárlás, Betétlekötés</t>
  </si>
  <si>
    <t>066010                                   Zöldterület-kezelés</t>
  </si>
  <si>
    <t>066010                                        Zöldterület-kezelés</t>
  </si>
  <si>
    <t>502                                              Bizonytalan bevételek (előző évekről hozott hátralék)</t>
  </si>
  <si>
    <t>Tartalék összege</t>
  </si>
  <si>
    <t xml:space="preserve">     Ebből: államháztartáson belüli megelőlegezések visszafizetése</t>
  </si>
  <si>
    <t>Dunaharaszti Mese Óvoda (SNI)</t>
  </si>
  <si>
    <t>Városi dolgozók jutalom kerete</t>
  </si>
  <si>
    <t>Városi pedagógusok (iskolák) jutalmazási kerete</t>
  </si>
  <si>
    <t>056</t>
  </si>
  <si>
    <t>Útépítési tervek, műszaki ellenőrzés, eljárási díjak, engedélyek</t>
  </si>
  <si>
    <t>Csapadékvíz elvezetési tervek, műszaki ellenőrzés, eljárási díjak, engedélyek</t>
  </si>
  <si>
    <t>Tréningsorozat óvónők számára és szülők klubja</t>
  </si>
  <si>
    <t>költelező</t>
  </si>
  <si>
    <t>111</t>
  </si>
  <si>
    <t>112</t>
  </si>
  <si>
    <t>006                                                 Támogatások elszámolása</t>
  </si>
  <si>
    <t>005                                              Támogatások elszámolása</t>
  </si>
  <si>
    <t>004                                              Zöld Óvoda</t>
  </si>
  <si>
    <t>007                                                Rendészet</t>
  </si>
  <si>
    <t>Köztisztviselők egészségügyi ellátása</t>
  </si>
  <si>
    <t>032                                            Szelektív hulladékgyűjtés és zöldhulladék gyűjtés</t>
  </si>
  <si>
    <t>Halasztott</t>
  </si>
  <si>
    <t>035                                             Csapadékvíz-belvíz üzemeltetés; Kül- és belterületi nyílt ár- és belvízelvezető rendszer üzemeltetése;E-közműrendszer üzemeltetése</t>
  </si>
  <si>
    <t>097                                Kábítószer Egyeztető Fórum</t>
  </si>
  <si>
    <t xml:space="preserve">Dunaharaszti Területi Gondozási Központ (Egyéb járóbeteg) </t>
  </si>
  <si>
    <t xml:space="preserve">036                                      Vagyongazd. Kiadások (Közbeszerzés kiadásai; vagyonbiztosítás; energetikai tanácsadás; GDPR megfelelés; DHRV Kft. Végelsz.bev.) </t>
  </si>
  <si>
    <t>092                          Innovatív fejlesztések (E-városom, Haraszti kártya)</t>
  </si>
  <si>
    <t>034                                                        Helyi közutak fenntartása, rendkívüli síkosság mentesítés</t>
  </si>
  <si>
    <t>Kiegészítő támogatás a pedagógusok és a pedagógus szakképzettséggel rendelkező
segítők minősítéséből adódó többletkiadásokhoz</t>
  </si>
  <si>
    <t xml:space="preserve">    Ebből: működési célú maradvány</t>
  </si>
  <si>
    <t xml:space="preserve">    Ebből: felhalmozási célú maradvány</t>
  </si>
  <si>
    <t>113                                   Új iskola 1-4. évfolyamával kapcsolatos feladatok</t>
  </si>
  <si>
    <t>114                                     Új iskola 5-8. évfolyamával kapcsolatos feladatok</t>
  </si>
  <si>
    <t>115                           Új iskola Alapfokú Művészetoktatási feladatok</t>
  </si>
  <si>
    <t>005                                  Támogatások elszámolása</t>
  </si>
  <si>
    <t>Magyar Államkincstárnál vezetett Épületenergetikai pályázathoz kapcsolódó számla</t>
  </si>
  <si>
    <t>040</t>
  </si>
  <si>
    <t>041160</t>
  </si>
  <si>
    <t>042                                                  Közterület használat, Reklámtábla</t>
  </si>
  <si>
    <t xml:space="preserve"> ebből: Rendészet</t>
  </si>
  <si>
    <t>006                               Előző évekről hozott hátralék</t>
  </si>
  <si>
    <t>Előző évekről hozott bevételi hátralékok forrása (kiadási oldala 502 részletezőkód)</t>
  </si>
  <si>
    <t>B1-B8</t>
  </si>
  <si>
    <t>072111                                                   Háziorvosi alapellátás</t>
  </si>
  <si>
    <t>064010                                        Közvilágítás</t>
  </si>
  <si>
    <t>066010                                              Zöldterület-kezelés</t>
  </si>
  <si>
    <t>086030                                           Nemzetközi kulturális együttműködés</t>
  </si>
  <si>
    <t>074011                                       Foglalkozás-egészségügyi alapellátások</t>
  </si>
  <si>
    <t>082030                                   Művészeti tevékenységek (kivéve: színház)</t>
  </si>
  <si>
    <t>104031                                    Gyermekek bölcsődében és mini bölcsődében történő ellátása</t>
  </si>
  <si>
    <t>081045                                Szabadidősport- (rekreációs sport-) tevékenység és támogatása</t>
  </si>
  <si>
    <t>081045                                      Szabadidősport- (rekreációs sport-) tevékenység és támogatása</t>
  </si>
  <si>
    <t>900020 Önkormányzati funkcióra nem sorolható bevételei államháztartáson kívülről</t>
  </si>
  <si>
    <t>107051                               Szociális étkeztetés szociális konyhán</t>
  </si>
  <si>
    <t>900020                                                    Önkormányzhati funkcióra nem sorolható bevételei államháztartáson kívülről</t>
  </si>
  <si>
    <t>082043                              Könyvtári állomány feltárása, megőrzése, védelme</t>
  </si>
  <si>
    <t>008                              Közvilágítási  bővítések, átépítések (lakossági kérésre; új vezérlés kiépítése)</t>
  </si>
  <si>
    <t>95.</t>
  </si>
  <si>
    <t>Dunaharaszti Család- és Gyermekjóléti Szolgálat (Nyári napközis tábor)</t>
  </si>
  <si>
    <t>Ingatlanértékesítések bevételi tartaléka</t>
  </si>
  <si>
    <t>Önkormányzati igazgatás</t>
  </si>
  <si>
    <t>Óvodák játszóeszköz fejlesztése</t>
  </si>
  <si>
    <t xml:space="preserve">074040                                                                                   Fertőző megbetegedések megelőzése, járványügyi ellátás </t>
  </si>
  <si>
    <t>100                                         Koronavírus járvánnyal kapcsolatos kiadások</t>
  </si>
  <si>
    <t>Intézményi zöldterületek ad-hoc feladatai</t>
  </si>
  <si>
    <t>Okoszebrák</t>
  </si>
  <si>
    <t>Járdaépítések (lakossági)</t>
  </si>
  <si>
    <t xml:space="preserve">Földárok építése </t>
  </si>
  <si>
    <t xml:space="preserve">Burkolt árok építése </t>
  </si>
  <si>
    <t>013                                 Tárgyi eszköz értékesítés (Ingatlanok is)</t>
  </si>
  <si>
    <t>089                                       ÁFA bevallás bevétel és kiadás (telekeladások ÁFA befizetése)</t>
  </si>
  <si>
    <t>Népszámlálás tartalék</t>
  </si>
  <si>
    <t>013210        Átfogó tervezési és statisztikai szolgáltatások</t>
  </si>
  <si>
    <t>010 Népszámlálás</t>
  </si>
  <si>
    <t>Jogcímszám</t>
  </si>
  <si>
    <t>2. számú melléklet 1. A települési önkormányzatok általános működésének és ágazati feladatainak támogatása</t>
  </si>
  <si>
    <t>1.1.</t>
  </si>
  <si>
    <t>A TELEPÜLÉSI ÖNKORMÁNYZATOK MŰKÖDÉSÉNEK ÁLTALÁNOS TÁMOGATÁSA</t>
  </si>
  <si>
    <t>1.1.1.</t>
  </si>
  <si>
    <t>A települési önkormányzatok működésének támogatása</t>
  </si>
  <si>
    <t>Önkormányzati hivatal működésének támogatása</t>
  </si>
  <si>
    <t>1.1.1.2</t>
  </si>
  <si>
    <t>Településüzemeltetés- zöldterület gazdálkodás támogatása</t>
  </si>
  <si>
    <t>1.1.1.3</t>
  </si>
  <si>
    <t>Településüzemeltetés- közvilágítás támogatása</t>
  </si>
  <si>
    <t>1.1.1.4</t>
  </si>
  <si>
    <t>Településüzemeltetés- köztemető támogatása</t>
  </si>
  <si>
    <t>1.1.1.5</t>
  </si>
  <si>
    <t>Településüzemeltetés- közutak támogatása</t>
  </si>
  <si>
    <t>1.1.1.6</t>
  </si>
  <si>
    <t>1.1.1.7</t>
  </si>
  <si>
    <t>1.2</t>
  </si>
  <si>
    <t>1.2.1</t>
  </si>
  <si>
    <t>Óvodaműködtetési támogatás - óvoda napi nyitvatartási ideje eléri a nyolc órát</t>
  </si>
  <si>
    <t>1.2.2</t>
  </si>
  <si>
    <t>Az óvodában foglalkoztatott pedagógusok átlagbéralapú támogatása</t>
  </si>
  <si>
    <t>Napi nyolc órát elérő nyitvatartási idővel rendelkező óvodában foglalkoztatott pedagógusok átlagbéralapú támogatása</t>
  </si>
  <si>
    <t>1.2.3</t>
  </si>
  <si>
    <t>1.2.3.1</t>
  </si>
  <si>
    <t>Minősítést 2020. január 1-jéig történő átsorolással megszerző</t>
  </si>
  <si>
    <t>1.2.3.1.1.</t>
  </si>
  <si>
    <t xml:space="preserve">Napi nyolc órát elérő nyitvatartási idővel rendelkező óvodában foglalkoztatott </t>
  </si>
  <si>
    <t>1.2.3.1.1.1.</t>
  </si>
  <si>
    <t>Alapfokozatú végzettségű</t>
  </si>
  <si>
    <t>Pedagógus II. kategóriába sorolt pedagógusok, pedagógus szakképzettséggel rendelkező segítők kiegészítő támogatása</t>
  </si>
  <si>
    <t>Mesterpedagógus, kutatótanár kategóriába sorolt pedagógusok kiegészítő támogatása</t>
  </si>
  <si>
    <t>1.2.3.2</t>
  </si>
  <si>
    <t>Minősítést 2021. január 1-jéig történő átsorolással megszerző</t>
  </si>
  <si>
    <t>1.2.3.2.1</t>
  </si>
  <si>
    <t>1.2.3.2.1.1.</t>
  </si>
  <si>
    <t>1.2.3.2.1.1.2.</t>
  </si>
  <si>
    <t>1.2.4.</t>
  </si>
  <si>
    <t>1.2.4.1.</t>
  </si>
  <si>
    <t>1.2.4.1.1</t>
  </si>
  <si>
    <t>A köznevelési Kjtvhr.16.§(6) bekezdése a) pont ac) alpontja és b) pontja alapján nemzetiségi pótlékban részesülő pedagógus</t>
  </si>
  <si>
    <t>1.2.4.1.2</t>
  </si>
  <si>
    <t>A köznevelési Kjtvhr.16.§(6) bekezdése a) pont ab) alpontja alapján nemzetiségi pótlékban részesülő pedagógus</t>
  </si>
  <si>
    <t>1.2.4.1.3.</t>
  </si>
  <si>
    <t>A köznevelési Kjtvhr.16.§(6) bekezdése a) pont aa) alpontja alapján nemzetiségi pótlékban részesülő pedagógus</t>
  </si>
  <si>
    <t>1.2.5</t>
  </si>
  <si>
    <t>Az óvodában foglalkoztatott pedagógusok nevelőmunkáját
közvetlenül segítők átlagbéralapú támogatása</t>
  </si>
  <si>
    <t>1.2.5.1</t>
  </si>
  <si>
    <t>Pedagógus szakképzettséggel nem rendelkező segítők átlagbéralapú támogatása</t>
  </si>
  <si>
    <t>1.2.5.1.2</t>
  </si>
  <si>
    <t>Pedagógus szakképzettséggel rendelkező segítők átlagbéralapú támogatása</t>
  </si>
  <si>
    <t>1.3</t>
  </si>
  <si>
    <t>A TELEPÜLÉSI ÖNKORMÁNYZATOK EGYES SZOCIÁLIS ÉS GYERMEKJÓLÉTI FELADATAINAK TÁMOGATÁSA</t>
  </si>
  <si>
    <t>1.3.1</t>
  </si>
  <si>
    <t>A települési önkormányzatok szociális és gyermekjóléti feladatainak egyéb támogatása</t>
  </si>
  <si>
    <t>1.3.2</t>
  </si>
  <si>
    <t>Egyes szociális és gyermekjőléti  feladatok támogatása</t>
  </si>
  <si>
    <t>Család- és gyermekjóléti szolgálat</t>
  </si>
  <si>
    <t>1.3.2.3</t>
  </si>
  <si>
    <t>Szociális étkeztetés -önálló feladatellátás</t>
  </si>
  <si>
    <t>1.3.2.4</t>
  </si>
  <si>
    <t>1.3.2.4.1</t>
  </si>
  <si>
    <t>Személyi gondozás -önálló feladatellátás</t>
  </si>
  <si>
    <t>1.3.2.6</t>
  </si>
  <si>
    <t>Időskorúak nappali intézményi ellátása -önálló feladatellátás</t>
  </si>
  <si>
    <t>1.3.3</t>
  </si>
  <si>
    <t>1.3.3.1</t>
  </si>
  <si>
    <t>Bölcsődei bértámogatás</t>
  </si>
  <si>
    <t>1.3.3.2</t>
  </si>
  <si>
    <t>Bölcsődei üzemeltetési támogatás (miniszteri döntés függvénye)</t>
  </si>
  <si>
    <t>1.4</t>
  </si>
  <si>
    <t>A TELEPÜLÉSI ÖNKORMÁNYZATOK GYERMEKÉTKEZTETÉSI FELADATAINAK TÁMOGATÁSA</t>
  </si>
  <si>
    <t>1.4.1</t>
  </si>
  <si>
    <t>Intézményi gyermekétkeztetés támogatása</t>
  </si>
  <si>
    <t>Intézményi  gyermekétkeztetés -bértámogatás</t>
  </si>
  <si>
    <t>1.4.1.2.</t>
  </si>
  <si>
    <t>Intézményi  gyermekétkeztetés - üzemeltetési támogatás (miniszteri döntés függvénye)</t>
  </si>
  <si>
    <t>1.4.2</t>
  </si>
  <si>
    <t>Szünidei étkeztetés támogatása</t>
  </si>
  <si>
    <t>1.5</t>
  </si>
  <si>
    <t>Bevételek</t>
  </si>
  <si>
    <t xml:space="preserve">Működési bevételek </t>
  </si>
  <si>
    <t xml:space="preserve"> ebből: költségvetési működési bevételek</t>
  </si>
  <si>
    <t xml:space="preserve"> ebből: költségvetési működési kiadások</t>
  </si>
  <si>
    <t xml:space="preserve"> ebből: költségvetési felhalmozási bevételek</t>
  </si>
  <si>
    <t xml:space="preserve"> ebből: költségvetési felhalmozási kiadások</t>
  </si>
  <si>
    <t xml:space="preserve">    Ebből: működési célú pénzmaradvány</t>
  </si>
  <si>
    <t xml:space="preserve">   Ebből: államháztartáson belüli megelőlegezések visszafizetése</t>
  </si>
  <si>
    <t xml:space="preserve">    Ebből: felhalmozási célú pénzmaradvány</t>
  </si>
  <si>
    <t xml:space="preserve">   Ebből működési célú intézményfinanszírozás kiadása</t>
  </si>
  <si>
    <t xml:space="preserve">   Ebből felhalmozási célú intézményfinanszírozás kiadása</t>
  </si>
  <si>
    <t xml:space="preserve">    Ebből: Hitelfelvétel</t>
  </si>
  <si>
    <t xml:space="preserve">    Ebből: Magyar Államkötvény vásárlás</t>
  </si>
  <si>
    <t xml:space="preserve">    Ebből: Magyar Államkötvény eladás</t>
  </si>
  <si>
    <t xml:space="preserve">    Ebből:  államháztartáson belüli megelőlegezések visszafizetése</t>
  </si>
  <si>
    <t>Eredeti</t>
  </si>
  <si>
    <t>Költségvetési működési bevételek</t>
  </si>
  <si>
    <t>Költségvetési működési kiadások</t>
  </si>
  <si>
    <t>Költségvetési működési egyenleg</t>
  </si>
  <si>
    <t>Költségvetési felhalmozási bevételek</t>
  </si>
  <si>
    <t>Költségvetési felhalmozási kiadások</t>
  </si>
  <si>
    <t>Költségvetési felhalmozási egyenleg</t>
  </si>
  <si>
    <t>Költségvetési egyenleg (Költségvetési működési egyenleg + Költségvetési felhalmozási egyenleg)</t>
  </si>
  <si>
    <t>Finanszírozási egyenleg (Finanszírozási bevétel - Finanszírozási kiadás)</t>
  </si>
  <si>
    <t>2020. évi költségvetés egyenlege (Költségvetési egyenleg + Finanszírozási egyenleg)</t>
  </si>
  <si>
    <t xml:space="preserve"> Rovat megnevezése</t>
  </si>
  <si>
    <t>Rovat sorszáma</t>
  </si>
  <si>
    <t>2021. év</t>
  </si>
  <si>
    <t>2022. év</t>
  </si>
  <si>
    <t>2023. év</t>
  </si>
  <si>
    <t>Egyéb felhalmozási célú kiadások</t>
  </si>
  <si>
    <t xml:space="preserve"> Ebből: költségvetési működési kiadások</t>
  </si>
  <si>
    <t xml:space="preserve"> Ebből: költségvetési felhalmozási kiadások</t>
  </si>
  <si>
    <t xml:space="preserve">  Ebből működési célú intézményfinanszírozás kiadása</t>
  </si>
  <si>
    <t xml:space="preserve">  Ebből felhalmozási célú intézményfinanszírozás kiadása</t>
  </si>
  <si>
    <t xml:space="preserve"> Ebből: hitelfelvétellel kapcsolatos kiadások</t>
  </si>
  <si>
    <t xml:space="preserve"> Ebből: Magyar Államkötvény vásárlás</t>
  </si>
  <si>
    <t>Közhatalmi bevételek</t>
  </si>
  <si>
    <t>Felhalmozási célú átvett pénzeszközök</t>
  </si>
  <si>
    <t xml:space="preserve"> Ebből: költségvetési működési bevételek</t>
  </si>
  <si>
    <t xml:space="preserve"> Ebből: költségvetési felhalmozási bevételek</t>
  </si>
  <si>
    <t xml:space="preserve">  Ebből működési célú pénzmaradvány</t>
  </si>
  <si>
    <t xml:space="preserve">  Ebből felhalmozási célú pénzmaradvány</t>
  </si>
  <si>
    <t xml:space="preserve">  Ebből működési célú intézményfinanszírozás bevétele</t>
  </si>
  <si>
    <t xml:space="preserve">  Ebből felhalmozási célú intézményfinanszírozás bevétele</t>
  </si>
  <si>
    <t xml:space="preserve">  Ebből: Hitelfelvétel</t>
  </si>
  <si>
    <t xml:space="preserve">  Ebből: Magyar Államkötvény vásárlás</t>
  </si>
  <si>
    <t xml:space="preserve">  Ebből: államháztartáson belüli megelőlegezések</t>
  </si>
  <si>
    <t xml:space="preserve">* A kiugró változás oka az előző évhez képest: </t>
  </si>
  <si>
    <t>2. sor A személyi juttatásokkal együtt nő.</t>
  </si>
  <si>
    <t>Dunaharaszti Város Önkormányzat  2020., 2021., 2022., 2023. és 2024. évre tervezett működési, felhalmozási kiadásainak és bevételeinek bemutatása (Ft-ban)</t>
  </si>
  <si>
    <t>2020. év                               eredeti előirányzat</t>
  </si>
  <si>
    <t>2021. év eredeti előirányzat</t>
  </si>
  <si>
    <t>Változás 2021./2020.</t>
  </si>
  <si>
    <t>2024. év</t>
  </si>
  <si>
    <t>2021. évi költségvetés egyenlege (Költségvetési egyenleg + Finanszírozási egyenleg)</t>
  </si>
  <si>
    <t>Többéves kihatással járó döntések számszerűsítése évenkénti bontásban és összesítve célok szerint</t>
  </si>
  <si>
    <t>Kötelezettség jogcíme</t>
  </si>
  <si>
    <t>Köt. váll.
 éve</t>
  </si>
  <si>
    <t>Kiadás vonzata évenként</t>
  </si>
  <si>
    <t>Támogatási összeg</t>
  </si>
  <si>
    <t>eltérés</t>
  </si>
  <si>
    <t>2020.</t>
  </si>
  <si>
    <t>2021.</t>
  </si>
  <si>
    <t>2022.</t>
  </si>
  <si>
    <t>A</t>
  </si>
  <si>
    <t>B</t>
  </si>
  <si>
    <t>C</t>
  </si>
  <si>
    <t>D</t>
  </si>
  <si>
    <t>E</t>
  </si>
  <si>
    <t>F</t>
  </si>
  <si>
    <t>G</t>
  </si>
  <si>
    <t>H</t>
  </si>
  <si>
    <t>I=(D+E+F+G+H)</t>
  </si>
  <si>
    <t>Működési célú finanszírozási kiadások
(hiteltörlesztés, értékpapír vásárlás, stb.)</t>
  </si>
  <si>
    <t>Felhalmozási célú finanszírozási kiadások
(hiteltörlesztés, értékpapír vásárlás, stb.)</t>
  </si>
  <si>
    <t>7.2 hitelcél: Közoktatási feladatellátás int…</t>
  </si>
  <si>
    <t>2013</t>
  </si>
  <si>
    <t>5.1 hitelcél: Helyi közutak építése, felújítása</t>
  </si>
  <si>
    <t>2014</t>
  </si>
  <si>
    <t>6.3 hitelcél: Csapadék-vízelvezetés</t>
  </si>
  <si>
    <t>Beruházási kiadások beruházásonként</t>
  </si>
  <si>
    <t>2019</t>
  </si>
  <si>
    <t>Felújítási kiadások felújításonként</t>
  </si>
  <si>
    <t>járulék</t>
  </si>
  <si>
    <t>Egyéb (Pl.: garancia és kezességvállalás, stb.)</t>
  </si>
  <si>
    <t>Összesen (1+2+3+4+5)</t>
  </si>
  <si>
    <t>2021. év előtti kifizetés</t>
  </si>
  <si>
    <t>2023.</t>
  </si>
  <si>
    <t>2023. év után</t>
  </si>
  <si>
    <t>Dunaharaszti Város Önkormányzata célhitelei, egyéb fejlesztési hitelei</t>
  </si>
  <si>
    <t>Célhitel (OTP)</t>
  </si>
  <si>
    <t>Mind-összesen 
(hitelek)</t>
  </si>
  <si>
    <t>Hitel felvétel folyamatban</t>
  </si>
  <si>
    <t>Hitel célja</t>
  </si>
  <si>
    <t>7.2 hitelcél: Közoktatási feladatellátás int….</t>
  </si>
  <si>
    <t>5.1 hitelcél: Helyi közútak építése, felújítása</t>
  </si>
  <si>
    <t>6.3 hitelcél: Csapadék - vízelvezetés</t>
  </si>
  <si>
    <t>Hitelszerződés kelte</t>
  </si>
  <si>
    <t>Kötelezettségvállalás száma</t>
  </si>
  <si>
    <t>Felvétel éve</t>
  </si>
  <si>
    <t>2013.07.03-2017.05.31.</t>
  </si>
  <si>
    <t>2014.12.10-2017.12.30</t>
  </si>
  <si>
    <t>Kamat mértéke</t>
  </si>
  <si>
    <t>3 havi BUBOR + MFB refinanszírozási kamatfelár + OTP kamatfelár 2,5 %</t>
  </si>
  <si>
    <t>Biztosíték, jelzálog, óvadék</t>
  </si>
  <si>
    <t>Évek</t>
  </si>
  <si>
    <t>Törlesztések</t>
  </si>
  <si>
    <t>2014.**</t>
  </si>
  <si>
    <t>2015.</t>
  </si>
  <si>
    <t>2016.</t>
  </si>
  <si>
    <t>2017. évi 2018-ban terhelt</t>
  </si>
  <si>
    <t>2018.</t>
  </si>
  <si>
    <t>2018. évi 2019-ben terhelt</t>
  </si>
  <si>
    <t>2019.</t>
  </si>
  <si>
    <t>2024.</t>
  </si>
  <si>
    <t>2025.</t>
  </si>
  <si>
    <t>2026.</t>
  </si>
  <si>
    <t>2027.</t>
  </si>
  <si>
    <t>2028.</t>
  </si>
  <si>
    <t>2029.</t>
  </si>
  <si>
    <t>2030.</t>
  </si>
  <si>
    <t>2031.</t>
  </si>
  <si>
    <t>2032.</t>
  </si>
  <si>
    <t>2033.</t>
  </si>
  <si>
    <t>2034.</t>
  </si>
  <si>
    <t>2035.</t>
  </si>
  <si>
    <t>2036.</t>
  </si>
  <si>
    <t>2037.</t>
  </si>
  <si>
    <t>2038.</t>
  </si>
  <si>
    <t>*RKO2; RKO1: 3 havi EURIBOR + az MFB refinanszírozási kamatfelár</t>
  </si>
  <si>
    <t>** konszolidált összeg</t>
  </si>
  <si>
    <t>2025. év</t>
  </si>
  <si>
    <t>2026. év</t>
  </si>
  <si>
    <t>2027. év</t>
  </si>
  <si>
    <t>2028. év</t>
  </si>
  <si>
    <t>2029. év</t>
  </si>
  <si>
    <t>2030. év</t>
  </si>
  <si>
    <t>2031. év</t>
  </si>
  <si>
    <t>2032. év</t>
  </si>
  <si>
    <t>2033. év</t>
  </si>
  <si>
    <t>2034. év</t>
  </si>
  <si>
    <t>2035. év</t>
  </si>
  <si>
    <t>2036. év</t>
  </si>
  <si>
    <t>2037. év</t>
  </si>
  <si>
    <t>2038. év</t>
  </si>
  <si>
    <t>Helyi adók</t>
  </si>
  <si>
    <t>Osztalékok, koncessziós díjak, hozambevételek</t>
  </si>
  <si>
    <t>Díjak, pótlékok, bírságok</t>
  </si>
  <si>
    <t>Tárgyi eszközök, immateriális javak, vagyoni értékű jog értékesítése, vagyonhasznosításból származó bevétel</t>
  </si>
  <si>
    <t>Részvények, részesedések értékesítése</t>
  </si>
  <si>
    <t>Vállalat értékesítéséből, privatizációból származó bevételek</t>
  </si>
  <si>
    <t>Kezességvállalással kapcsolatos megtérülés</t>
  </si>
  <si>
    <t>Saját bevételek (01.+…+07.)</t>
  </si>
  <si>
    <t xml:space="preserve">Saját bevételek (08. sor) 50 %-a </t>
  </si>
  <si>
    <t>Előző év(ek)ben keletkezett tárgyévet terhelő fizetési kötelezettség (11+14+…+20)</t>
  </si>
  <si>
    <t>Hitelből eredő fizetési kötelezettség (12+13)</t>
  </si>
  <si>
    <t xml:space="preserve">   - ebből: Tőketörlesztés (12.a.+12.b.+12.c.)</t>
  </si>
  <si>
    <t>12.a.</t>
  </si>
  <si>
    <t xml:space="preserve">        1-2-13-8400-1237-9-01 hitelszerződés: 2014. évi útépítések</t>
  </si>
  <si>
    <t>12.b.</t>
  </si>
  <si>
    <t xml:space="preserve">        1-2-13-8400-1237-9-01/1 hitelszerződés: 2014. évi csapadékvíz elvezetések</t>
  </si>
  <si>
    <t>12.c.</t>
  </si>
  <si>
    <t xml:space="preserve">       ÖB 8400 2013 0098 hitelszerződés: Szivárvány Óvoda építése</t>
  </si>
  <si>
    <t xml:space="preserve">   - ebből: Kamatfizetés (13.a.+13.b.+13.c.)</t>
  </si>
  <si>
    <t>13.a.</t>
  </si>
  <si>
    <t>13.b.</t>
  </si>
  <si>
    <t>13.c.</t>
  </si>
  <si>
    <t>Kölcsönből eredő fizetési kötelezettség</t>
  </si>
  <si>
    <t>Hitelviszonyt megtestesítő értékpapírból eredő fizetési kötelezettség</t>
  </si>
  <si>
    <t>Adott váltóból eredő fizetési kötelezettség</t>
  </si>
  <si>
    <t>Pénzügyi lízingből eredő fizetési kötelezettség</t>
  </si>
  <si>
    <t>Halasztott fizetés, részletfizetés fizetési kötelezettsége</t>
  </si>
  <si>
    <t>Szerződésben kikötött visszavásárlási kötelezettség</t>
  </si>
  <si>
    <t>Kezesség-, és garanciavállalásból eredő fizetési kötelezettség</t>
  </si>
  <si>
    <t>Tárgyévben keletkezett illetve keletkező, tárgyévet terhelő fizetési kötelezettség (22+25+…+33)</t>
  </si>
  <si>
    <t>Hitelből eredő fizetési kötelezettség (23+24)</t>
  </si>
  <si>
    <t xml:space="preserve">   - ebből: Tőketörlesztés (23.a.+23.b.+23.c.)</t>
  </si>
  <si>
    <t>23.a.</t>
  </si>
  <si>
    <t>23.b.</t>
  </si>
  <si>
    <t>23.c.</t>
  </si>
  <si>
    <t xml:space="preserve">   - ebből: Kamatfizetés (24.a.+24.b.+24.c.)</t>
  </si>
  <si>
    <t>24.a.</t>
  </si>
  <si>
    <t>24.b.</t>
  </si>
  <si>
    <t>24.c.</t>
  </si>
  <si>
    <t>Fizetési kötelezettség összesen (10+21)</t>
  </si>
  <si>
    <t>Fizetési kötelezettséggel csökkentett saját bevétel (9-38)</t>
  </si>
  <si>
    <t>1. sor</t>
  </si>
  <si>
    <t>051 nem lakásc. Önk ing</t>
  </si>
  <si>
    <t>3. sor PMH B355 és B36</t>
  </si>
  <si>
    <t>TelekDÓ</t>
  </si>
  <si>
    <t>052 lakás</t>
  </si>
  <si>
    <t>119 egyéb adóbev Bírság pólék</t>
  </si>
  <si>
    <t>Kommadó</t>
  </si>
  <si>
    <t>053 Laffert</t>
  </si>
  <si>
    <t>Összesen2015</t>
  </si>
  <si>
    <t>Idegenforg.adó</t>
  </si>
  <si>
    <t>054 Sírhely</t>
  </si>
  <si>
    <t>069 szennyv bérleti díj</t>
  </si>
  <si>
    <t>Nettó</t>
  </si>
  <si>
    <t>köv években Br 142840 nettó 112472000</t>
  </si>
  <si>
    <t>előző évi hátralék</t>
  </si>
  <si>
    <t>Mese</t>
  </si>
  <si>
    <t>előző évi hátralék Önk</t>
  </si>
  <si>
    <t>Hétszínvirág</t>
  </si>
  <si>
    <t>előző évi hátralék PMH</t>
  </si>
  <si>
    <t>3. sor</t>
  </si>
  <si>
    <t>080 Kőrösi</t>
  </si>
  <si>
    <t>Össesen</t>
  </si>
  <si>
    <t>Egyéb adóbev Pótlék, bírság (119)</t>
  </si>
  <si>
    <t>081 BEG</t>
  </si>
  <si>
    <t>Előző évi egyéb adóbev Pótlék, bírság</t>
  </si>
  <si>
    <t>PMH B3 bírság, elj.díj</t>
  </si>
  <si>
    <t>Mindösszesen</t>
  </si>
  <si>
    <t>Előző évi PMH B3  bírság elj.díj</t>
  </si>
  <si>
    <t>4. sor</t>
  </si>
  <si>
    <t>DPMV is benne van</t>
  </si>
  <si>
    <t>013 Ingatlan ért.</t>
  </si>
  <si>
    <t>036 DHRV végelsz</t>
  </si>
  <si>
    <t>051 Terembér</t>
  </si>
  <si>
    <t>052 Lakás</t>
  </si>
  <si>
    <t>052 előző évi hátralék</t>
  </si>
  <si>
    <t>069, 070, 105 Bérleti díj</t>
  </si>
  <si>
    <t>Művház</t>
  </si>
  <si>
    <t>060 Sportcsarnok</t>
  </si>
  <si>
    <t>PMH TE értékesítés</t>
  </si>
  <si>
    <t>Hétszín bérleti díj</t>
  </si>
  <si>
    <t>Mese bérleti díj</t>
  </si>
  <si>
    <t>Művház, Laffert bérl.díj</t>
  </si>
  <si>
    <t>5. sor</t>
  </si>
  <si>
    <t>Részvény értékesítés (112)</t>
  </si>
  <si>
    <t xml:space="preserve">4. </t>
  </si>
  <si>
    <t>Rovat
száma</t>
  </si>
  <si>
    <t>IV.</t>
  </si>
  <si>
    <t>V.</t>
  </si>
  <si>
    <t>VI.</t>
  </si>
  <si>
    <t>VII.</t>
  </si>
  <si>
    <t>VIII.</t>
  </si>
  <si>
    <t>IX.</t>
  </si>
  <si>
    <t>X.</t>
  </si>
  <si>
    <t>XI.</t>
  </si>
  <si>
    <t>XII.</t>
  </si>
  <si>
    <t>Nyitó pénzkészlet</t>
  </si>
  <si>
    <t xml:space="preserve">Finanszírozási bevételek </t>
  </si>
  <si>
    <t>Tárgy évi bevételek mindösszesen:</t>
  </si>
  <si>
    <t xml:space="preserve">Személyi juttatások </t>
  </si>
  <si>
    <t xml:space="preserve">Ellátottak pénzbeli juttatásai </t>
  </si>
  <si>
    <t xml:space="preserve">Felújítások </t>
  </si>
  <si>
    <t>Költségvetési kiadások</t>
  </si>
  <si>
    <t xml:space="preserve">Finanszírozási kiadások </t>
  </si>
  <si>
    <t>Tárgy évi kiadások mindösszesen:</t>
  </si>
  <si>
    <t>Egyenleg (11-22)</t>
  </si>
  <si>
    <t>Záró pénzkészlet (1+23)</t>
  </si>
  <si>
    <t xml:space="preserve">                                                   Felhasználási ütemterv                     Rovat megnevezése</t>
  </si>
  <si>
    <t>Folyamatban lévő Európai Uniós pályázatok (Ft)</t>
  </si>
  <si>
    <t>EU-s projekt neve, azonosítója:</t>
  </si>
  <si>
    <t>Források</t>
  </si>
  <si>
    <t>Saját erő</t>
  </si>
  <si>
    <t>- saját erőből központi támogatás</t>
  </si>
  <si>
    <t>EU-s forrás</t>
  </si>
  <si>
    <t>Társfinanszírozás</t>
  </si>
  <si>
    <t>Hitel</t>
  </si>
  <si>
    <t>Egyéb forrás</t>
  </si>
  <si>
    <t>Források összesen:</t>
  </si>
  <si>
    <t>Kiadások, költségek</t>
  </si>
  <si>
    <t>Személyi jellegű</t>
  </si>
  <si>
    <t>Dologi jellegű</t>
  </si>
  <si>
    <t>Beruházások, beszerzések</t>
  </si>
  <si>
    <t>Szolgáltatások igénybe vétele</t>
  </si>
  <si>
    <t>Folyamatban lévő (nem EU-s) pályázatok  és támogatások  (Ft)</t>
  </si>
  <si>
    <t>Támogatás célja</t>
  </si>
  <si>
    <t>Támogató szervezet</t>
  </si>
  <si>
    <t>Elnyert támogatás</t>
  </si>
  <si>
    <t>Pénzügyminisztérium</t>
  </si>
  <si>
    <t>ebből: részesedések beszerzése</t>
  </si>
  <si>
    <t>K-65</t>
  </si>
  <si>
    <t>Dunaharaszti Területi Gondozási Központ  (Iskolai intézményi étkeztetés)</t>
  </si>
  <si>
    <t>086                                   Konyhák fejlesztése</t>
  </si>
  <si>
    <t>091</t>
  </si>
  <si>
    <t>091                                        Orvosi Rendelő, Gyermekorvosi rendelő kiadásai</t>
  </si>
  <si>
    <t>111                                        Dunaharaszti Városi Bölcsőde új tagintézmény PM_BOLCSODEFEJLESZTES_2019/20 pályázaton      BELÜLI</t>
  </si>
  <si>
    <t>112                                   Dunaharaszti Városi Bölcsőde új tagintézmény PM_BOLCSODEFEJLESZTES_2019/20 pályázaton      KÍVÜLI</t>
  </si>
  <si>
    <t xml:space="preserve">082044 </t>
  </si>
  <si>
    <t>Dunaharaszti Városi Könyvtár - Könyvtári elkülönített SZJA 1%-os számla</t>
  </si>
  <si>
    <t>039                          Játszóterek felülvizsgálata (Játszóterek eszközfejlesztése)</t>
  </si>
  <si>
    <t xml:space="preserve">Veszélyhelyzet miatti helyi adóbevétel kiesés tartaléka </t>
  </si>
  <si>
    <t>Nem teljesített törlesztések 2020. december 31.</t>
  </si>
  <si>
    <t xml:space="preserve">Záró állomány : 2020.12.31.        </t>
  </si>
  <si>
    <t>ebből: Sajtókapcsolatok</t>
  </si>
  <si>
    <t>038</t>
  </si>
  <si>
    <t>ebből: Posta</t>
  </si>
  <si>
    <t>VIII/6734-2/2020/KOZNEVINT támogatás: tehetséggondozó verseny, környezettudatos nevelési program</t>
  </si>
  <si>
    <t>502  előző évi hátralék</t>
  </si>
  <si>
    <t>042 Közter, reklámtábla</t>
  </si>
  <si>
    <t>041 piac</t>
  </si>
  <si>
    <t>2021. után</t>
  </si>
  <si>
    <t>2021. előtt</t>
  </si>
  <si>
    <t>Emberi Erőforrások Minisztériuma</t>
  </si>
  <si>
    <r>
      <t xml:space="preserve">Dunaharaszti Városi Bölcsőde </t>
    </r>
    <r>
      <rPr>
        <sz val="10"/>
        <rFont val="Garamond"/>
        <family val="1"/>
        <charset val="238"/>
      </rPr>
      <t>új tagintézmény PM_BOLCSODEFEJLESZTES_2019/20</t>
    </r>
  </si>
  <si>
    <t>K48</t>
  </si>
  <si>
    <t>207                                                Krízishelyzet és egyéb szociális célú támogatás</t>
  </si>
  <si>
    <t xml:space="preserve">208                                               Szemétdíj átvállalása rászorultsági alapon </t>
  </si>
  <si>
    <t xml:space="preserve">PM_BOLCSODEFEJLESZTES_2019/20 Dunaharaszti Városi Bölcsőde új tagintézmény </t>
  </si>
  <si>
    <t>Szennyvíz bérleti díj felhasználás előző évek (Szennyvíz)</t>
  </si>
  <si>
    <t xml:space="preserve"> Szennyvíz bérleti díj felhasználás előző évek (Ivóvíz)</t>
  </si>
  <si>
    <t>056                                          Közvilágítás; parkok díszvilágításának karbantartása; karácsonyi díszvilágítás felszerelése, karbantartása; Mért közvil.hálózat üzemeltetése;</t>
  </si>
  <si>
    <t>saját forrás</t>
  </si>
  <si>
    <t>Dunaharaszti Város Önkormányzat saját bevételeinek és a Stabilitási törvény 8. § (2) bekezdése szerinti adósságot keletkeztető ügyleteiből eredő fizetési kötelezettségeinek várható összege a futamidő végéig (Áht. 29/A. §) Ft-ban</t>
  </si>
  <si>
    <t xml:space="preserve">1. sor Tartalmazza a kötelező béremeléseket (garantált bérminimum, szociális ágazati béremelések, egészségügyi dolgozók béremelése)valamint, a Polgármesteri Hivatal költségvetésében a Rendészeti Iroda kialakításával összefüggésben jelentkező bérköltséget.
</t>
  </si>
  <si>
    <t>5. sor Tartalmazza a szolidaritási hozzájárulást. A központi költségvetési támogatási rendszer a Magyarország 2021. évi költségvetéséről szóló 2020. évi XC. törvény szerint átalakult, míg korábban a támogatásoknál beszámították a település fejlettségét, a beszámítás 2021-től megszűnt, ugyanakkor az eddigi szolidaritási hozzájárulás többszörösével számol a központi kormányzat. Az önkormányzat teljes támogatást kap és a hozzájáruláson keresztül érvényesül a pénzügyi helyzet szerinti differenciálás, amely a 2020. évi 431.417.400,- Ft-ról 2021. évben 950.309.686,- Ft-ra emelkedett.</t>
  </si>
  <si>
    <t>14. sor Az előző ponttal összefüggésben a költségvetési törvény 2. számú mellékletének valamennyi jogcíme kapcsán támogatás illeti meg Dunaharaszti Város Önkormányzatát.</t>
  </si>
  <si>
    <t>15. sor A 2021. évben felhasználásra kerülő támogatási összesek 2020. december hónapban befolytak, így azok maradvány felhasználásként kerületek be a költségvetésbe.</t>
  </si>
  <si>
    <t>16. sor A veszélyhelyzetre figyelemmel a jogszabályváltozásokkal és a gazdasági válsággal számolva csökkentésre került az iparüzési adóbevételi előirányzat.</t>
  </si>
  <si>
    <t>17. sor A veszélyhelyzetre figyelemmel az intézmények bérleti díj bevételi előirányzatai csökkentésre kerültek, illetve a 2020. évben a víziközmű bérleti díj 2019. évre eső része is betervezésre és teljesítésre került.</t>
  </si>
  <si>
    <t xml:space="preserve">065                                Park tervezése, szabadidős fejlesztések </t>
  </si>
  <si>
    <t>072112</t>
  </si>
  <si>
    <t>I. Háziorvosi ügyeleti ellátás</t>
  </si>
  <si>
    <t>018030</t>
  </si>
  <si>
    <t>Támogatási célú finanszírozási műveletek</t>
  </si>
  <si>
    <t>Városi dolgozók temetési és gyermekszületési támogatása</t>
  </si>
  <si>
    <t>071                                  Óvodások hallásvizsgálata, szemészeti és orthopédiai vizsgálata, fogászati szűrése</t>
  </si>
  <si>
    <t>Dunaharaszti Város Szerkezeti tervének és Szabályozási tervének digitalizálása, egységes szerkezetbe foglalása (előző évi maradvány: )</t>
  </si>
  <si>
    <t>116</t>
  </si>
  <si>
    <t>116                           Bezerédi Sportpark pályázaton belüli</t>
  </si>
  <si>
    <t>142.</t>
  </si>
  <si>
    <t>052080                                Szennyvízcsatorna építése, fenntartása, üzemeltet.</t>
  </si>
  <si>
    <t>005                                        Szennyvíz beruházások saját forrás</t>
  </si>
  <si>
    <t>006                                        Ivóvíz beruházások saját forrás</t>
  </si>
  <si>
    <t>044                                          Sport-szigeti napközis tábor</t>
  </si>
  <si>
    <t>Intézményi ingatlanokkal kapcsolatos tervezések, műszaki ellenőrzések</t>
  </si>
  <si>
    <t>102031                 Idősek nappali ellátása</t>
  </si>
  <si>
    <t>066                               "D" típusú sportpark</t>
  </si>
  <si>
    <t>062      Hétszínvirág Ó. Bérleti díj</t>
  </si>
  <si>
    <t>Paradicsomsziget Egyesület támogatása</t>
  </si>
  <si>
    <t>144</t>
  </si>
  <si>
    <t>149.</t>
  </si>
  <si>
    <t>150.</t>
  </si>
  <si>
    <t>146                   Szivárvány Óvoda bővítés BELÜLI</t>
  </si>
  <si>
    <t>147                   Szivárvány Óvoda bővítés KÍVÜLI</t>
  </si>
  <si>
    <t>143                 Csónakház bővítés KÍVÜLI</t>
  </si>
  <si>
    <t>142                 Csónakház bővítés BELÜLI</t>
  </si>
  <si>
    <t>Ingatlanvásárlások</t>
  </si>
  <si>
    <t>016020        Országos és helyi népszavazással kapcsolatos tevékenységek</t>
  </si>
  <si>
    <t>Dunaharaszti Város Önkormányzat 2022. évre tervezett működési, felhalmozási bevételeinek és kiadásainak mérlegszerű bemutatása (Ft-ban)</t>
  </si>
  <si>
    <t>2022. évi eredeti előirányzat</t>
  </si>
  <si>
    <t>Dunaharaszti Város Önkormányzat 2022. évi likviditási terve (Ft-ban)</t>
  </si>
  <si>
    <t>Dunaharaszti Város Önkormányzat 2022. évi bevételi és kiadási előirányzatainak felhasználási ütemterve (Ft)</t>
  </si>
  <si>
    <t>2022. évi terv összesen</t>
  </si>
  <si>
    <t>2021. évig befolyt támogatási összeg</t>
  </si>
  <si>
    <t>2022. évben várható támogatási összeg</t>
  </si>
  <si>
    <t>148</t>
  </si>
  <si>
    <t>012        Népszavazás</t>
  </si>
  <si>
    <r>
      <t xml:space="preserve">073                            </t>
    </r>
    <r>
      <rPr>
        <sz val="12"/>
        <color indexed="8"/>
        <rFont val="Garamond"/>
        <family val="1"/>
        <charset val="238"/>
      </rPr>
      <t xml:space="preserve"> </t>
    </r>
    <r>
      <rPr>
        <sz val="12"/>
        <rFont val="Garamond"/>
        <family val="1"/>
        <charset val="238"/>
      </rPr>
      <t>Tüdőszűrés</t>
    </r>
    <r>
      <rPr>
        <sz val="12"/>
        <color indexed="8"/>
        <rFont val="Garamond"/>
        <family val="1"/>
        <charset val="238"/>
      </rPr>
      <t xml:space="preserve">, </t>
    </r>
    <r>
      <rPr>
        <sz val="12"/>
        <rFont val="Garamond"/>
        <family val="1"/>
        <charset val="238"/>
      </rPr>
      <t>Férfi és női lakosság szűrőgizsgálatainak megszervezése</t>
    </r>
  </si>
  <si>
    <t>Beruházások, felújítások műszaki ellenőrzése (műszaki iroda)</t>
  </si>
  <si>
    <t>93.</t>
  </si>
  <si>
    <t>149</t>
  </si>
  <si>
    <t>Parti sétány és tanösvény (kívüli)</t>
  </si>
  <si>
    <t>Parti sétány és tanösvény (belüli) /támogatás: 43.997.512/</t>
  </si>
  <si>
    <t>117                           Bezerédi Sportpark pályázaton kívüli</t>
  </si>
  <si>
    <t>144                   Autotechnika BELÜLI</t>
  </si>
  <si>
    <t>145                   Autotechnika KÍVÜLI</t>
  </si>
  <si>
    <t>Felhalmozási célú támogatások államháztartáson belülről</t>
  </si>
  <si>
    <t>Felhalmozási bevételek</t>
  </si>
  <si>
    <t>Működési célú támogatások államháztartáson belülről</t>
  </si>
  <si>
    <t>Állami támogatás</t>
  </si>
  <si>
    <t>Ukrán menekültek</t>
  </si>
  <si>
    <r>
      <t xml:space="preserve">301                              </t>
    </r>
    <r>
      <rPr>
        <sz val="12"/>
        <color indexed="8"/>
        <rFont val="Garamond"/>
        <family val="1"/>
        <charset val="238"/>
      </rPr>
      <t xml:space="preserve"> Lakossági járdaépítés</t>
    </r>
  </si>
  <si>
    <t>308                                                     Működési támogatás államháztartáson kívülre</t>
  </si>
  <si>
    <t>083050</t>
  </si>
  <si>
    <t>II. Televízió-műsor szolgáltatása és támogatása</t>
  </si>
  <si>
    <t>III. Civil szervezetek működési támogatása</t>
  </si>
  <si>
    <t>IV. Polgári honvédelem ágazati feladatai, a lakosság felkészítése</t>
  </si>
  <si>
    <t>V. Városi és elővárosi közúti személyszállítás</t>
  </si>
  <si>
    <t>069                                   Szennyvíz bérleti díj felhasználás 2023. év (Szennyvíz)</t>
  </si>
  <si>
    <t>070                                   Szennyvíz bérleti díj felhasználás 2023. év                 (Ivóvíz)</t>
  </si>
  <si>
    <t>2023. évben megvalósítható halasztott tételek</t>
  </si>
  <si>
    <t>2023. évi előirányzat</t>
  </si>
  <si>
    <t>2023. évi ütem forrásai</t>
  </si>
  <si>
    <t>Szennyvíz bérleti díj felhasználás 2023. év (Szennyvíz)</t>
  </si>
  <si>
    <t xml:space="preserve"> Szennyvíz bérleti díj felhasználás 2023. év (Ivóvíz)</t>
  </si>
  <si>
    <t>2023. évi állami normatíva mindösszesen szolidaritási hozzájárulás befizetése után</t>
  </si>
  <si>
    <t>Üres álláshelyek 2023.01.01.</t>
  </si>
  <si>
    <t>Dunaharaszti Önkormányzat közvetett támogatásainak részletezése 2023. évben az Ávr.  28 §-a szerint, amelyről rendelkezik az Áht. 24 § (4) bekezdés c) pontja</t>
  </si>
  <si>
    <t>004                                                  Mese Óvoda SNI</t>
  </si>
  <si>
    <r>
      <rPr>
        <sz val="12"/>
        <color indexed="10"/>
        <rFont val="Garamond"/>
        <family val="1"/>
        <charset val="238"/>
      </rPr>
      <t xml:space="preserve">003    </t>
    </r>
    <r>
      <rPr>
        <sz val="12"/>
        <rFont val="Garamond"/>
        <family val="1"/>
        <charset val="238"/>
      </rPr>
      <t xml:space="preserve">                         Hétszínvirág Óvoda SNI</t>
    </r>
  </si>
  <si>
    <t>500                                         Önkormányzati adók (Helyi adóbevételek)</t>
  </si>
  <si>
    <t>Magánszemélyek kommunális adója</t>
  </si>
  <si>
    <t>Idegenforgalmi adó tartózkodás alapján</t>
  </si>
  <si>
    <t>Egyéb adóbevételek (bírság, pótlék)</t>
  </si>
  <si>
    <t>Adóbevételek előző évi hátraléka</t>
  </si>
  <si>
    <t>Anyakönyvi események</t>
  </si>
  <si>
    <t>143.</t>
  </si>
  <si>
    <t>144.</t>
  </si>
  <si>
    <t>145.</t>
  </si>
  <si>
    <t>146.</t>
  </si>
  <si>
    <t>147.</t>
  </si>
  <si>
    <t>148.</t>
  </si>
  <si>
    <t>Önkormányzatok működési támogatásai</t>
  </si>
  <si>
    <t>Elvonások és befizetések bevételei</t>
  </si>
  <si>
    <t>Egyéb működési célú támogatások bevételei államháztartáson belülről</t>
  </si>
  <si>
    <t>B-11</t>
  </si>
  <si>
    <t>B-12</t>
  </si>
  <si>
    <t>B-16</t>
  </si>
  <si>
    <t>A,  Önkormányzat</t>
  </si>
  <si>
    <t>018010</t>
  </si>
  <si>
    <t>Taksony Nagyközség Önkormányzata - Orvosi Ügyeleti Szolgálat hozzájárulás</t>
  </si>
  <si>
    <t>B,  Intézmények</t>
  </si>
  <si>
    <t>NEAK támogatás: Család- és nővédelem egészségügyi gondozás</t>
  </si>
  <si>
    <t>Felhalmozási célú önkormányzati támogatások</t>
  </si>
  <si>
    <t>Egyéb felhalmozási célú támogatások államháztartáson belülről</t>
  </si>
  <si>
    <t>B-21</t>
  </si>
  <si>
    <t>B-25</t>
  </si>
  <si>
    <t>Vagyoni típusú adók</t>
  </si>
  <si>
    <t>Egyéb közhatalmi bevételek</t>
  </si>
  <si>
    <t>B-34</t>
  </si>
  <si>
    <t>B-355</t>
  </si>
  <si>
    <t>B-351</t>
  </si>
  <si>
    <t>B-36</t>
  </si>
  <si>
    <t>500</t>
  </si>
  <si>
    <t>502</t>
  </si>
  <si>
    <t>Állatvédelmi bírság</t>
  </si>
  <si>
    <t>Ingatlanok értékesítése</t>
  </si>
  <si>
    <t>Egyéb tárgyi eszközök értékesítése</t>
  </si>
  <si>
    <t>B-52</t>
  </si>
  <si>
    <t>B-53</t>
  </si>
  <si>
    <t>Egyéb felhalmozási célú támogatások államháztartáson belülre</t>
  </si>
  <si>
    <t>Egyéb felhalmozási célú támogatások államháztartáson kívülre</t>
  </si>
  <si>
    <t>Felhalmozási célú visszatérítendő támogatások, kölcsönök nyújtása államháztartáson kívülre</t>
  </si>
  <si>
    <t>900020</t>
  </si>
  <si>
    <t>Temetkezés gépkocsi átalakítás</t>
  </si>
  <si>
    <t>Időskorúak és rászoruló családok karácsonyi csomagja és rendezvényeik</t>
  </si>
  <si>
    <t>217                                                   Időskorúak és rászoruló családok karácsonyi csomagja és rendezvényeik támogatása</t>
  </si>
  <si>
    <t>Szigetszentmiklósi Szakorvosi Rendelő eszközpark-korszerűsítés támogatása</t>
  </si>
  <si>
    <t>061030</t>
  </si>
  <si>
    <t>018030                                      Támogatási célú finanszírozási műveletek</t>
  </si>
  <si>
    <t>317                               Államháztartáson belüli támogatások</t>
  </si>
  <si>
    <t>A 2022. évi maradvány terhére képzett tartalék</t>
  </si>
  <si>
    <t>Energiaárak emelkedése miatti tartalék</t>
  </si>
  <si>
    <t>400                                                     Hitel és kamattörlesztés és hitel felvétellel kapcsolatos egyéb költségek</t>
  </si>
  <si>
    <t xml:space="preserve"> 501                                        Állami támogatás; Megelőlegezési hitel</t>
  </si>
  <si>
    <t>047               Bezerédi Sportpark és játszótér fenntartása</t>
  </si>
  <si>
    <t>151.</t>
  </si>
  <si>
    <t>152.</t>
  </si>
  <si>
    <t>153.</t>
  </si>
  <si>
    <t>202                                                Települési támogatás</t>
  </si>
  <si>
    <t>154</t>
  </si>
  <si>
    <t>35/2022. (III.28.) sz. Kt. határozat: TOP Plusz-1.2.3-21 pályázat Paál László utca útépítés</t>
  </si>
  <si>
    <t>156</t>
  </si>
  <si>
    <t>36/2022. (III.28.) sz. Kt. határozat: TOP Plusz-3.3.2 pályázat Család- és Gyermekjóléti Szolgálat új épületének építése</t>
  </si>
  <si>
    <t>152</t>
  </si>
  <si>
    <t>37/2022. (III.28.) sz. Kt. határozat: TOP Plusz-1.1.3-21 pályázat Sport-szigeti turizmusfejlesztés</t>
  </si>
  <si>
    <t>140                       Dunaharaszti-Taksony kerékpárút építés BELÜLI (TOP_PLUSZ-1.2.1-21-PT1-2022-00013)</t>
  </si>
  <si>
    <t>141                       Dunaharaszti-Taksony kerékpárút építés KÍVÜLI (TOP_PLUSZ-1.2.1-21-PT1-2022-00013)</t>
  </si>
  <si>
    <t>154.</t>
  </si>
  <si>
    <t>091250                                     Alapfokú művészetoktatással  összefüggő működtetési feladatok</t>
  </si>
  <si>
    <t>051040                     Nem veszélyes hulladék kezelése, ártalmatlanítása</t>
  </si>
  <si>
    <t>052080                   Szennyvízcsatorna építése, fenntartása, üzemeltetése</t>
  </si>
  <si>
    <t>063080                               Vízellátással kapcsolatos közmű építése, fenntartása</t>
  </si>
  <si>
    <t>082064                            Múzeumi, közművelődési, közönségkap-csolati tevékenység</t>
  </si>
  <si>
    <t>031070                           Balesetmegelőzés</t>
  </si>
  <si>
    <t>081061                                      Szabadidős park, fürdő- és strandszolgáltatás</t>
  </si>
  <si>
    <t>081030                                             Sportlétesítmények, edzőtáborok működtet. és fejl.</t>
  </si>
  <si>
    <t>074052    Kábítószermegelőzés programjai, tevékenységei</t>
  </si>
  <si>
    <t>091250                                     Alapfokú művészet-oktatással  összefüggő működtetési feladatok</t>
  </si>
  <si>
    <t>001                                  2023. évi útépítések</t>
  </si>
  <si>
    <t>002                                       2023. évi csap.víz elvezetések</t>
  </si>
  <si>
    <t>018                    Környezetvédelmi program felülvizsgálata</t>
  </si>
  <si>
    <t>030                                        Zöldterület-kezelés</t>
  </si>
  <si>
    <t>051                                                Nem lakáscélú önk. ing.</t>
  </si>
  <si>
    <t xml:space="preserve">900060                               Forgatási és befektetési célú finanszírozási műveletek                                </t>
  </si>
  <si>
    <t>Mennyiségi egység</t>
  </si>
  <si>
    <t>elismert hivatali létszám</t>
  </si>
  <si>
    <t>hektár</t>
  </si>
  <si>
    <t>forint</t>
  </si>
  <si>
    <t>fő</t>
  </si>
  <si>
    <t>számított létszám</t>
  </si>
  <si>
    <t>Dunaharaszti Város Önkormányzat Képviselő-testületének 129/2022. (X.24.) számú határozata: 2534/1 hrsz. ingatlanvásárlás Dunaharaszti Területi Gondozási Központ bővítésére</t>
  </si>
  <si>
    <t>Dunaharaszti Város Önkormányzat Képviselő-testületének 130/2022. (X.24.) számú határozata: 6793/10 hrsz. ingatlanvásárlás Dunaharaszti Területi Gondozási Központ bővítésére</t>
  </si>
  <si>
    <t>Dunaharaszti Város Önkormányzat Képviselő-testületének 39/2022. (III.28.) számú határozata: Ingatlanvásárlások e-MAG szervizút kialakításához</t>
  </si>
  <si>
    <t>Lakossági-közösségi igények tartaléka</t>
  </si>
  <si>
    <t>Fekvőrendőrök kihelyezése</t>
  </si>
  <si>
    <t>Csapadékvíz-beruházások lakossági kérésre</t>
  </si>
  <si>
    <t>Paál László utca közvilágítás kiépítés</t>
  </si>
  <si>
    <t>158/2022. (XI.28.) sz. Kt. határozat: 3766 hrsz. ingatlanértékesítés</t>
  </si>
  <si>
    <t>Életjáradék</t>
  </si>
  <si>
    <r>
      <t xml:space="preserve">164/2022. (XII.21.) sz. Kt. határozat: </t>
    </r>
    <r>
      <rPr>
        <b/>
        <sz val="10"/>
        <rFont val="Garamond"/>
        <family val="1"/>
        <charset val="238"/>
      </rPr>
      <t>KisDuna TV támogatása</t>
    </r>
  </si>
  <si>
    <t>140</t>
  </si>
  <si>
    <t>313</t>
  </si>
  <si>
    <t>082094        Közművelődés-kulturális alapú gazdaságfejlesztés</t>
  </si>
  <si>
    <t>007                                    Kulturális bérfejlesztés támogatása 682/2021. (XII.6.) Korm. r.</t>
  </si>
  <si>
    <t>005                                    Kulturális bérfejlesztés támogatása 682/2021. (XII.6.) Korm. r.</t>
  </si>
  <si>
    <t>027                           "Tavaszi Haraszti Napok" ünnepsége (gyermeknap)</t>
  </si>
  <si>
    <t>3. számú melléklet: A helyi önkormányzatok kiegészítő támogatásai</t>
  </si>
  <si>
    <t>3. számú melléklet összesen</t>
  </si>
  <si>
    <t>I.2.1.9</t>
  </si>
  <si>
    <t>A 10 000 lakos feletti önkormányzatok energiaáremelkedés miatti támogatása</t>
  </si>
  <si>
    <t>I.2.3.3</t>
  </si>
  <si>
    <t>Tepelülési önkormányzatok kulturális feladatainak bérjellegű támogatása</t>
  </si>
  <si>
    <t>Mindösszesen állami támogatás</t>
  </si>
  <si>
    <t>99/2022. (VIII.23.) sz. Kt. határozat Dunaharaszti Városi Bölcsőde új tagintézmény PM_BOLCSODEFEJLESZTES_2019/20,  BELÜLI (2022. évi pályázati forrás 480.000.000,- Ft (FORD. ÁFA)</t>
  </si>
  <si>
    <t>154                      Paál László u. útépítés          BELÜLI</t>
  </si>
  <si>
    <t>155.</t>
  </si>
  <si>
    <t>Pest Vármegyei Rendőr-Főkapitányság túlszolgálat díjazásának támogatása</t>
  </si>
  <si>
    <t>117</t>
  </si>
  <si>
    <t>Bezerédi Sportpark építése kívüli</t>
  </si>
  <si>
    <t>082044                                  Könyvtári szolgáltatások             082094                  Közművelődés-kulturális alapú gazdaságfejlesztés</t>
  </si>
  <si>
    <t>082091                             Közművelődés-közösségi és társadalmi részvétel fejlesztése         082094                  Közművelődés-kulturális alapú gazdaságfejlesztés</t>
  </si>
  <si>
    <t>III. Városgazdálkodás céltartalékai</t>
  </si>
  <si>
    <t>IV. Finanszírozott kör céltartaléka</t>
  </si>
  <si>
    <t>V. Egyéb feladatok</t>
  </si>
  <si>
    <t>VI. Támogatások</t>
  </si>
  <si>
    <t>VII. Önkormányzatok feladatok</t>
  </si>
  <si>
    <t>VIII. Általános tartalék</t>
  </si>
  <si>
    <t>Dunaharaszti Polgármesteri Hivatal (Rendészet)</t>
  </si>
  <si>
    <t>Autótechnika átalakítás</t>
  </si>
  <si>
    <t>Társ. összefogás. megv. közműfejl. lebony</t>
  </si>
  <si>
    <t>Vízi közmű bérleti díj elkül. szla (kiadási oldala 069, 070 részgazda)</t>
  </si>
  <si>
    <t>044</t>
  </si>
  <si>
    <t>Kinizsi utcai szennyvíz nyomóvezeték (előző évi maradvány: 1.187.450,- Ft)</t>
  </si>
  <si>
    <t>Bezerédi Sportpark építése, műszaki ellenőrzése (önrész: 225.007.392,- Ft, támogatás: 329.992.608,- Ft) (előző évi maradvány: 108.267.649,- Ft)</t>
  </si>
  <si>
    <t>Helyi tömegközlekedés támogatása: MÁV átépítés miatti pótjáratok (előző évi maradvány: 2.451.100,- Ft)</t>
  </si>
  <si>
    <t>Helyi tömegközlekedés támogatása (alapfeladat, iskolajárat, Tesco járat) (előző évi maradvány: 635.000,- Ft)</t>
  </si>
  <si>
    <t>Terembura Szerepkör támogatása (előző évi maradvány: 100.000,- Ft polgármesteri tartalékból)</t>
  </si>
  <si>
    <t>HÉSZ, SZT, TSZT módosítás (előző évi maradvány: 1.409.700,-Ft)</t>
  </si>
  <si>
    <t>Lehmann kapitány u. átemelő szivattyú tervezése (előző évi maradvány: 495.300,-Ft)</t>
  </si>
  <si>
    <t xml:space="preserve"> Szennyvíztisztító telep bővítés (előző évi maradvány: 10.795.000,-Ft) </t>
  </si>
  <si>
    <t>Sport-szigeti napközis tábor (előző évi maradvány: 8.172.450,- Ft)</t>
  </si>
  <si>
    <t>Dunaharaszti Városi Bölcsőde új tagintézmény PM_BOLCSODEFEJLESZTES_2019/20 pályázaton KÍVÜLI (előző évi maradvány: 2.586.000,-Ft)</t>
  </si>
  <si>
    <t>017</t>
  </si>
  <si>
    <t>017                            Területi Gondozási Központ - Akácfa u. 2/A.</t>
  </si>
  <si>
    <t>096</t>
  </si>
  <si>
    <t>091140</t>
  </si>
  <si>
    <t>Tulajdonosi bevételek</t>
  </si>
  <si>
    <t>Díjak, pótlékok, bírságok, települési adók</t>
  </si>
  <si>
    <t>Immateriális javak, ingatlanok és egyéb tárgyi eszközök értékesítése</t>
  </si>
  <si>
    <t>Részesedések értékesítése és részesedések megszűnéséhez kapcsolódó bevételek</t>
  </si>
  <si>
    <t>Privatizációból származó bevételek</t>
  </si>
  <si>
    <t>Garancia- és kezességvállalásból származó megtérülések</t>
  </si>
  <si>
    <t>Helyi adóbev</t>
  </si>
  <si>
    <t>2. sor Tulajdonosi bev</t>
  </si>
  <si>
    <t>051 nem lakásc</t>
  </si>
  <si>
    <t>054 sírhely</t>
  </si>
  <si>
    <t>060 sportcsarnok</t>
  </si>
  <si>
    <t>069, 070</t>
  </si>
  <si>
    <t>Helyi tömegközlekedés támogatása: 2023. 06.01. induló új szerződés</t>
  </si>
  <si>
    <t>Dunaharaszti Város Önkormányzat Képviselő-testületének 73/2021. (XI.29.) számú határozata: 6057/5 hrsz. (MÁV-alsó) ingatlanvásárlás</t>
  </si>
  <si>
    <t>Dunaharaszti Város Önkormányzat Képviselő-testületének 80/2021. (XII.3.) számú határozata: 0178/37. hrsz. Paál László utca) ingatlanvásárlás</t>
  </si>
  <si>
    <t>6104 hrsz. (MÁV-alsó) ingatlanvásárlás</t>
  </si>
  <si>
    <t>99/2022. (VIII.23.) sz. Kt. határozat Dunaharaszti Városi Bölcsőde új tagintézmény PM_BOLCSODEFEJLESZTES_2019/20,  BELÜLI (2022. évi pályázati forrás 480.000.000,- Ft műszaki ellenőrzés(előző évi maradvány: 2.654.300,-Ft)</t>
  </si>
  <si>
    <t xml:space="preserve">DMTK sportlétesítmények, edzőtáborok működési támogatása </t>
  </si>
  <si>
    <t>DMTK Versenysport és utánpótlás-nevelési tevékenységek támogatása</t>
  </si>
  <si>
    <t>Dunaharaszti Város Önkormányzat 2023. évre tervezett működési, felhalmozási bevételeinek és kiadásainak mérlegszerű bemutatása (Ft-ban)</t>
  </si>
  <si>
    <t>2023. évi eredeti előirányzat</t>
  </si>
  <si>
    <t>2023. évi költségvetés egyenlege (Költségvetési egyenleg + Finanszírozási egyenleg)</t>
  </si>
  <si>
    <t>VI. Támogatási célú finanszírozási műveletek</t>
  </si>
  <si>
    <t>BMÖFT/6-9/2021. Dunaharaszti, Gyermekorvosi Rendelő fejlesztése (tetőfelújítás)</t>
  </si>
  <si>
    <t>Belügyminisztérium</t>
  </si>
  <si>
    <t>K-Sz-0137/000855/2021
„Dunaharaszti József Attila Művelődési Ház 2330 Dunaharaszti, Táncsics Mihály u. 2. szám alatti épülete tetőszerkezetének felújítása”</t>
  </si>
  <si>
    <t>Emberi Erőforrások Minisztériuma – Nemzeti Művelődési Intézet Nonprofit Közhasznú Kft.</t>
  </si>
  <si>
    <t>Dunaharaszti Város Önkormányzat 2023. évi bevételi és kiadási előirányzatainak felhasználási ütemterve (Ft)</t>
  </si>
  <si>
    <t>Nem teljesített törlesztések 2022. december 31.</t>
  </si>
  <si>
    <t xml:space="preserve">Záró állomány : 2022.12.31.        </t>
  </si>
  <si>
    <t>Dunaharaszti Város Önkormányzat  2022., 2023., 2024., 2025. és 2026. évre tervezett működési, felhalmozási kiadásainak és bevételeinek bemutatása (Ft-ban)</t>
  </si>
  <si>
    <t>2022. év                               eredeti előirányzat</t>
  </si>
  <si>
    <t>2023. év eredeti előirányzat</t>
  </si>
  <si>
    <t>Változás 2022./2023.</t>
  </si>
  <si>
    <t xml:space="preserve">  Ebből működési célú maradvány</t>
  </si>
  <si>
    <t xml:space="preserve">  Ebből felhalmozási célú maradvány</t>
  </si>
  <si>
    <t>2023. év előtti kifizetés</t>
  </si>
  <si>
    <t>2025. év után</t>
  </si>
  <si>
    <t>2022</t>
  </si>
  <si>
    <t>2023. előtt</t>
  </si>
  <si>
    <t xml:space="preserve">TOP_PLUSZ-1.2.1-21-PT1-2022-00013: Dunaharaszti-Taksony kerékpárút építése </t>
  </si>
  <si>
    <t>2023. évben várható támogatási összeg</t>
  </si>
  <si>
    <t xml:space="preserve">1. sor Tartalmazza a kötelező béremeléseket (garantált bérminimum, valamint pedagógus béremelés).
</t>
  </si>
  <si>
    <t>2. sor A növekedés a személyi juttatások emelésével arányos.</t>
  </si>
  <si>
    <t>5. sor A növekedés a szolidaritási hozzájárulás emeléséből adódik.</t>
  </si>
  <si>
    <t>16. sor A közhatalmi bevételek növekedése az adómértékek emeléséből adódik.</t>
  </si>
  <si>
    <t>2022. évig befolyt támogatási összeg</t>
  </si>
  <si>
    <t xml:space="preserve">BMÖFT/1-6/2022.
 Dunaharaszti Városi Bölcsőde fejlesztése (vizesblokk felújítás)
</t>
  </si>
  <si>
    <t>TOP_PLUSZ-1.1.3-21-PT1-2022-00008: Helyi és tértségi turizmusfejlesztés</t>
  </si>
  <si>
    <t>2023. után</t>
  </si>
  <si>
    <t>BMÖGF/1166/2021.  „Bezerédi Szabadidő- és Sportpark kialakítása; tanösvény kialakítása megvalósítása)”</t>
  </si>
  <si>
    <r>
      <t xml:space="preserve">Dunaharaszti-Taksony kerékpárút építése </t>
    </r>
    <r>
      <rPr>
        <sz val="10"/>
        <rFont val="Garamond"/>
        <family val="1"/>
        <charset val="238"/>
      </rPr>
      <t xml:space="preserve">TOP_PLUSZ-1.2.1-21-PT1-2022-00013 </t>
    </r>
  </si>
  <si>
    <t>2021</t>
  </si>
  <si>
    <r>
      <t xml:space="preserve"> </t>
    </r>
    <r>
      <rPr>
        <b/>
        <sz val="10"/>
        <rFont val="Garamond"/>
        <family val="1"/>
        <charset val="238"/>
      </rPr>
      <t xml:space="preserve"> Bezerédi Szabadidő- és Sportpark kialakítása, tanösvény kialakítása megvalósítása</t>
    </r>
    <r>
      <rPr>
        <sz val="10"/>
        <rFont val="Garamond"/>
        <family val="1"/>
        <charset val="238"/>
      </rPr>
      <t xml:space="preserve"> BMÖGF/1166/2021.</t>
    </r>
  </si>
  <si>
    <t>2023</t>
  </si>
  <si>
    <r>
      <t xml:space="preserve">Helyi és tértségi turizmusfejlesztés                       </t>
    </r>
    <r>
      <rPr>
        <sz val="10"/>
        <rFont val="Garamond"/>
        <family val="1"/>
        <charset val="238"/>
      </rPr>
      <t>TOP_PLUSZ-1.1.3-21-PT1-2022-00008</t>
    </r>
  </si>
  <si>
    <t>Pest Vármegyei Rendőr-Főkapitányság gépjármű üzemeltetés támogatása</t>
  </si>
  <si>
    <t xml:space="preserve">  104060   </t>
  </si>
  <si>
    <t>Módosított előirányzat</t>
  </si>
  <si>
    <t>001                                 2023. évi útépítések</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</si>
  <si>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</si>
  <si>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</si>
  <si>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</si>
  <si>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</si>
  <si>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</si>
  <si>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</si>
  <si>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</si>
  <si>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</si>
  <si>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</si>
  <si>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</si>
  <si>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</si>
  <si>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</si>
  <si>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</si>
  <si>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</si>
  <si>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</si>
  <si>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</si>
  <si>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</si>
  <si>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</si>
  <si>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</si>
  <si>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</si>
  <si>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</si>
  <si>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</si>
  <si>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</si>
  <si>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</si>
  <si>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</si>
  <si>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</si>
  <si>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</si>
  <si>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</si>
  <si>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</si>
  <si>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</si>
  <si>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</si>
  <si>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</si>
  <si>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</si>
  <si>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</si>
  <si>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</si>
  <si>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</si>
  <si>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</si>
  <si>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</si>
  <si>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</si>
  <si>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</si>
  <si>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</si>
  <si>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</si>
  <si>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</si>
  <si>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</si>
  <si>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</si>
  <si>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</si>
  <si>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</si>
  <si>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</si>
  <si>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</si>
  <si>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</si>
  <si>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</si>
  <si>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</si>
  <si>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</si>
  <si>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</si>
  <si>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</si>
  <si>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</si>
  <si>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</si>
  <si>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</si>
  <si>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</si>
  <si>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</si>
  <si>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</si>
  <si>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</si>
  <si>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</si>
  <si>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</si>
  <si>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</si>
  <si>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</si>
  <si>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</si>
  <si>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</si>
  <si>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</si>
  <si>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</si>
  <si>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</si>
  <si>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</si>
  <si>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</si>
  <si>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</si>
  <si>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</si>
  <si>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</si>
  <si>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</si>
  <si>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</si>
  <si>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</si>
  <si>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</si>
  <si>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</si>
  <si>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</si>
  <si>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</si>
  <si>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</si>
  <si>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</si>
  <si>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</si>
  <si>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</si>
  <si>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</si>
  <si>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</si>
  <si>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</si>
  <si>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</si>
  <si>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</si>
  <si>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</si>
  <si>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</si>
  <si>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</si>
  <si>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</si>
  <si>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</si>
  <si>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</si>
  <si>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</si>
  <si>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</si>
  <si>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</si>
  <si>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</si>
  <si>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</si>
  <si>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</si>
  <si>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</si>
  <si>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</si>
  <si>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</si>
  <si>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</si>
  <si>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</si>
  <si>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</si>
  <si>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</si>
  <si>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</si>
  <si>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</si>
  <si>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</si>
  <si>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</si>
  <si>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</si>
  <si>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</si>
  <si>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</si>
  <si>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</si>
  <si>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</si>
  <si>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</si>
  <si>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</si>
  <si>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</si>
  <si>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</si>
  <si>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</si>
  <si>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</si>
  <si>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</si>
  <si>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</si>
  <si>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</si>
  <si>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</si>
  <si>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</si>
  <si>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</si>
  <si>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</si>
  <si>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</si>
  <si>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</si>
  <si>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</si>
  <si>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</si>
  <si>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</si>
  <si>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</si>
  <si>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</si>
  <si>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</si>
  <si>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</si>
  <si>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</si>
  <si>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</si>
  <si>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</si>
  <si>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</si>
  <si>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</si>
  <si>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</si>
  <si>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</si>
  <si>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</si>
  <si>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</si>
  <si>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072                        Rota vírus</t>
  </si>
  <si>
    <t>072                              Rota vírus</t>
  </si>
  <si>
    <t>Eredeti normatíva összege</t>
  </si>
  <si>
    <t>Módosított normatíva összege</t>
  </si>
  <si>
    <t>I.12.</t>
  </si>
  <si>
    <t>Szociális ágazati összevont pótlék és egészségügyi kiegészítő pótlék</t>
  </si>
  <si>
    <t>Módosított Támogatásértékű működési kiadás</t>
  </si>
  <si>
    <t>Módosított                 Működési célú pénzeszköz átadás államháztartáson kívülre</t>
  </si>
  <si>
    <t>Módosított                   Működési célú pénzeszköz átadás államháztartáson kívülre</t>
  </si>
  <si>
    <t>Módosított                Működési célú pénzeszköz átadás államháztartáson kívülre</t>
  </si>
  <si>
    <t>2023. évi módosított előirányzat</t>
  </si>
  <si>
    <t>2023. év módosított előirányzat</t>
  </si>
  <si>
    <t>Könyvelési sorszám</t>
  </si>
  <si>
    <t>Költségvetési rendelet mellékletének száma</t>
  </si>
  <si>
    <t>Részgazda száma</t>
  </si>
  <si>
    <t>Növekedés (+) csökkenés (-)</t>
  </si>
  <si>
    <t>KIADÁSOK</t>
  </si>
  <si>
    <t>BEVÉTELEK</t>
  </si>
  <si>
    <r>
      <rPr>
        <b/>
        <sz val="10"/>
        <color indexed="8"/>
        <rFont val="Garamond"/>
        <family val="1"/>
        <charset val="238"/>
      </rPr>
      <t>K1</t>
    </r>
    <r>
      <rPr>
        <sz val="10"/>
        <color indexed="8"/>
        <rFont val="Garamond"/>
        <family val="1"/>
        <charset val="238"/>
      </rPr>
      <t xml:space="preserve">                                               Foglalkoz-tatottak személyi juttatásai</t>
    </r>
  </si>
  <si>
    <r>
      <rPr>
        <b/>
        <sz val="10"/>
        <color indexed="8"/>
        <rFont val="Garamond"/>
        <family val="1"/>
        <charset val="238"/>
      </rPr>
      <t xml:space="preserve">K2 </t>
    </r>
    <r>
      <rPr>
        <sz val="10"/>
        <color indexed="8"/>
        <rFont val="Garamond"/>
        <family val="1"/>
        <charset val="238"/>
      </rPr>
      <t xml:space="preserve">   Munkaadókat terhelő járulékok és szociális hozzájárulási adó</t>
    </r>
  </si>
  <si>
    <r>
      <rPr>
        <b/>
        <sz val="10"/>
        <color indexed="8"/>
        <rFont val="Garamond"/>
        <family val="1"/>
        <charset val="238"/>
      </rPr>
      <t>K3</t>
    </r>
    <r>
      <rPr>
        <sz val="10"/>
        <color indexed="8"/>
        <rFont val="Garamond"/>
        <family val="1"/>
        <charset val="238"/>
      </rPr>
      <t xml:space="preserve">                            Dologi kiadások</t>
    </r>
  </si>
  <si>
    <r>
      <rPr>
        <b/>
        <sz val="10"/>
        <color indexed="8"/>
        <rFont val="Garamond"/>
        <family val="1"/>
        <charset val="238"/>
      </rPr>
      <t xml:space="preserve">K4                                       </t>
    </r>
    <r>
      <rPr>
        <sz val="10"/>
        <color indexed="8"/>
        <rFont val="Garamond"/>
        <family val="1"/>
        <charset val="238"/>
      </rPr>
      <t>Ellátottak pénzbeli juttatásai</t>
    </r>
  </si>
  <si>
    <r>
      <rPr>
        <b/>
        <sz val="10"/>
        <color indexed="8"/>
        <rFont val="Garamond"/>
        <family val="1"/>
        <charset val="238"/>
      </rPr>
      <t xml:space="preserve">K5 </t>
    </r>
    <r>
      <rPr>
        <sz val="10"/>
        <color indexed="8"/>
        <rFont val="Garamond"/>
        <family val="1"/>
        <charset val="238"/>
      </rPr>
      <t xml:space="preserve">                                 Egyéb működési célú kiadások</t>
    </r>
  </si>
  <si>
    <r>
      <rPr>
        <b/>
        <sz val="10"/>
        <color indexed="8"/>
        <rFont val="Garamond"/>
        <family val="1"/>
        <charset val="238"/>
      </rPr>
      <t>K6</t>
    </r>
    <r>
      <rPr>
        <sz val="10"/>
        <color indexed="8"/>
        <rFont val="Garamond"/>
        <family val="1"/>
        <charset val="238"/>
      </rPr>
      <t xml:space="preserve">                                           Beruházások</t>
    </r>
  </si>
  <si>
    <r>
      <rPr>
        <b/>
        <sz val="10"/>
        <color indexed="8"/>
        <rFont val="Garamond"/>
        <family val="1"/>
        <charset val="238"/>
      </rPr>
      <t>K7</t>
    </r>
    <r>
      <rPr>
        <sz val="10"/>
        <color indexed="8"/>
        <rFont val="Garamond"/>
        <family val="1"/>
        <charset val="238"/>
      </rPr>
      <t xml:space="preserve">                                                    Felújítások</t>
    </r>
  </si>
  <si>
    <r>
      <rPr>
        <b/>
        <sz val="10"/>
        <color indexed="8"/>
        <rFont val="Garamond"/>
        <family val="1"/>
        <charset val="238"/>
      </rPr>
      <t xml:space="preserve">K8  </t>
    </r>
    <r>
      <rPr>
        <sz val="10"/>
        <color indexed="8"/>
        <rFont val="Garamond"/>
        <family val="1"/>
        <charset val="238"/>
      </rPr>
      <t xml:space="preserve">             Egyéb felhalmozási célú kiadások</t>
    </r>
  </si>
  <si>
    <r>
      <rPr>
        <b/>
        <sz val="10"/>
        <color indexed="8"/>
        <rFont val="Garamond"/>
        <family val="1"/>
        <charset val="238"/>
      </rPr>
      <t xml:space="preserve">K9  </t>
    </r>
    <r>
      <rPr>
        <sz val="10"/>
        <color indexed="8"/>
        <rFont val="Garamond"/>
        <family val="1"/>
        <charset val="238"/>
      </rPr>
      <t xml:space="preserve">            Finanszírozási kiadások</t>
    </r>
  </si>
  <si>
    <r>
      <rPr>
        <b/>
        <sz val="10"/>
        <color indexed="8"/>
        <rFont val="Garamond"/>
        <family val="1"/>
        <charset val="238"/>
      </rPr>
      <t xml:space="preserve">B1 </t>
    </r>
    <r>
      <rPr>
        <sz val="10"/>
        <color indexed="8"/>
        <rFont val="Garamond"/>
        <family val="1"/>
        <charset val="238"/>
      </rPr>
      <t xml:space="preserve">             Működési célú támogatások államháztartáson belülről</t>
    </r>
  </si>
  <si>
    <r>
      <rPr>
        <b/>
        <sz val="10"/>
        <color indexed="8"/>
        <rFont val="Garamond"/>
        <family val="1"/>
        <charset val="238"/>
      </rPr>
      <t>B2</t>
    </r>
    <r>
      <rPr>
        <sz val="10"/>
        <color indexed="8"/>
        <rFont val="Garamond"/>
        <family val="1"/>
        <charset val="238"/>
      </rPr>
      <t xml:space="preserve">      Felhalmozási célú támogatások államháztartáson belülről</t>
    </r>
  </si>
  <si>
    <r>
      <rPr>
        <b/>
        <sz val="10"/>
        <color indexed="8"/>
        <rFont val="Garamond"/>
        <family val="1"/>
        <charset val="238"/>
      </rPr>
      <t xml:space="preserve">B3                               </t>
    </r>
    <r>
      <rPr>
        <sz val="10"/>
        <color indexed="8"/>
        <rFont val="Garamond"/>
        <family val="1"/>
        <charset val="238"/>
      </rPr>
      <t>Közhatalmi bevételek</t>
    </r>
  </si>
  <si>
    <r>
      <rPr>
        <b/>
        <sz val="10"/>
        <color indexed="8"/>
        <rFont val="Garamond"/>
        <family val="1"/>
        <charset val="238"/>
      </rPr>
      <t xml:space="preserve">B4 </t>
    </r>
    <r>
      <rPr>
        <sz val="10"/>
        <color indexed="8"/>
        <rFont val="Garamond"/>
        <family val="1"/>
        <charset val="238"/>
      </rPr>
      <t xml:space="preserve">                                                     Működési bevételek</t>
    </r>
  </si>
  <si>
    <r>
      <rPr>
        <b/>
        <sz val="10"/>
        <color indexed="8"/>
        <rFont val="Garamond"/>
        <family val="1"/>
        <charset val="238"/>
      </rPr>
      <t xml:space="preserve">B5  </t>
    </r>
    <r>
      <rPr>
        <sz val="10"/>
        <color indexed="8"/>
        <rFont val="Garamond"/>
        <family val="1"/>
        <charset val="238"/>
      </rPr>
      <t xml:space="preserve">  Felhalmozási bevételek</t>
    </r>
  </si>
  <si>
    <r>
      <rPr>
        <b/>
        <sz val="10"/>
        <color indexed="8"/>
        <rFont val="Garamond"/>
        <family val="1"/>
        <charset val="238"/>
      </rPr>
      <t>B6</t>
    </r>
    <r>
      <rPr>
        <sz val="10"/>
        <color indexed="8"/>
        <rFont val="Garamond"/>
        <family val="1"/>
        <charset val="238"/>
      </rPr>
      <t xml:space="preserve">           Működési célú átvett pénzeszközök</t>
    </r>
  </si>
  <si>
    <r>
      <rPr>
        <b/>
        <sz val="10"/>
        <color indexed="8"/>
        <rFont val="Garamond"/>
        <family val="1"/>
        <charset val="238"/>
      </rPr>
      <t xml:space="preserve">B7  </t>
    </r>
    <r>
      <rPr>
        <sz val="10"/>
        <color indexed="8"/>
        <rFont val="Garamond"/>
        <family val="1"/>
        <charset val="238"/>
      </rPr>
      <t xml:space="preserve">    Felhalmozási célú átvett pénzeszközök</t>
    </r>
  </si>
  <si>
    <r>
      <rPr>
        <b/>
        <sz val="10"/>
        <color indexed="8"/>
        <rFont val="Garamond"/>
        <family val="1"/>
        <charset val="238"/>
      </rPr>
      <t xml:space="preserve">B8                                    </t>
    </r>
    <r>
      <rPr>
        <sz val="10"/>
        <color indexed="8"/>
        <rFont val="Garamond"/>
        <family val="1"/>
        <charset val="238"/>
      </rPr>
      <t xml:space="preserve"> Finanszírozás bevételei</t>
    </r>
  </si>
  <si>
    <t>Módosítás összesen</t>
  </si>
  <si>
    <t>Kiadások eredeti előirányzata</t>
  </si>
  <si>
    <t>Bevételek eredeti előirányzata</t>
  </si>
  <si>
    <r>
      <rPr>
        <b/>
        <sz val="10"/>
        <color indexed="8"/>
        <rFont val="Garamond"/>
        <family val="1"/>
        <charset val="238"/>
      </rPr>
      <t xml:space="preserve">K2 </t>
    </r>
    <r>
      <rPr>
        <sz val="10"/>
        <color indexed="8"/>
        <rFont val="Garamond"/>
        <family val="1"/>
        <charset val="238"/>
      </rPr>
      <t xml:space="preserve">                      Munkaadókat terhelő járulékok és szociális hozzájárulási adó</t>
    </r>
  </si>
  <si>
    <r>
      <rPr>
        <b/>
        <sz val="10"/>
        <color indexed="8"/>
        <rFont val="Garamond"/>
        <family val="1"/>
        <charset val="238"/>
      </rPr>
      <t>K3</t>
    </r>
    <r>
      <rPr>
        <sz val="10"/>
        <color indexed="8"/>
        <rFont val="Garamond"/>
        <family val="1"/>
        <charset val="238"/>
      </rPr>
      <t xml:space="preserve">                                           Dologi kiadások</t>
    </r>
  </si>
  <si>
    <r>
      <rPr>
        <b/>
        <sz val="10"/>
        <color indexed="8"/>
        <rFont val="Garamond"/>
        <family val="1"/>
        <charset val="238"/>
      </rPr>
      <t xml:space="preserve">K4                                         </t>
    </r>
    <r>
      <rPr>
        <sz val="10"/>
        <color indexed="8"/>
        <rFont val="Garamond"/>
        <family val="1"/>
        <charset val="238"/>
      </rPr>
      <t>Ellátottak pénzbeli juttatásai</t>
    </r>
  </si>
  <si>
    <r>
      <rPr>
        <b/>
        <sz val="10"/>
        <color indexed="8"/>
        <rFont val="Garamond"/>
        <family val="1"/>
        <charset val="238"/>
      </rPr>
      <t xml:space="preserve">K5 </t>
    </r>
    <r>
      <rPr>
        <sz val="10"/>
        <color indexed="8"/>
        <rFont val="Garamond"/>
        <family val="1"/>
        <charset val="238"/>
      </rPr>
      <t xml:space="preserve">                                      Egyéb működési célú kiadások</t>
    </r>
  </si>
  <si>
    <r>
      <rPr>
        <b/>
        <sz val="10"/>
        <color indexed="8"/>
        <rFont val="Garamond"/>
        <family val="1"/>
        <charset val="238"/>
      </rPr>
      <t>K6</t>
    </r>
    <r>
      <rPr>
        <sz val="10"/>
        <color indexed="8"/>
        <rFont val="Garamond"/>
        <family val="1"/>
        <charset val="238"/>
      </rPr>
      <t xml:space="preserve">     Beruházások</t>
    </r>
  </si>
  <si>
    <r>
      <rPr>
        <b/>
        <sz val="10"/>
        <color indexed="8"/>
        <rFont val="Garamond"/>
        <family val="1"/>
        <charset val="238"/>
      </rPr>
      <t>K7</t>
    </r>
    <r>
      <rPr>
        <sz val="10"/>
        <color indexed="8"/>
        <rFont val="Garamond"/>
        <family val="1"/>
        <charset val="238"/>
      </rPr>
      <t xml:space="preserve">      Felújítások</t>
    </r>
  </si>
  <si>
    <r>
      <rPr>
        <b/>
        <sz val="10"/>
        <color indexed="8"/>
        <rFont val="Garamond"/>
        <family val="1"/>
        <charset val="238"/>
      </rPr>
      <t xml:space="preserve">K9  </t>
    </r>
    <r>
      <rPr>
        <sz val="10"/>
        <color indexed="8"/>
        <rFont val="Garamond"/>
        <family val="1"/>
        <charset val="238"/>
      </rPr>
      <t xml:space="preserve">            Finanszí-rozási kiadások</t>
    </r>
  </si>
  <si>
    <r>
      <rPr>
        <b/>
        <sz val="10"/>
        <color indexed="8"/>
        <rFont val="Garamond"/>
        <family val="1"/>
        <charset val="238"/>
      </rPr>
      <t>B2</t>
    </r>
    <r>
      <rPr>
        <sz val="10"/>
        <color indexed="8"/>
        <rFont val="Garamond"/>
        <family val="1"/>
        <charset val="238"/>
      </rPr>
      <t xml:space="preserve">                                        Felhalmozási célú támogatások államháztartáson belülről</t>
    </r>
  </si>
  <si>
    <r>
      <rPr>
        <b/>
        <sz val="10"/>
        <color indexed="8"/>
        <rFont val="Garamond"/>
        <family val="1"/>
        <charset val="238"/>
      </rPr>
      <t xml:space="preserve">B3         </t>
    </r>
    <r>
      <rPr>
        <sz val="10"/>
        <color indexed="8"/>
        <rFont val="Garamond"/>
        <family val="1"/>
        <charset val="238"/>
      </rPr>
      <t>Közhatalmi bevételek</t>
    </r>
  </si>
  <si>
    <r>
      <rPr>
        <b/>
        <sz val="10"/>
        <color indexed="8"/>
        <rFont val="Garamond"/>
        <family val="1"/>
        <charset val="238"/>
      </rPr>
      <t xml:space="preserve">B4 </t>
    </r>
    <r>
      <rPr>
        <sz val="10"/>
        <color indexed="8"/>
        <rFont val="Garamond"/>
        <family val="1"/>
        <charset val="238"/>
      </rPr>
      <t xml:space="preserve">                                         Működési bevételek</t>
    </r>
  </si>
  <si>
    <r>
      <rPr>
        <b/>
        <sz val="10"/>
        <color indexed="8"/>
        <rFont val="Garamond"/>
        <family val="1"/>
        <charset val="238"/>
      </rPr>
      <t>B8</t>
    </r>
    <r>
      <rPr>
        <sz val="10"/>
        <color indexed="8"/>
        <rFont val="Garamond"/>
        <family val="1"/>
        <charset val="238"/>
      </rPr>
      <t xml:space="preserve">                          Finanszírozás bevételei</t>
    </r>
  </si>
  <si>
    <r>
      <rPr>
        <b/>
        <sz val="10"/>
        <color indexed="8"/>
        <rFont val="Garamond"/>
        <family val="1"/>
        <charset val="238"/>
      </rPr>
      <t xml:space="preserve">K2 </t>
    </r>
    <r>
      <rPr>
        <sz val="10"/>
        <color indexed="8"/>
        <rFont val="Garamond"/>
        <family val="1"/>
        <charset val="238"/>
      </rPr>
      <t xml:space="preserve">                                                 Munkaadókat terhelő járulékok és szociális hozzájárulási adó</t>
    </r>
  </si>
  <si>
    <r>
      <rPr>
        <b/>
        <sz val="10"/>
        <color indexed="8"/>
        <rFont val="Garamond"/>
        <family val="1"/>
        <charset val="238"/>
      </rPr>
      <t>K3</t>
    </r>
    <r>
      <rPr>
        <sz val="10"/>
        <color indexed="8"/>
        <rFont val="Garamond"/>
        <family val="1"/>
        <charset val="238"/>
      </rPr>
      <t xml:space="preserve">                                     Dologi kiadások</t>
    </r>
  </si>
  <si>
    <r>
      <rPr>
        <b/>
        <sz val="10"/>
        <color indexed="8"/>
        <rFont val="Garamond"/>
        <family val="1"/>
        <charset val="238"/>
      </rPr>
      <t xml:space="preserve">K4                                              </t>
    </r>
    <r>
      <rPr>
        <sz val="10"/>
        <color indexed="8"/>
        <rFont val="Garamond"/>
        <family val="1"/>
        <charset val="238"/>
      </rPr>
      <t>Ellátottak pénzbeli juttatásai</t>
    </r>
  </si>
  <si>
    <r>
      <rPr>
        <b/>
        <sz val="10"/>
        <color indexed="8"/>
        <rFont val="Garamond"/>
        <family val="1"/>
        <charset val="238"/>
      </rPr>
      <t xml:space="preserve">K5 </t>
    </r>
    <r>
      <rPr>
        <sz val="10"/>
        <color indexed="8"/>
        <rFont val="Garamond"/>
        <family val="1"/>
        <charset val="238"/>
      </rPr>
      <t xml:space="preserve">                        Egyéb működési célú kiadások</t>
    </r>
  </si>
  <si>
    <r>
      <rPr>
        <b/>
        <sz val="10"/>
        <color indexed="8"/>
        <rFont val="Garamond"/>
        <family val="1"/>
        <charset val="238"/>
      </rPr>
      <t>K6</t>
    </r>
    <r>
      <rPr>
        <sz val="10"/>
        <color indexed="8"/>
        <rFont val="Garamond"/>
        <family val="1"/>
        <charset val="238"/>
      </rPr>
      <t xml:space="preserve">                                                             Beruházások</t>
    </r>
  </si>
  <si>
    <r>
      <rPr>
        <b/>
        <sz val="10"/>
        <color indexed="8"/>
        <rFont val="Garamond"/>
        <family val="1"/>
        <charset val="238"/>
      </rPr>
      <t xml:space="preserve">B1 </t>
    </r>
    <r>
      <rPr>
        <sz val="10"/>
        <color indexed="8"/>
        <rFont val="Garamond"/>
        <family val="1"/>
        <charset val="238"/>
      </rPr>
      <t xml:space="preserve">                                             Működési célú támogatások államháztartáson belülről</t>
    </r>
  </si>
  <si>
    <r>
      <rPr>
        <b/>
        <sz val="10"/>
        <color indexed="8"/>
        <rFont val="Garamond"/>
        <family val="1"/>
        <charset val="238"/>
      </rPr>
      <t>B2</t>
    </r>
    <r>
      <rPr>
        <sz val="10"/>
        <color indexed="8"/>
        <rFont val="Garamond"/>
        <family val="1"/>
        <charset val="238"/>
      </rPr>
      <t xml:space="preserve">                                           Felhalmozási célú támogatások államháztartáson belülről</t>
    </r>
  </si>
  <si>
    <r>
      <rPr>
        <b/>
        <sz val="10"/>
        <color indexed="8"/>
        <rFont val="Garamond"/>
        <family val="1"/>
        <charset val="238"/>
      </rPr>
      <t xml:space="preserve">B3                                          </t>
    </r>
    <r>
      <rPr>
        <sz val="10"/>
        <color indexed="8"/>
        <rFont val="Garamond"/>
        <family val="1"/>
        <charset val="238"/>
      </rPr>
      <t>Közhatalmi bevételek</t>
    </r>
  </si>
  <si>
    <r>
      <rPr>
        <b/>
        <sz val="10"/>
        <color indexed="8"/>
        <rFont val="Garamond"/>
        <family val="1"/>
        <charset val="238"/>
      </rPr>
      <t xml:space="preserve">B4 </t>
    </r>
    <r>
      <rPr>
        <sz val="10"/>
        <color indexed="8"/>
        <rFont val="Garamond"/>
        <family val="1"/>
        <charset val="238"/>
      </rPr>
      <t xml:space="preserve">                                            Működési bevételek</t>
    </r>
  </si>
  <si>
    <r>
      <rPr>
        <b/>
        <sz val="10"/>
        <color indexed="8"/>
        <rFont val="Garamond"/>
        <family val="1"/>
        <charset val="238"/>
      </rPr>
      <t>B6</t>
    </r>
    <r>
      <rPr>
        <sz val="10"/>
        <color indexed="8"/>
        <rFont val="Garamond"/>
        <family val="1"/>
        <charset val="238"/>
      </rPr>
      <t xml:space="preserve">                                             Működési célú átvett pénzeszközök</t>
    </r>
  </si>
  <si>
    <r>
      <rPr>
        <b/>
        <sz val="10"/>
        <color indexed="8"/>
        <rFont val="Garamond"/>
        <family val="1"/>
        <charset val="238"/>
      </rPr>
      <t xml:space="preserve">B8                                          </t>
    </r>
    <r>
      <rPr>
        <sz val="10"/>
        <color indexed="8"/>
        <rFont val="Garamond"/>
        <family val="1"/>
        <charset val="238"/>
      </rPr>
      <t xml:space="preserve"> Finanszírozás bevételei</t>
    </r>
  </si>
  <si>
    <t xml:space="preserve">Dunaharaszti Városi  Könyvtár </t>
  </si>
  <si>
    <t>Részgazda szám</t>
  </si>
  <si>
    <r>
      <rPr>
        <b/>
        <sz val="10"/>
        <color indexed="8"/>
        <rFont val="Garamond"/>
        <family val="1"/>
        <charset val="238"/>
      </rPr>
      <t xml:space="preserve">K2 </t>
    </r>
    <r>
      <rPr>
        <sz val="10"/>
        <color indexed="8"/>
        <rFont val="Garamond"/>
        <family val="1"/>
        <charset val="238"/>
      </rPr>
      <t xml:space="preserve">                                     Munkaadókat terhelő járulékok és szociális hozzájárulási adó</t>
    </r>
  </si>
  <si>
    <r>
      <rPr>
        <b/>
        <sz val="10"/>
        <color indexed="8"/>
        <rFont val="Garamond"/>
        <family val="1"/>
        <charset val="238"/>
      </rPr>
      <t>K3</t>
    </r>
    <r>
      <rPr>
        <sz val="10"/>
        <color indexed="8"/>
        <rFont val="Garamond"/>
        <family val="1"/>
        <charset val="238"/>
      </rPr>
      <t xml:space="preserve">                                 Dologi kiadások</t>
    </r>
  </si>
  <si>
    <r>
      <rPr>
        <b/>
        <sz val="10"/>
        <color indexed="8"/>
        <rFont val="Garamond"/>
        <family val="1"/>
        <charset val="238"/>
      </rPr>
      <t xml:space="preserve">K4                                      </t>
    </r>
    <r>
      <rPr>
        <sz val="10"/>
        <color indexed="8"/>
        <rFont val="Garamond"/>
        <family val="1"/>
        <charset val="238"/>
      </rPr>
      <t>Ellátottak pénzbeli juttatásai</t>
    </r>
  </si>
  <si>
    <r>
      <rPr>
        <b/>
        <sz val="10"/>
        <color indexed="8"/>
        <rFont val="Garamond"/>
        <family val="1"/>
        <charset val="238"/>
      </rPr>
      <t xml:space="preserve">B3 </t>
    </r>
    <r>
      <rPr>
        <sz val="10"/>
        <color indexed="8"/>
        <rFont val="Garamond"/>
        <family val="1"/>
        <charset val="238"/>
      </rPr>
      <t>Közhatalmi bevételek</t>
    </r>
  </si>
  <si>
    <r>
      <rPr>
        <b/>
        <sz val="10"/>
        <color indexed="8"/>
        <rFont val="Garamond"/>
        <family val="1"/>
        <charset val="238"/>
      </rPr>
      <t xml:space="preserve">B4 </t>
    </r>
    <r>
      <rPr>
        <sz val="10"/>
        <color indexed="8"/>
        <rFont val="Garamond"/>
        <family val="1"/>
        <charset val="238"/>
      </rPr>
      <t xml:space="preserve">                                                   Működési bevételek</t>
    </r>
  </si>
  <si>
    <r>
      <rPr>
        <b/>
        <sz val="10"/>
        <color indexed="8"/>
        <rFont val="Garamond"/>
        <family val="1"/>
        <charset val="238"/>
      </rPr>
      <t>B8</t>
    </r>
    <r>
      <rPr>
        <sz val="10"/>
        <color indexed="8"/>
        <rFont val="Garamond"/>
        <family val="1"/>
        <charset val="238"/>
      </rPr>
      <t xml:space="preserve">                                                     Finanszírozás bevételei</t>
    </r>
  </si>
  <si>
    <r>
      <rPr>
        <b/>
        <sz val="10"/>
        <color indexed="8"/>
        <rFont val="Garamond"/>
        <family val="1"/>
        <charset val="238"/>
      </rPr>
      <t xml:space="preserve">K4                                     </t>
    </r>
    <r>
      <rPr>
        <sz val="10"/>
        <color indexed="8"/>
        <rFont val="Garamond"/>
        <family val="1"/>
        <charset val="238"/>
      </rPr>
      <t>Ellátottak pénzbeli juttatásai</t>
    </r>
  </si>
  <si>
    <r>
      <rPr>
        <b/>
        <sz val="10"/>
        <color indexed="8"/>
        <rFont val="Garamond"/>
        <family val="1"/>
        <charset val="238"/>
      </rPr>
      <t xml:space="preserve">K5 </t>
    </r>
    <r>
      <rPr>
        <sz val="10"/>
        <color indexed="8"/>
        <rFont val="Garamond"/>
        <family val="1"/>
        <charset val="238"/>
      </rPr>
      <t xml:space="preserve">                                                    Egyéb működési célú kiadások</t>
    </r>
  </si>
  <si>
    <r>
      <rPr>
        <b/>
        <sz val="10"/>
        <color indexed="8"/>
        <rFont val="Garamond"/>
        <family val="1"/>
        <charset val="238"/>
      </rPr>
      <t xml:space="preserve">B4 </t>
    </r>
    <r>
      <rPr>
        <sz val="10"/>
        <color indexed="8"/>
        <rFont val="Garamond"/>
        <family val="1"/>
        <charset val="238"/>
      </rPr>
      <t xml:space="preserve">    Működési bevételek</t>
    </r>
  </si>
  <si>
    <r>
      <rPr>
        <b/>
        <sz val="10"/>
        <color indexed="8"/>
        <rFont val="Garamond"/>
        <family val="1"/>
        <charset val="238"/>
      </rPr>
      <t xml:space="preserve">K2 </t>
    </r>
    <r>
      <rPr>
        <sz val="10"/>
        <color indexed="8"/>
        <rFont val="Garamond"/>
        <family val="1"/>
        <charset val="238"/>
      </rPr>
      <t xml:space="preserve">                                             Munkaadókat terhelő járulékok és szociális hozzájárulási adó</t>
    </r>
  </si>
  <si>
    <r>
      <rPr>
        <b/>
        <sz val="10"/>
        <color indexed="8"/>
        <rFont val="Garamond"/>
        <family val="1"/>
        <charset val="238"/>
      </rPr>
      <t>K3</t>
    </r>
    <r>
      <rPr>
        <sz val="10"/>
        <color indexed="8"/>
        <rFont val="Garamond"/>
        <family val="1"/>
        <charset val="238"/>
      </rPr>
      <t xml:space="preserve">                                                Dologi kiadások</t>
    </r>
  </si>
  <si>
    <r>
      <rPr>
        <b/>
        <sz val="10"/>
        <color indexed="8"/>
        <rFont val="Garamond"/>
        <family val="1"/>
        <charset val="238"/>
      </rPr>
      <t xml:space="preserve">K4                                   </t>
    </r>
    <r>
      <rPr>
        <sz val="10"/>
        <color indexed="8"/>
        <rFont val="Garamond"/>
        <family val="1"/>
        <charset val="238"/>
      </rPr>
      <t>Ellátottak pénzbeli juttatásai</t>
    </r>
  </si>
  <si>
    <r>
      <rPr>
        <b/>
        <sz val="10"/>
        <color indexed="8"/>
        <rFont val="Garamond"/>
        <family val="1"/>
        <charset val="238"/>
      </rPr>
      <t xml:space="preserve">K5 </t>
    </r>
    <r>
      <rPr>
        <sz val="10"/>
        <color indexed="8"/>
        <rFont val="Garamond"/>
        <family val="1"/>
        <charset val="238"/>
      </rPr>
      <t xml:space="preserve">                                           Egyéb működési célú kiadások</t>
    </r>
  </si>
  <si>
    <r>
      <rPr>
        <b/>
        <sz val="10"/>
        <color indexed="8"/>
        <rFont val="Garamond"/>
        <family val="1"/>
        <charset val="238"/>
      </rPr>
      <t xml:space="preserve">B8                        </t>
    </r>
    <r>
      <rPr>
        <sz val="10"/>
        <color indexed="8"/>
        <rFont val="Garamond"/>
        <family val="1"/>
        <charset val="238"/>
      </rPr>
      <t xml:space="preserve"> Finanszírozás bevételei</t>
    </r>
  </si>
  <si>
    <t>Dunaharaszti  Városi Bölcsőde</t>
  </si>
  <si>
    <r>
      <rPr>
        <b/>
        <sz val="10"/>
        <color indexed="8"/>
        <rFont val="Garamond"/>
        <family val="1"/>
        <charset val="238"/>
      </rPr>
      <t xml:space="preserve">K2 </t>
    </r>
    <r>
      <rPr>
        <sz val="10"/>
        <color indexed="8"/>
        <rFont val="Garamond"/>
        <family val="1"/>
        <charset val="238"/>
      </rPr>
      <t xml:space="preserve">                                    Munkaadókat terhelő járulékok és szociális hozzájárulási adó</t>
    </r>
  </si>
  <si>
    <r>
      <rPr>
        <b/>
        <sz val="10"/>
        <color indexed="8"/>
        <rFont val="Garamond"/>
        <family val="1"/>
        <charset val="238"/>
      </rPr>
      <t>K3</t>
    </r>
    <r>
      <rPr>
        <sz val="10"/>
        <color indexed="8"/>
        <rFont val="Garamond"/>
        <family val="1"/>
        <charset val="238"/>
      </rPr>
      <t xml:space="preserve">                                         Dologi kiadások</t>
    </r>
  </si>
  <si>
    <r>
      <rPr>
        <b/>
        <sz val="10"/>
        <color indexed="8"/>
        <rFont val="Garamond"/>
        <family val="1"/>
        <charset val="238"/>
      </rPr>
      <t xml:space="preserve">B3                                </t>
    </r>
    <r>
      <rPr>
        <sz val="10"/>
        <color indexed="8"/>
        <rFont val="Garamond"/>
        <family val="1"/>
        <charset val="238"/>
      </rPr>
      <t>Közhatalmi bevételek</t>
    </r>
  </si>
  <si>
    <r>
      <rPr>
        <b/>
        <sz val="10"/>
        <color indexed="8"/>
        <rFont val="Garamond"/>
        <family val="1"/>
        <charset val="238"/>
      </rPr>
      <t xml:space="preserve">B4 </t>
    </r>
    <r>
      <rPr>
        <sz val="10"/>
        <color indexed="8"/>
        <rFont val="Garamond"/>
        <family val="1"/>
        <charset val="238"/>
      </rPr>
      <t xml:space="preserve">                                              Működési bevételek</t>
    </r>
  </si>
  <si>
    <r>
      <rPr>
        <b/>
        <sz val="10"/>
        <color indexed="8"/>
        <rFont val="Garamond"/>
        <family val="1"/>
        <charset val="238"/>
      </rPr>
      <t>B8</t>
    </r>
    <r>
      <rPr>
        <sz val="10"/>
        <color indexed="8"/>
        <rFont val="Garamond"/>
        <family val="1"/>
        <charset val="238"/>
      </rPr>
      <t xml:space="preserve"> Finanszírozás bevételei</t>
    </r>
  </si>
  <si>
    <r>
      <rPr>
        <b/>
        <sz val="10"/>
        <color indexed="8"/>
        <rFont val="Garamond"/>
        <family val="1"/>
        <charset val="238"/>
      </rPr>
      <t xml:space="preserve">K2 </t>
    </r>
    <r>
      <rPr>
        <sz val="10"/>
        <color indexed="8"/>
        <rFont val="Garamond"/>
        <family val="1"/>
        <charset val="238"/>
      </rPr>
      <t xml:space="preserve">                                           Munkaadókat terhelő járulékok és szociális hozzájárulási adó</t>
    </r>
  </si>
  <si>
    <r>
      <rPr>
        <b/>
        <sz val="10"/>
        <color indexed="8"/>
        <rFont val="Garamond"/>
        <family val="1"/>
        <charset val="238"/>
      </rPr>
      <t>K3</t>
    </r>
    <r>
      <rPr>
        <sz val="10"/>
        <color indexed="8"/>
        <rFont val="Garamond"/>
        <family val="1"/>
        <charset val="238"/>
      </rPr>
      <t xml:space="preserve">                           Dologi kiadások</t>
    </r>
  </si>
  <si>
    <r>
      <rPr>
        <b/>
        <sz val="10"/>
        <color indexed="8"/>
        <rFont val="Garamond"/>
        <family val="1"/>
        <charset val="238"/>
      </rPr>
      <t xml:space="preserve">K4 </t>
    </r>
    <r>
      <rPr>
        <sz val="10"/>
        <color indexed="8"/>
        <rFont val="Garamond"/>
        <family val="1"/>
        <charset val="238"/>
      </rPr>
      <t>Ellátottak pénzbeli juttatásai</t>
    </r>
  </si>
  <si>
    <r>
      <rPr>
        <b/>
        <sz val="10"/>
        <color indexed="8"/>
        <rFont val="Garamond"/>
        <family val="1"/>
        <charset val="238"/>
      </rPr>
      <t xml:space="preserve">K5 </t>
    </r>
    <r>
      <rPr>
        <sz val="10"/>
        <color indexed="8"/>
        <rFont val="Garamond"/>
        <family val="1"/>
        <charset val="238"/>
      </rPr>
      <t xml:space="preserve">                                                      Egyéb működési célú kiadások</t>
    </r>
  </si>
  <si>
    <r>
      <rPr>
        <b/>
        <sz val="10"/>
        <color indexed="8"/>
        <rFont val="Garamond"/>
        <family val="1"/>
        <charset val="238"/>
      </rPr>
      <t xml:space="preserve">B3                                   </t>
    </r>
    <r>
      <rPr>
        <sz val="10"/>
        <color indexed="8"/>
        <rFont val="Garamond"/>
        <family val="1"/>
        <charset val="238"/>
      </rPr>
      <t>Közhatalmi bevételek</t>
    </r>
  </si>
  <si>
    <r>
      <rPr>
        <b/>
        <sz val="10"/>
        <color indexed="8"/>
        <rFont val="Garamond"/>
        <family val="1"/>
        <charset val="238"/>
      </rPr>
      <t xml:space="preserve">K2 </t>
    </r>
    <r>
      <rPr>
        <sz val="10"/>
        <color indexed="8"/>
        <rFont val="Garamond"/>
        <family val="1"/>
        <charset val="238"/>
      </rPr>
      <t xml:space="preserve">                                Munkaadókat terhelő járulékok és szociális hozzájárulási adó</t>
    </r>
  </si>
  <si>
    <t>Dunaharaszti Jószef Attila Művelődési Ház</t>
  </si>
  <si>
    <t>Dunaharaszti Város Önkormányzata és finanszírozott intézmények</t>
  </si>
  <si>
    <r>
      <rPr>
        <b/>
        <sz val="10"/>
        <color indexed="8"/>
        <rFont val="Garamond"/>
        <family val="1"/>
        <charset val="238"/>
      </rPr>
      <t xml:space="preserve">K2 </t>
    </r>
    <r>
      <rPr>
        <sz val="10"/>
        <color indexed="8"/>
        <rFont val="Garamond"/>
        <family val="1"/>
        <charset val="238"/>
      </rPr>
      <t xml:space="preserve">                            Munkaadókat terhelő járulékok és szociális hozzájárulási adó</t>
    </r>
  </si>
  <si>
    <r>
      <rPr>
        <b/>
        <sz val="10"/>
        <color indexed="8"/>
        <rFont val="Garamond"/>
        <family val="1"/>
        <charset val="238"/>
      </rPr>
      <t xml:space="preserve">K4                                 </t>
    </r>
    <r>
      <rPr>
        <sz val="10"/>
        <color indexed="8"/>
        <rFont val="Garamond"/>
        <family val="1"/>
        <charset val="238"/>
      </rPr>
      <t>Ellátottak pénzbeli juttatásai</t>
    </r>
  </si>
  <si>
    <r>
      <rPr>
        <b/>
        <sz val="10"/>
        <color indexed="8"/>
        <rFont val="Garamond"/>
        <family val="1"/>
        <charset val="238"/>
      </rPr>
      <t xml:space="preserve">K5 </t>
    </r>
    <r>
      <rPr>
        <sz val="10"/>
        <color indexed="8"/>
        <rFont val="Garamond"/>
        <family val="1"/>
        <charset val="238"/>
      </rPr>
      <t xml:space="preserve">                              Egyéb működési célú kiadások</t>
    </r>
  </si>
  <si>
    <r>
      <rPr>
        <b/>
        <sz val="10"/>
        <color indexed="8"/>
        <rFont val="Garamond"/>
        <family val="1"/>
        <charset val="238"/>
      </rPr>
      <t>K7</t>
    </r>
    <r>
      <rPr>
        <sz val="10"/>
        <color indexed="8"/>
        <rFont val="Garamond"/>
        <family val="1"/>
        <charset val="238"/>
      </rPr>
      <t xml:space="preserve">                                       Felújítások</t>
    </r>
  </si>
  <si>
    <r>
      <rPr>
        <b/>
        <sz val="10"/>
        <color indexed="8"/>
        <rFont val="Garamond"/>
        <family val="1"/>
        <charset val="238"/>
      </rPr>
      <t xml:space="preserve">B4 </t>
    </r>
    <r>
      <rPr>
        <sz val="10"/>
        <color indexed="8"/>
        <rFont val="Garamond"/>
        <family val="1"/>
        <charset val="238"/>
      </rPr>
      <t xml:space="preserve">                                Működési bevételek</t>
    </r>
  </si>
  <si>
    <r>
      <rPr>
        <b/>
        <sz val="10"/>
        <color indexed="8"/>
        <rFont val="Garamond"/>
        <family val="1"/>
        <charset val="238"/>
      </rPr>
      <t>B8</t>
    </r>
    <r>
      <rPr>
        <sz val="10"/>
        <color indexed="8"/>
        <rFont val="Garamond"/>
        <family val="1"/>
        <charset val="238"/>
      </rPr>
      <t xml:space="preserve">                                           Finanszírozás bevételei</t>
    </r>
  </si>
  <si>
    <t>Dunaharaszti Család- és Gyermekjóléti Szolgálat</t>
  </si>
  <si>
    <t>Általános- és céltartalékok változása</t>
  </si>
  <si>
    <t>Beruházások, felújtások műszaki ellenőrzése</t>
  </si>
  <si>
    <t>Társ. Összefogás.megv. közműfejl.lebony</t>
  </si>
  <si>
    <t>Környezetvédelmi számla</t>
  </si>
  <si>
    <t>Vízi közmű bérleti díj elkül. Szla (kiadási oldala 069, 070 részgazda)</t>
  </si>
  <si>
    <t>0.</t>
  </si>
  <si>
    <t>4.sz.Felhalm.</t>
  </si>
  <si>
    <t>5.sz.Műk.</t>
  </si>
  <si>
    <t>6.sz.Beruházások</t>
  </si>
  <si>
    <t>7.sz.Felújtások</t>
  </si>
  <si>
    <t>8.sz.Tartalékok</t>
  </si>
  <si>
    <t>9.sz.Szociális</t>
  </si>
  <si>
    <t>10.sz.Működési</t>
  </si>
  <si>
    <t>10.sz.Felhalmozási</t>
  </si>
  <si>
    <t>11.sz.Állami</t>
  </si>
  <si>
    <t>Előző évről hozott hátralék átvezetése részgazdákra</t>
  </si>
  <si>
    <t>2.8</t>
  </si>
  <si>
    <t xml:space="preserve"> -</t>
  </si>
  <si>
    <t xml:space="preserve"> +</t>
  </si>
  <si>
    <t>Előző évi hátralék átvezetése részgazdákra</t>
  </si>
  <si>
    <t>2.6</t>
  </si>
  <si>
    <t>018</t>
  </si>
  <si>
    <t>Előző évről hozott hátralék átvezetése részgazdára</t>
  </si>
  <si>
    <t>2.3</t>
  </si>
  <si>
    <t>2.4</t>
  </si>
  <si>
    <t>Bér rovatok módosítása decemberi bérkönyvelés alapján</t>
  </si>
  <si>
    <t xml:space="preserve"> +/-</t>
  </si>
  <si>
    <t>2.1</t>
  </si>
  <si>
    <t>2.9</t>
  </si>
  <si>
    <t>2.2</t>
  </si>
  <si>
    <t>Bér rovatok módosítása januári bérkönyvelés alapján</t>
  </si>
  <si>
    <t>18.           27.</t>
  </si>
  <si>
    <t>Házi segítségnyújtás rovatok közötti módosítása tűz- és munkavédelmi szolgáltatásra és szakmai anyagok beszerzésére (szájmaszk, kesztyű stb.)</t>
  </si>
  <si>
    <t>Ifjúságegészségügyi gondozás rovatok közötti módosítása informatikai eszközök karbantartására</t>
  </si>
  <si>
    <t>Gyermekjóléti Szolgáltatáson továbbszámlázáson alultervezés miatti emelés</t>
  </si>
  <si>
    <t>2.5</t>
  </si>
  <si>
    <t>Idősek nappali ellátása rovatok közötti módosítása gázdíjra, vízdíjra és ÖNO karbantartási munkálataira</t>
  </si>
  <si>
    <t>Felnőtt Orvosi Rendelőről átcsoportosítás Szociális étkeztetésre alultervezés miatt üzemeltetési anyagokra</t>
  </si>
  <si>
    <t>22.     28.</t>
  </si>
  <si>
    <t>Felnőtt Orvosi Rendelő rovatok közötti módosítása gázdíjra</t>
  </si>
  <si>
    <t>Egyéb járóbeteg-ellátás rovatok közötti módosítása gázdíjra</t>
  </si>
  <si>
    <t>Egészségügyi labor rovatok közötti módosítása gázdíjra</t>
  </si>
  <si>
    <t>Továbbszámlázáson bevételemelés követeléselőírás miatt</t>
  </si>
  <si>
    <t>Könyvtári szolgáltatáson gázdíj-jóváírás átvezetés gázdíj kiadásra</t>
  </si>
  <si>
    <t>2.7</t>
  </si>
  <si>
    <t>042</t>
  </si>
  <si>
    <t>051</t>
  </si>
  <si>
    <t>052</t>
  </si>
  <si>
    <t>057</t>
  </si>
  <si>
    <t>106010</t>
  </si>
  <si>
    <t>083030</t>
  </si>
  <si>
    <t>065</t>
  </si>
  <si>
    <t>Lakihegy rádió rovatok közötti technikai módosítása szolgáltatásról reklám- és propagandakiadásokra</t>
  </si>
  <si>
    <t>043</t>
  </si>
  <si>
    <t>083040</t>
  </si>
  <si>
    <t>Kiemelt állami és önkormányzati rendezvények rovatok közötti módosítása vásárolt élelmezésre Bezerédi Sportpark átadóra</t>
  </si>
  <si>
    <t>058</t>
  </si>
  <si>
    <t>016080</t>
  </si>
  <si>
    <t>Magyar Államkincstárnál vezetett TOP_Plusz-1.2.1-21 Dunaharaszti-Taksony kerékpárút tartalékból átcsoportosítás a pályázathoz kapcsolódó projektmenedzseri feladatok ellátására</t>
  </si>
  <si>
    <t>084</t>
  </si>
  <si>
    <t xml:space="preserve">Csapadékvíz-beruházások lakossági kérésről átcsoportosítás Evezős utca területén kerti vezeték megszüntetésére és új kiépítésére </t>
  </si>
  <si>
    <t>Evezős utca területén kerti vezeték kiépítés</t>
  </si>
  <si>
    <t>Földárok építéséről átcsoportosítás burkolt árok építésére</t>
  </si>
  <si>
    <t>Polgármester rendelkezése tartalékból átcsoportosítás Dunaharaszti Nőegylet nőnapi rendezvény támogatására</t>
  </si>
  <si>
    <t>306</t>
  </si>
  <si>
    <t>Dunaharaszti Nőegylet támogatása</t>
  </si>
  <si>
    <t>2022 január havi állami támogatás (szociális ágazati összevont pótlék) átvezetés Ágazati pótlék, bérkompenzáció, személyi juttatás és járulék tartalékba</t>
  </si>
  <si>
    <t>501</t>
  </si>
  <si>
    <t>2022 február havi állami támogatás (szociális ágazati összevont pótlék) átvezetés Ágazati pótlék, bérkompenzáció, személyi juttatás és járulék tartalékba</t>
  </si>
  <si>
    <t>Városi közkutak rovatok közötti módosítása áramdíjról vízdíjra</t>
  </si>
  <si>
    <t>022</t>
  </si>
  <si>
    <t>Vagyongazdálkodási kiadások rovatok közötti módosítása KEHOP pályázat közbeszerzési bírságra</t>
  </si>
  <si>
    <t>036</t>
  </si>
  <si>
    <t>Hóeltakarítási opció tartalékból átcsoportosítás mért közvilágítási hálózatok karbantartására</t>
  </si>
  <si>
    <t>Választott tisztségviselők rovatok közötti módosítása internetdíjra</t>
  </si>
  <si>
    <t>Játszóterek felülvizsgálata rovatok közötti módosítása eligazító táblák készítésére</t>
  </si>
  <si>
    <t>Városgazdálkodás tartalékból átcsoportosítás Dunaharaszti közvilágítás hálózatának karbantartására</t>
  </si>
  <si>
    <t>Intézményi ingatlanok különféle karbantartási kerete tartalékból átcsoportosítás Rendészeten gázóraszekrény készítésére</t>
  </si>
  <si>
    <t>Rendészeten gázóraszekrény beszerelés</t>
  </si>
  <si>
    <t>Közterületi feladatok rovatok közötti módosítása router beszerzésre</t>
  </si>
  <si>
    <t>Temető fenntartás rovatok közötti módosítása áramdíjra</t>
  </si>
  <si>
    <t>Dunaharaszti Hírek és információs kiadványok rovatok közötti módosítása ultrahangos kutyariasztóra</t>
  </si>
  <si>
    <t xml:space="preserve">Ultrahangos kutyariasztó </t>
  </si>
  <si>
    <t>Parkolóhely-megváltás bevétel átvezetés Parkolóhely-megváltás tartalékba</t>
  </si>
  <si>
    <t>Temetkezési gépjárműben keletkezett kár biztosító által megtérített összegének átvezetése temetkezés karbantartásra</t>
  </si>
  <si>
    <t>Bezerédi Sportpark fenntartásról átcsoportosítás Bezerédi Sportpark építésre hulladékgyűjtők rozsdamentes takarólemezeinek gyártására</t>
  </si>
  <si>
    <t>047</t>
  </si>
  <si>
    <t>Városgazdálkodás tartalékból átcsoportosítás rotavírus elleni védőoltáshoz vakcina beszerzésre</t>
  </si>
  <si>
    <t>072</t>
  </si>
  <si>
    <t>074040</t>
  </si>
  <si>
    <t>Magyar Államkincstárnál vezetett TOP_Plusz-1.2.1-21 Dunaharaszti-Taksony kerékpárút tartalékból átcsoportosítás a pályázathoz kapcsolódó reziliencia és kommunikációs tevékenységre</t>
  </si>
  <si>
    <t>087</t>
  </si>
  <si>
    <t>Némedi út parkoló és járda közötti sziget leburkolása</t>
  </si>
  <si>
    <t>2023. évi bérintézkedések állami támogatás összegének átvezetése Ágazati pótlék, bérkompenzáció, személyi juttatás és járulék tartalékba</t>
  </si>
  <si>
    <t>*1.1.1.1.</t>
  </si>
  <si>
    <t>*1.2.2.1.</t>
  </si>
  <si>
    <t>*1.2.3.1.1.1.1.</t>
  </si>
  <si>
    <t>*1.2.3.1.1.1.2.</t>
  </si>
  <si>
    <t>*1.2.5.1.1</t>
  </si>
  <si>
    <t>*1.3.2.1.</t>
  </si>
  <si>
    <t>*1.3.2.3.1.</t>
  </si>
  <si>
    <t>*1.3.2.4.2</t>
  </si>
  <si>
    <t>*1.3.2.6.1</t>
  </si>
  <si>
    <t>*1.3.3.1.1.</t>
  </si>
  <si>
    <t>*1.3.3.1.2.</t>
  </si>
  <si>
    <t>*1.4.1.1.</t>
  </si>
  <si>
    <t>*1.5.2</t>
  </si>
  <si>
    <t>A * jelölt rovatok a bérintézkedések támogatás összegeit tartalmazzák</t>
  </si>
  <si>
    <t>19/2023. (III.21.) sz. Kt. határozat alapján az "Intézményi ingatlanok különféle karbantartási kerete" és a "2022. évi maradvány terhére képzett" tartalékokról átcsoportosítás Dunaharaszti Városi Bölcsőde új tagintézmény építésére</t>
  </si>
  <si>
    <t>Városgazdálkodás tartalékból átcsoportosítás Batthyány u. 2. sz. alatti épület karbantartási munkálataira</t>
  </si>
  <si>
    <t>25/2023. (III.27.) sz. Kt. határozat alapján Városgazdálkodás tartalékból átcsoportosítás a Református Dunamenti Kistérségi Diakónia Majosházai Hospice Ház támogatására</t>
  </si>
  <si>
    <t>Református Dunamenti Kistérségi Diakónia Majosházai Hospice Ház támogatása</t>
  </si>
  <si>
    <t>Csapadékvíz-beruházások lakossági kérésről átcsoportosítás Temető utcában vízelvezető árok felújítására</t>
  </si>
  <si>
    <t>Temető utcában vízelvezető árok felújítása</t>
  </si>
  <si>
    <t>Visszautalt Bursa Hungarica ösztöndíj átvezetés Biztos bevétel tartalékba</t>
  </si>
  <si>
    <t>310</t>
  </si>
  <si>
    <t>Visszautalt Bursa Hungarica ösztöndíj</t>
  </si>
  <si>
    <t>Előző évi hátralék átvezetése részgazdára</t>
  </si>
  <si>
    <t>Népszámlálás rovatok közötti technikai helyesbítése fel nem használt támogatás összegének visszautalására</t>
  </si>
  <si>
    <t>013210</t>
  </si>
  <si>
    <t>6/2023. (III.23.) sz. OMS határozat alapján Dunaharaszti Városi Könyvtár részére "Nyári napközis olvasótábor" megszervezéséhez nyújtott támogatás átvezetése részgazdára</t>
  </si>
  <si>
    <t>008                             Támogatások elszámolása</t>
  </si>
  <si>
    <t>008                            Támogatások elszámolása</t>
  </si>
  <si>
    <t>30/2023. (II.28.) sz. Német Nemzetiségi Önkormányzat határozata alapján a Dunaharaszti Hétszínvirág Óvoda részére nyújtott támogatás átvezetés részgazdára</t>
  </si>
  <si>
    <t>Polgármesteri Hivatal népszámlálásra kapott támogatás fel nem használt összegének visszafizetése</t>
  </si>
  <si>
    <t>Önkormányzati finanszírozás Idősek nappali ellátásán ÖNO karbantartási munkálatai, felnőtt Orvosi Rendelő és Egészségügyi labor gázdíj korábban saját forrásból megelőlegezett összegére</t>
  </si>
  <si>
    <t>Gyermekjóléti Szolgáltatáson közüzemi díjak jóváírása átvezetés áram- és gázdíjra</t>
  </si>
  <si>
    <t>Zöld Óvoda rovatok közötti módosítása KOKOSZ tagdíjra és víztisztító karbantartására</t>
  </si>
  <si>
    <t>Bér rovatok módosítása februári bérkönyvelés alapján</t>
  </si>
  <si>
    <t>4-5.</t>
  </si>
  <si>
    <t>10.             11.</t>
  </si>
  <si>
    <t>Adóügyi feladatok rovatok közötti módosítása másológép beszerzésre</t>
  </si>
  <si>
    <t>18.           19.</t>
  </si>
  <si>
    <t>Igazgatáson hulladékgazdálkodási bírság bevétele átvezetés szolgáltatásra</t>
  </si>
  <si>
    <t>Dolgozónak értékesített tárgyi eszköz bevételének átvezetése beruházásra</t>
  </si>
  <si>
    <t>Dolgozónak értékesített tárgyi eszköz</t>
  </si>
  <si>
    <t>Munkáltatói kölcsönön bevételemelés követeléselőírás miatt</t>
  </si>
  <si>
    <t>Önkormányzati finanszírozás Idősek nappali ellátása víz- és áramdíjára</t>
  </si>
  <si>
    <t>32.        33.</t>
  </si>
  <si>
    <t>Egyéb járóbeteg-ellátáson és Egészségügyi laboron közüzemi díj jóváírás átvezetés áramdíjra</t>
  </si>
  <si>
    <t xml:space="preserve"> + </t>
  </si>
  <si>
    <t>Könyvtári állománygyarapítás rovatok közötti módosítása szállítási költségre</t>
  </si>
  <si>
    <t>082042</t>
  </si>
  <si>
    <t>Könyvtári szolgáltatásokon készletértékesítésre be nem tervezett bevétel emelése</t>
  </si>
  <si>
    <t>Közüzemi díj jóváírás és bér kerekítési különbözetből adódó bevétel átvezetés áram- és gázdíjra</t>
  </si>
  <si>
    <t>Városi Sportcsarnok rovatok közötti módosítása dekorációs függöny beszerzésre</t>
  </si>
  <si>
    <t>6/2023. (III.23.) sz. OMS határozat alapján Civil szervezetek, egyházak támogatása (Művészeti, oktatási, kulturális év közben belépő feladatok) tartalékból átcsoportosítás Dunaharaszti Városi Könyvtár részére "Nyári napközis olvasótábor" megszervezésére</t>
  </si>
  <si>
    <t>Temetkezés rovatok közötti módosítása közigazgatási bírságra és egyéb dologi kiadásra</t>
  </si>
  <si>
    <t>Polgármester rendelkezése tartalékból átcsoportosítás Szigetszentmiklós-Tököl Sportegyesület támogatására</t>
  </si>
  <si>
    <t>A, ÖNKORMÁNYZAT</t>
  </si>
  <si>
    <t xml:space="preserve"> B, Intézmények</t>
  </si>
  <si>
    <t>Szigetszentmiklós-Tököl Sportegyesület támogatása</t>
  </si>
  <si>
    <t xml:space="preserve">Építési beruházások tartalékból átcsoportosítás Sport-szigeti turizmusfejlesztés nettó projektfinanszírozása miatt projektelőkészítés áfájára </t>
  </si>
  <si>
    <t>152                   Sport-sziget turizmusfejlesztése BELÜLI                TOP_PLUSZ-1.1.3-21-PT1-2022-00008</t>
  </si>
  <si>
    <t>Intézményi ingatlanok különféle karbantartási kerete tartalékból átcsoportosítás Hunyadi János Általános Iskola konyhatechnológiai vázlatterv elkészítésére</t>
  </si>
  <si>
    <t>52-53.</t>
  </si>
  <si>
    <t>138.      139.</t>
  </si>
  <si>
    <t>Beruházások, felújítások műszaki ellenőrzése tartalékból átcsoportosítás közvilágítási lámpa felszerelésére a Dárda utcában</t>
  </si>
  <si>
    <t>Útépítési tervek, műszaki ellenőrzés, eljárási díjak, engedélyek tartalékból átcsoportosítás Bláthy Ottó utcai csomópont javítására</t>
  </si>
  <si>
    <t>034</t>
  </si>
  <si>
    <t>045160</t>
  </si>
  <si>
    <t>TOP_PLUSZ-1.1.3-21-PT1-2022-00008 Sport-sziget turizmusfejlesztése pályázat kiutalt összegének átvezetése részgazdára</t>
  </si>
  <si>
    <t>Megelőlegezési hitel elszámolás alapján (január havi)</t>
  </si>
  <si>
    <t>Megelőlegezési hitel elszámolás alapján (február havi)</t>
  </si>
  <si>
    <t>2022. március havi állami támogatás (szociális ágazati összevont pótlék) átvezetés Ágazati pótlék, bérkompenzáció, személyi juttatás és járulék tartalékba</t>
  </si>
  <si>
    <t>Ebből:                                    Európai Uniós feladatok eredeti előirányzat                                  (140 részletezőkód, 084 Magyar Államkincstárnál vezetett TOP_Plusz-1.2.1-21 Dunaharaszti-Taksony kerékpárút  pályázathoz kapcsolódó számla tartalék)                    (152 részletezőkód)</t>
  </si>
  <si>
    <t>Európai Uniós feladatok eredeti előirányzat                                  (140 részletezőkód, 084 Magyar Államkincstárnál vezetett TOP_Plusz-1.2.1-21 Dunaharaszti-Taksony kerékpárút  pályázathoz kapcsolódó számla tartalék)    (152 részletezőkód)</t>
  </si>
  <si>
    <t>Ágazati pótlék, bérkompenzáció, személyi juttatás és járulék tartalékból átcsoportosítás Sport-sziget turizmusfejlesztése (TOP_PLUSZ-1.1.3-21-PT1-2022-00008) pályázat nettó finanszírozása miatt előzetesen felszámított ÁFA saját forrás céljára</t>
  </si>
  <si>
    <t>030</t>
  </si>
  <si>
    <t>066010</t>
  </si>
  <si>
    <t>Bezerédi Sportpark fenntartás rovatok közötti módosítása áram-, víz- és internetdíjra</t>
  </si>
  <si>
    <t>Játszóterek felülvizsgálata rovatok közötti módosítása játszóterek takarítási munkálataira</t>
  </si>
  <si>
    <t>Városgazdálkodás tartalékból átcsoportosítás Kábítószer Egyeztető Fórum által szervezett előadásra</t>
  </si>
  <si>
    <t>097</t>
  </si>
  <si>
    <t>074052</t>
  </si>
  <si>
    <t>Munkáltatói kölcsön bevételemelés követeléselőírás miatt</t>
  </si>
  <si>
    <t>VIII. Versenysport- és utánpótlás-nevelési tevékenység és támogatás</t>
  </si>
  <si>
    <t>134.        158.</t>
  </si>
  <si>
    <t>115.     116.</t>
  </si>
  <si>
    <t>119.          120.</t>
  </si>
  <si>
    <t>2021-2022. évi szennyvíz és ivóvíz bérleti díj terhére végzett munkák elszámolása miatti rovatok közötti módosítás</t>
  </si>
  <si>
    <t>Áramdíj-jóváírás és tavalyi támogatás fel nem használt összegének átvezetése Energiaárak emelkedése miatti tartalékba</t>
  </si>
  <si>
    <t>Önkormányzati adóbevételek átvezetése Bizonytalan bevételek tartalékba</t>
  </si>
  <si>
    <t>Igazgatáson közüzemi díj jóváírás átvezetés áram- és gázdíjra</t>
  </si>
  <si>
    <t>119.     120.</t>
  </si>
  <si>
    <t>138.         139.</t>
  </si>
  <si>
    <t>52.       53.</t>
  </si>
  <si>
    <t>30/2023. (II.28.) sz. határozat: Német Nemzetiségi Önkormányzat támogatása</t>
  </si>
  <si>
    <t>29/2023. (II.28.) sz. határozat: Német Nemzetiségi Önkormányzat támogatása</t>
  </si>
  <si>
    <t>31/2023. (II.22.) sz. határozat: Német Nemzetiségi Önkormányzat támogatása</t>
  </si>
  <si>
    <t>Közterület-felügyelet részére informatikai eszköz vásárlás</t>
  </si>
  <si>
    <t>4517/43. hrsz. ingatlanértékesítés MÁV Magyar Államvasutak Zrt. részére</t>
  </si>
  <si>
    <t>4554/1. hrsz. ingatlanértékesítés MÁV Magyar Államvasutak Zrt. részére</t>
  </si>
  <si>
    <t>Igazgatáson bér kerekítési különbözetből adódó bevétel és közüzemi díj jóváírás átvezetés áram- és gázdíjra</t>
  </si>
  <si>
    <t>Gyermekjóléti Szolgáltatáson bér kerekítési különbözetből adódó bevétel átvezetés egyéb dologi kiadásra</t>
  </si>
  <si>
    <t>Bezerédi Sportpark építésén fordított áfa adózás miatt rovatok közötti technikai módosítás</t>
  </si>
  <si>
    <t xml:space="preserve">Építési beruházások tartalékból átcsoportosítás Sport-sziget turizmusfejlesztése (TOP_PLUSZ-1.1.3-21-PT1-2022-00008) nettó projektfinanszírozása miatt projektelőkészítés áfájára </t>
  </si>
  <si>
    <t>Megelőlegezési hitel elszámolás alapján (március havi)</t>
  </si>
  <si>
    <t>2022 március havi állami támogatás (szociális ágazati összevont pótlék) átvezetés Ágazati pótlék, bérkompenzáció, személyi juttatás és járulék tartalékba</t>
  </si>
  <si>
    <t>Pillangó utca, Kinizsi utca-Somogyváry utca közötti szakaszon víznyomócső építéseken fordított ÁFA miatti rovatok közötti módosítás</t>
  </si>
  <si>
    <t>Közüzemi díj jóváírás, étkezésen túlfizetés, bérkerekítési különbözetből adódó bevétel átvezetése gázdíjra és egyéb dologi kiadásra</t>
  </si>
  <si>
    <t>070                             Szennyvíz közműfejlesztési hozzájárulás felhasználás előző évekről                 (Ivóvíz)</t>
  </si>
  <si>
    <t>070                             Szennyvíz közműfejlesztési hozzájárulás felhasználás előző évekről                (Ivóvíz)</t>
  </si>
  <si>
    <t>069                              Szennyvíz közműfejlesztési hozzájárulás felhasználás előző évekről (Szennyvíz)</t>
  </si>
  <si>
    <t>307.</t>
  </si>
  <si>
    <t>308.</t>
  </si>
  <si>
    <t>309.</t>
  </si>
  <si>
    <t>310.</t>
  </si>
  <si>
    <t>311.</t>
  </si>
  <si>
    <t>312.</t>
  </si>
  <si>
    <t>Szennyvíz közműfejlesztési hozzájárulás felhasználás előző évek (Szennyvíz) (Kinizsi u. és Somogyváry u. közötti szakaszon víznyomócső építés, ford. ÁFA)</t>
  </si>
  <si>
    <t>Szennyvíz közműfejlesztési hozzájárulás felhasználás előző évek (Ivóvíz) (előző évi maradvány: 43.969.369,- Ft, Pillangó u. víznyomócső építés, fordított ÁFA)</t>
  </si>
  <si>
    <t>Szennyvíz bérleti díj felhasználás előző évek (Szennyvíz) (előző évi maradvány: 7.650.000,- Ft, Kinizsi u. és Somogyváry u. közötti szakaszon víznyomócső építés, ford. ÁFA)</t>
  </si>
  <si>
    <t>Dunaharaszti  Város Önkormányzata Képviselő-testületének 5/2023. (III.03.) rendeletének módosítása  2023. április 30-ig</t>
  </si>
  <si>
    <t>8/2023. (IV.20.) sz. OMS határozat alapján az Oktatási-nevelési intézmények kulturális programjának támogatása tartalékból átcsoportosítás Baktay Ervin Gimnázium, Dunaharaszti Alapfokú Művészeti Iskola, Kőrösi Csoma Sándor Általános Iskola, Hunyadi János Általános Iskola, II. Rákóczi Ferenc Általános Iskola programjainak támogatására a 2. számú melléklet szerint</t>
  </si>
  <si>
    <t>317</t>
  </si>
  <si>
    <t>8/2023. (IV.20.) sz. OMS határozat: Baktay Ervin Gimnázium támogatása</t>
  </si>
  <si>
    <t>8/2023. (IV.20.) sz. OMS határozat: Dunaharaszti Alapfokú Művészeti Iskola támogatása</t>
  </si>
  <si>
    <t>8/2023. (IV.20.) sz. OMS határozat: Kőrösi Csoma Sándor Általános Iskola támogatása</t>
  </si>
  <si>
    <t>8/2023. (IV.20.) sz. OMS határozat: Hunyadi János Általános Iskola támogatása</t>
  </si>
  <si>
    <t>8/2023. (IV.20.) sz. OMS határozat: II. Rákóczi Ferenc Általános Iskola támogatása</t>
  </si>
  <si>
    <t>Bér rovatok módosítása márciusi bérkönyvelés alapján</t>
  </si>
  <si>
    <t>163.         164.</t>
  </si>
  <si>
    <t>018031</t>
  </si>
  <si>
    <t>9/2023. (IV.20.) sz. OMS határozat alapján önkormányzati finanszírozás "Nyári napközis tábor" bér és járulék céljára</t>
  </si>
  <si>
    <t>34.         35.           36.</t>
  </si>
  <si>
    <t>Megelőlegezési hitel elszámolás alapján (április havi)</t>
  </si>
  <si>
    <t>A 2022. évi szennyvíz és ivóvíz ÉDV Zrt. elszámolás alapján a fel nem használt összeg részletezőkódról átvezetés Vízi közmű bérleti díj elkülönített számla tartalékba</t>
  </si>
  <si>
    <t>169.    170.</t>
  </si>
  <si>
    <t>7/2023. (IV.20.) sz. OMS határozat alapján  a Civil szervezetek, egyházak támogatása és helyi DMTK keretein kívül működő egyéb sportok támogatása tartalékból átcsoportosítás önszerveződő közösségek támogatására az 1. számú melléklet szerint</t>
  </si>
  <si>
    <t>084040</t>
  </si>
  <si>
    <t>169.       170.</t>
  </si>
  <si>
    <t>I. Versenysport- és utánpótlás-nevelési tevékenység és támogatás</t>
  </si>
  <si>
    <t>7/2023. (IV.20.) számú OMS határozat alapján Civil szervezetek, egyházak támogatása és helyi DMTK keretein kívül működő egyéb sportok támogatása tartalékból felosztott 15.000.000,- Ft</t>
  </si>
  <si>
    <t>Haraszti Ninják Taekwondo Sport Egyesület</t>
  </si>
  <si>
    <t>Dunaharaszti Venus Rúdsport Akadémia</t>
  </si>
  <si>
    <t>Budapesti Tornádó Sportegyesület</t>
  </si>
  <si>
    <t>Dunaharaszti Judo Club</t>
  </si>
  <si>
    <t>HardSteppers Tánc és Sport Egyesület</t>
  </si>
  <si>
    <t>Dunaharaszti KEMPO SE</t>
  </si>
  <si>
    <t>II. Civil szervezetek működési támogatása</t>
  </si>
  <si>
    <t>Gazdakör Dunaharaszti</t>
  </si>
  <si>
    <t>Lányok, Asszonyok a Városért Egyesület (LAVE)</t>
  </si>
  <si>
    <t>Dunaharaszti Millenniumtelepért Egyesület</t>
  </si>
  <si>
    <t>Napfény Tánccsoport és Hagyományőrző Egyesület</t>
  </si>
  <si>
    <t>Mozgáskorlátozottak Dunaharaszti Egyesülete</t>
  </si>
  <si>
    <t>PET-RO Állatvédő Egyesület Dunaharaszti</t>
  </si>
  <si>
    <t>Dunaharaszti Környezetbarátok Egyesülete</t>
  </si>
  <si>
    <t>Civilek Dunaharasztiért Egyesület</t>
  </si>
  <si>
    <t>Dunamenti Összművészeti Egyesület</t>
  </si>
  <si>
    <t>Önkéntes Összefogás Dunaharaszti Egyesület (ÖNÖSZ Egyesület)</t>
  </si>
  <si>
    <t>III. Civil  szervezetek programtámogatása</t>
  </si>
  <si>
    <t>Dunaharaszti Honismereti Kör</t>
  </si>
  <si>
    <t>Barátság Nyugdíjas Egyesület</t>
  </si>
  <si>
    <t>Dunaharaszti Gyermekbarátok Mozgalma Közhasznú Egyesület</t>
  </si>
  <si>
    <t>Dunaharaszti Nyugdíjasok Egyesülete</t>
  </si>
  <si>
    <t>Magyar Cserkészszövetség 647. sz. Tomori Pál Cserkészcsapat</t>
  </si>
  <si>
    <t>Dunaharaszti Őszirózsa Nyugdíjas Egyesület</t>
  </si>
  <si>
    <t xml:space="preserve"> Dunaharaszti Nagycsaládos Egyesület</t>
  </si>
  <si>
    <t>Protego Europa Természetjáró és Környezetvédő Egyesület</t>
  </si>
  <si>
    <t>Liget Kórus</t>
  </si>
  <si>
    <t>Dunaharaszti Alsófalusi Nyugdíjas Klub</t>
  </si>
  <si>
    <t>Dunaharaszti Katonai Hagyományőrző Egyesület</t>
  </si>
  <si>
    <t>Alkotók Dunaharaszti Egyesülete</t>
  </si>
  <si>
    <t>Petőfi-ligetért Baráti Kör</t>
  </si>
  <si>
    <t>A10 Dunaharaszti Hagyományőrző Postagalambsport Civil Társaság</t>
  </si>
  <si>
    <t>Dunaharaszti Ifjúsági Egyesület</t>
  </si>
  <si>
    <t>Mozaik Közhasznú Egyesület az Autizmussal Élő Emberekért</t>
  </si>
  <si>
    <t>Dunaharaszti Környezetvédelmi és Kulturális Egyesület</t>
  </si>
  <si>
    <t>Dunaharaszti Nőegylet</t>
  </si>
  <si>
    <t>Dunaharaszti Nádor Lakóövezetért Közhasznú Egyesület</t>
  </si>
  <si>
    <t>IV. Egyházak közösségi és hitéleti tevékenységének támogatása</t>
  </si>
  <si>
    <t>Dunaharaszti Baptista Gyülekezet</t>
  </si>
  <si>
    <t>Dunaharaszti Fő Római Katolikus Plébánia</t>
  </si>
  <si>
    <t>Dunaharaszti Rákóczi-ligeti Római Katolikus Egyházközség</t>
  </si>
  <si>
    <t>Pesterzsébeti Görögkatolikus Egyházközség Dunaharaszti Csoport</t>
  </si>
  <si>
    <t>TEÉRTED Baptista Gyülekezet</t>
  </si>
  <si>
    <t>Dunaharaszti Evangélikus Egyházközség</t>
  </si>
  <si>
    <t>Pénzeszköz átadás összesen:</t>
  </si>
  <si>
    <t>171.         183.</t>
  </si>
  <si>
    <t xml:space="preserve">Intézményi ingatlanok különféle karbantartási kerete tartalékból átcsoportosítás felnőtt Orvosi Rendelő automata parkolásgátlók kiépítésére </t>
  </si>
  <si>
    <t>171.   183.</t>
  </si>
  <si>
    <t>Felnőtt Orvosi Rendelőben napelemrendszer kiépítés (előző évi maradvány: 19.139.399,-Ft)</t>
  </si>
  <si>
    <t>Felnőtt Orvosi Rendelő automata parkolásgátló telepítés</t>
  </si>
  <si>
    <t>Csapadékvíz-beruházások lakossági kérésről átcsoportosítás Sport-szigeten ivókút felújítására</t>
  </si>
  <si>
    <t>Sport-szigeten ivókút felújítása</t>
  </si>
  <si>
    <t>18.      19.</t>
  </si>
  <si>
    <t>17.       18.</t>
  </si>
  <si>
    <t>Útfenntartás rendkívüli kiadásai tartalékból átcsoportosítás idős lakosoknak nyújtott kaszálási szolgáltatásra</t>
  </si>
  <si>
    <t xml:space="preserve">  +</t>
  </si>
  <si>
    <t>035</t>
  </si>
  <si>
    <t>052020</t>
  </si>
  <si>
    <t>141</t>
  </si>
  <si>
    <t>Magyar Államkincstárnál vezetett TOP_PLUSZ-1.2.1-21-PT1-2022-00013 Dunaharaszti-Taksony kerékpárút  pályázathoz kapcsolódó számla</t>
  </si>
  <si>
    <t>Beruházások, felújítások műszaki ellenőrzése tartalékból átcsoportosítás Dunaharaszti-Taksony kerékpárút pályázat (TOP_PLUSZ-1.2.1-21-PT1-2022-00013) kiviteli terveinek áttervezésére</t>
  </si>
  <si>
    <t>Magyar Államkincstárnál vezetett  TOP_PLUSZ-1.2.1-21-PT1-2022-00013 Dunaharaszti-Taksony kerékpárút tartalékból átcsoportosítás a pályázathoz kapcsolódó projektmenedzseri feladatok ellátására</t>
  </si>
  <si>
    <t>Magyar Államkincstárnál vezetett TOP_PLUSZ-1.2.1-21-PT1-2022-00013 Dunaharaszti-Taksony kerékpárút tartalékból átcsoportosítás a pályázathoz kapcsolódó reziliencia és kommunikációs tevékenységre</t>
  </si>
  <si>
    <t>Magyar Államkincstárnál vezetett TOP_PLUSZ-1.2.1-21-PT1-2022-00013Dunaharaszti-Taksony kerékpárút pályázathoz kapcsolódó számla</t>
  </si>
  <si>
    <t>Városi piac rovatok közötti módosítása elsősegélydoboz beszerzésre</t>
  </si>
  <si>
    <t>56/2023. (III.20.) sz. Német Nemzetiségi Önkormányzat határozata alapján kapott támogatás átvezetés részletezőkódra</t>
  </si>
  <si>
    <t>Dunaharaszti-Taksony kerékpárút építése pályázat (KÍVÜLI)</t>
  </si>
  <si>
    <t>Csapadékvíz-beruházások lakossági kérésről átcsoportosítás 510-es út DTCS-től délre eső szakaszon szennyvízelvezető hálózat építési munkáinak műszaki ellenőrzésére</t>
  </si>
  <si>
    <t>510-es út DTCS-től délre eső szakaszon szennyvízelvezető hálózat építés</t>
  </si>
  <si>
    <t>Önkormányzati finanszírozás felnőtt Orvosi Rendelő megrongált parkolásgátló javítására</t>
  </si>
  <si>
    <t xml:space="preserve">Intézményi ingatlanok különféle karbantartási kerete tartalékból átcsoportosítás felnőtt Orvosi Rendelő automata parkolásgátló javítására </t>
  </si>
  <si>
    <t>Rozmaring u.-Golgota u. között csapadékvíz-elvezetés</t>
  </si>
  <si>
    <t>Csapadékvíz-elvezetés tervezésekről átcsoportosítás Rozmaring u.-Golgota u. közötti szakaszon csapadékvíz-elvezetés tervezésére</t>
  </si>
  <si>
    <t>Csapadékvíz-beruházások lakossági kérésről átcsoportosítás 0170/15 hrsz. csapadékvíz-szivárogtató rendszer építésére</t>
  </si>
  <si>
    <t>0170/15 hrsz. csapadékvíz-szivárogtató rendszer építés</t>
  </si>
  <si>
    <t>Magyar Államkincstárnál vezetett TOP_PLUSZ-1.2.1-21-PT1-2022-00013 Dunaharaszti-Taksony kerékpárút  pályázathoz kapcsolódó számla tartalékból átcsoportosítás kerékpárforgalmi hálózati terv készítésére</t>
  </si>
  <si>
    <t>Magyar Államkincstárnál vezetett TOP_PLUSZ-1.2.1-21-PT1-2022-00013 Dunaharaszti-Taksony kerékpárút  pályázathoz kapcsolódó számla tartalékból átcsoportosítás Kerékpárút Nyilvántartó Rendszerbe történő adatszolgáltatásra</t>
  </si>
  <si>
    <t>Kábítószer Egyeztető Fórum rovatok közötti módosítása vásárolt élelmezésre, addiktológiai tanácsadásra, plakát, szórólap, sportszerek beszerzésére</t>
  </si>
  <si>
    <t>Kábítószer Egyeztető Fórum eszközbeszerzés</t>
  </si>
  <si>
    <t>Kiemelt állami és önkormányzati rendezvények rovatok közötti módosítása vásárolt élelmezésre a "Gyere be ház" megnyitójára</t>
  </si>
  <si>
    <t>Csapadékvíz-beruházások lakossági kérésről átcsoportosítás Kisfaludy utcai áteresz építésére és földmedrű árkok karbantartására</t>
  </si>
  <si>
    <t>Kisfaludy u. áteresz építés</t>
  </si>
  <si>
    <t>Zöldterület-kezelésről átcsoportosítás Sport-szigeten facsemeték ültetésére és meglévő fák ápolására</t>
  </si>
  <si>
    <t>029</t>
  </si>
  <si>
    <t>042220</t>
  </si>
  <si>
    <t>Vízi közmű bérleti díj elkülönített számla tartalékból átcsoportosítás 510-es út DTCS-től délre eső szakaszon vízelvezetés kiépítésére és műszaki ellenőrzésére</t>
  </si>
  <si>
    <t>Szennyvíz bérleti díj rovatok közötti módosítása 510-es út DTCS-től délre eső szakaszon gravitációs és nyomott szennyvízvezeték építésére</t>
  </si>
  <si>
    <t>Zöldterület-kezelés rovatok közötti módosítása padok beszerzésére és parkok területén padok rendbetételére</t>
  </si>
  <si>
    <t>Bezerédi Sportpark fenntartás rovatok közötti módosítása sporteszközök beszerzésére</t>
  </si>
  <si>
    <t>081045</t>
  </si>
  <si>
    <t>Nemzetközi kapcsolatok rovatok közötti módosítása német vendégek részére zenei előadásra</t>
  </si>
  <si>
    <t>059</t>
  </si>
  <si>
    <t>086030</t>
  </si>
  <si>
    <t>Tárgyi eszköz értékesítés bevétele átvezetés Biztos bevétel tartalékba</t>
  </si>
  <si>
    <t>Tárgyi eszköz értékesítés</t>
  </si>
  <si>
    <t>Temetkezés rovatok közötti módosítása elosztó szekrény bővítésére</t>
  </si>
  <si>
    <t>Temetkezés elosztó szekrény bővítés</t>
  </si>
  <si>
    <t>Önkormányzati finanszírozás Idősek nappali ellátása áramdíjára</t>
  </si>
  <si>
    <t>Óvodai intézményi étkeztetés rovatok közötti módosítása behajtás végrehajtási díjára</t>
  </si>
  <si>
    <t>Csapadékvíz-beruházások lakossági kérésről átcsoportosítás Fő úti szennyvízátemelő irányítástechnika kiépítésére</t>
  </si>
  <si>
    <t>Iskolai és gimnáziumi étkeztetésen bevételemelés követeléselőírás miatt (étkezési kártya pótlás)</t>
  </si>
  <si>
    <t>Energiaárak emelkedése miatti tartalékból átcsoportosítás Dunaharaszti Területi Gondozási Központ Idősek nappali ellátása víz- és áramdíjára</t>
  </si>
  <si>
    <t>Intézményi ingatlanok különféle karbantartási kerete tartalékból átcsoportosítás Dunaharaszti Területi Gondozási Központban, Gyermekorvosi Rendelőben és felnőtt Orvosi Rendelőben menekülési irányfény éves felülvizsgálatára</t>
  </si>
  <si>
    <t>Energiaárak emelkedése miatti tartalékból átcsoportosítás Dunaharaszti Területi Gondozási Központ Idősek nappali ellátása áramdíjára</t>
  </si>
  <si>
    <t>Energiaárak emelkedése miatti tartalékból átcsoportosítás Dunaharaszti Területi Gondozási Központ Idősek nappali ellátásán ÖNO karbantartási munkálatai, felnőtt Orvosi Rendelő és Egészségügyi labor gázdíj korábban saját forrásból megelőlegezett összegére</t>
  </si>
  <si>
    <t>8/2023. (IV.20.) sz. OMS határozat alapján az Oktatási-nevelési intézmények kulturális programjának támogatása tartalékból átcsoportosítás Dunaharaszti Hétszínvirág Óvoda programokra nyújtott támogatására</t>
  </si>
  <si>
    <t>Intézményi ingatlanok különféle karbantartási kerete tartalékból átcsoportosítás Dunaharaszti Hétszínvirág Óvodában menekülési irányfény éves felülvizsgálatára</t>
  </si>
  <si>
    <t>Zöldterület-kezelésről átcsoportosítás Dunaharaszti Hétszínvirág Óvoda kertészeti munkálataira</t>
  </si>
  <si>
    <t>Hóeltakarítási opció tartalékból átcsoportosítás Dunaharaszti Hétszínvirág Óvoda kertészeti munkálataira</t>
  </si>
  <si>
    <t>Intézményi zöldterület ad-hoc feladatai tartalékból átcsoportosítás Dunaharaszti Mese és Napsugár Óvoda kertészeti munkálataira</t>
  </si>
  <si>
    <t>Intézményi ingatlanok különféle karbantartási kerete tartalékból átcsoportosítás Dunaharaszti Mese Óvodában armatúracsere korábban saját forrásból megelőlegezett összegére</t>
  </si>
  <si>
    <t>8/2023. (IV.20.) sz. OMS határozat alapján az Oktatási-nevelési intézmények kulturális programjának támogatása tartalékból átcsoportosítás Dunaharaszti Mese Óvoda programokra nyújtott támogatására</t>
  </si>
  <si>
    <t>Finanszírozás módosítás (Dunaharaszti Napsugár Óvoda)</t>
  </si>
  <si>
    <t>Energiaárak emelkedése miatti tartalékból átcsoportosítás Dunaharaszti Napsugár Óvoda gázdíj korábban saját forrásból megelőlegezett összegére</t>
  </si>
  <si>
    <t>Intézményi ingatlanok különféle karbantartási kerete tartalékból átcsoportosítás Dunaharaszti Városi Bölcsőde új tagintézmény építéséhez kapcsolódó tervezői művezetésre</t>
  </si>
  <si>
    <t>Energiaárak emelkedése miatti tartalékból átcsoportosítás közterületi kamerák, nem lakáscélú ingatlanok, lakásgazdálkodással kapcsolatos feladatok, elektromos töltőállomás, Dunaharaszti Városi Bölcsőde új tagintézmény és városi közkutak áramdíjára</t>
  </si>
  <si>
    <t>Dunaharaszti Városi Bölcsőde új tagintézmény építésén fordított adózás miatt ÁFA rovatok közötti technikai módosítás</t>
  </si>
  <si>
    <t>Intézményi ingatlanok különféle karbantartási kerete tartalékból átcsoportosítás Dunaharaszti Városi Bölcsőde új tagintézmény építésén ideiglenes vízbekötésére</t>
  </si>
  <si>
    <t>Intézményi ingatlanok különféle karbantartási kerete tartalékból átcsoportosítás Dunaharaszti Városi Bölcsőde fő- és tagintézményben menekülési irányfény éves felülvizsgálatára</t>
  </si>
  <si>
    <t>Intézményi ingatlanok különféle karbantartási kerete tartalékból átcsoportosítás Dunaharaszti Városi Bölcsőde új tagintézmény építéséhez kapcsolódó áram csatlakozási díjra</t>
  </si>
  <si>
    <t>Intézményi ingatlanok különféle karbantartási kerete tartalékból átcsoportosítás Dunaharaszti Városi Bölcsőde új tagintézmény építéséhez kapcsolódó műszaki szakértői véleményre</t>
  </si>
  <si>
    <t>9/2023. (IV.20.) sz. OMS határozat alapján Nyári napközis tábor kiadásai tartalékból átcsoportosítás Dunaharaszti Család- és Gyermekjóléti Szolgálat nyári napközis táborhoz kapcsolódó bér és járulék céljára</t>
  </si>
  <si>
    <t>Intézményi ingatlanok különféle karbantartási kerete tartalékból átcsoportosítás Dunaharaszti Család-és Gyermekjóléti Szolgálat armatúrák cseréjére</t>
  </si>
  <si>
    <t>Intézményi ingatlanok különféle karbantartási kerete tartalékból átcsoportosítás Dunaharaszti Szivárvány és Százszorszép Óvodában menekülési irányfény éves felülvizsgálatára</t>
  </si>
  <si>
    <t>Hóeltakarítási opció tartalékból átcsoportosítás Dunaharaszti Szivárvány Óvoda kertészeti munkálataira</t>
  </si>
  <si>
    <t>Intézményi zöldterület ad-hoc feladatai tartalékból átcsoportosítás Dunaharaszti Szivárvány Óvoda kertészeti munkálataira</t>
  </si>
  <si>
    <t>Finanszírozás módosítás (Dunaharaszti Szivárvány Óvoda)</t>
  </si>
  <si>
    <t>8/2023. (IV.20.) sz. OMS határozat alapján az Oktatási-nevelési intézmények kulturális programjának támogatása tartalékból átcsoportosítás Dunaharaszti Szivárvány Óvoda programokra nyújtott támogatására</t>
  </si>
  <si>
    <t>Önkormányzati finanszírozás Dunaharaszti Területi Gondozási Központban, Gyermekorvosi Rendelőben és felnőtt Orvosi Rendelőben menekülési irányfény éves felülvizsgálatára</t>
  </si>
  <si>
    <t>Dunaharaszti Hétszínvirág Óvoda rovatok közötti módosítása informatikai eszközök üzemeltetésére</t>
  </si>
  <si>
    <t>Dunaharaszti Hétszínvirág Óvoda rovatok közötti módosítása függő bér rendezésére</t>
  </si>
  <si>
    <t>Dunaharaszti Hétszínvirág Óvoda kerekítési különbözetből adódó bevétel átvezetés szolgáltatásra</t>
  </si>
  <si>
    <t>8/2023. (IV.20.) sz. OMS határozat alapján Dunaharaszti Hétszínvirág Óvoda programokra kapott támogatása átvezetés részletezőkódra</t>
  </si>
  <si>
    <t>Önkormányzati finanszírozás Dunaharaszti Hétszínvirág Óvodában menekülési irányfény éves felülvizsgálatára</t>
  </si>
  <si>
    <t>Önkormányzati finanszírozás Dunaharaszti Hétszínvirág Óvoda kertészeti munkálataira</t>
  </si>
  <si>
    <t>Dunaharaszti Mese Óvoda rovatok közötti módosítása armatúra cserére</t>
  </si>
  <si>
    <t>Dunaharaszti Napsugár Óvoda rovatok közötti módosítása közüzemi díjak késedelmi díjára</t>
  </si>
  <si>
    <t>Dunaharaszti Mese Óvoda SNI rovatok közötti módosítása szállítási költségre</t>
  </si>
  <si>
    <t>Önkormányzati finanszírozás Dunaharaszti Mese Óvodában armatúracsere korábban saját forrásból megelőlegezett összegére</t>
  </si>
  <si>
    <t>Dunaharaszti Napsugár Óvoda rovatok közötti módosítása gázdíjra</t>
  </si>
  <si>
    <t>29/2023. (II.28.) sz. Német Nemzetiségi Önkormányzat határozata alapján Dunaharaszti Mese Óvoda részére nyújtott támogatás átvezetés részgazdára</t>
  </si>
  <si>
    <t>Önkormányzati finanszírozás Dunaharaszti Napsugár Óvoda gázdíj korábban saját forrásból megelőlegezett összegére</t>
  </si>
  <si>
    <t>Dunaharaszti Mese Óvoda közüzemi díj jóváírás és bér kerekítési különbözetből adódó bevétel átvezetése áramdíjra</t>
  </si>
  <si>
    <t>8/2023. (IV.20.) sz. OMS határozat alapján Dunaharaszti Mese Óvoda programokra kapott támogatása átvezetés részletezőkódra</t>
  </si>
  <si>
    <t>Önkormányzati finanszírozás Dunaharaszti Mese és Napsugár Óvoda kertészeti munkálataira</t>
  </si>
  <si>
    <t>Dunaharaszti Mese Óvoda áramdíj-jóváírás és bér kerekítési különbözet átvezetés áramdíj költségeire</t>
  </si>
  <si>
    <t>Dunaharaszti Napsugár Óvoda rovatok közötti módosítása kétmedencés mosogató, csaptelep és csepegtető tálca beszerzésre</t>
  </si>
  <si>
    <t>Dunaharaszti Városi Bölcsőde főintézmény rovatok közötti módosítása telefondíjra és közüzemi díjak késedelmi költségeire</t>
  </si>
  <si>
    <t>Önkormányzati finanszírozás Dunaharaszti Városi Bölcsőde fő- és tagintézményben menekülési irányfény éves felülvizsgálatára</t>
  </si>
  <si>
    <t>Dunaharaszti Városi Bölcsőde fő- és tagintézmény rovatok közötti módosítása szőnyegbérlés többletköltségére</t>
  </si>
  <si>
    <t>Önkormányzati finanszírozás Dunaharaszti Család- és Gyermekjóléti Szolgálat armatúrák cseréjére</t>
  </si>
  <si>
    <t>31/2023. (II.22.) sz. Német Nemzetiségi Önkormányzat határozata alapján Dunaharaszti Szivárvány Óvoda részére nyújtott támogatás átvezetés részgazdára</t>
  </si>
  <si>
    <t>Dunaharaszti Szivárvány Óvoda bér kerekítési különbözetből adódó bevétel átvezetés szolgáltatásra</t>
  </si>
  <si>
    <t>Dunaharaszti Szivárvány Óvoda rovatok közötti módosítása TP link switch beszerzésre</t>
  </si>
  <si>
    <t>8/2023. (IV.20.) sz. OMS határozat alapján Dunaharaszti Szivárvány Óvoda programokra kapott támogatása átvezetés részletezőkódra</t>
  </si>
  <si>
    <t>Önkormányzati finanszírozás Dunaharaszti Szivárvány és Dunaharaszti Százszorszép Óvodában menekülési irányfény éves felülvizsgálatára</t>
  </si>
  <si>
    <t>Önkormányzati finanszírozás Dunaharaszti Szivárvány Óvoda kertészeti munkálataira</t>
  </si>
  <si>
    <t>Dunaharaszti Szivárvány Óvoda rovatok közötti módosítása pados asztalok és mosógép beszerzésre</t>
  </si>
  <si>
    <t>Intézményi ingatlanok különféle karbantartási kerete tartalékból átcsoportosítás Dunaharaszti Mese Óvodában armatúracsere korábban megelőlegezett saját forrására</t>
  </si>
  <si>
    <t>Intézményi ingatlanok különféle karbantartási kerete tartalékból átcsoportosítás Dunaharaszti Városi Bölcsőde új tagintézmény ideiglenes vízbekötésére</t>
  </si>
  <si>
    <t>2023 április havi állami támogatás (szociális ágazati összevont pótlék) átvezetés Ágazati pótlék, bérkompenzáció, személyi juttatás és járulék tartalékba</t>
  </si>
  <si>
    <t>Baktay téren rendezvényekre elektromos hálózatbővítés</t>
  </si>
  <si>
    <t>Erdőállomány kezelés és fenntartás rovatok közötti módosítása Sport-szigeten facsemeték ültetésére és meglévő fák ápolására</t>
  </si>
  <si>
    <t>Kiemelt állami és önkormányzati rendezvényekről átcsoportosítás Baktay téren lévő elektromos hálózat bővítésére</t>
  </si>
  <si>
    <t>Kiemelt állami és önkormányzati rendezvényekről átcsoportosítás Baktay téren elektromos hálózatbővítéshez kapcsolódó CSD KIF csatlakozási alapdíjára</t>
  </si>
  <si>
    <t>Csapadékvíz-beruházások lakossági kérésről átcsoportosítás Munkácsy utcai árok helyreállítására</t>
  </si>
  <si>
    <t>Laffert-kúriával kapcsolatos feladatok rovatok közötti módosítása továbbképzés díjára</t>
  </si>
  <si>
    <t>Folyóirat-jóváírás átvezetés szolgáltatásra</t>
  </si>
  <si>
    <t>Könyvtári szolgáltatásokon bevételemelés követeléselőírás miatt</t>
  </si>
  <si>
    <t>Intézményi zöldterület ad-hoc feladatai tartalékból átcsoportosítás Dunaharaszti Mese Óvoda és Dunaharaszti Napsugár Óvoda kertészeti munkálataira</t>
  </si>
  <si>
    <t xml:space="preserve">Sport-sziget turizmusfejlesztése pályázat  (TOP_PLUSZ-1.1.3-21-PT1-2022-00008) </t>
  </si>
  <si>
    <t>Dunaharaszti Városi Bölcsőde új tagintézmény kerítés, játszóudvar, növények</t>
  </si>
  <si>
    <t>Dunaharaszti Városi Bölcsőde új tagintézmény beépített bútorok</t>
  </si>
  <si>
    <t>Dunaharaszti Városi Bölcsőde új tagintézmény csoportszobai játékok, eszközök</t>
  </si>
  <si>
    <t>Dunaharaszti Városi Bölcsőde új tagintézmény konyhatechnológia</t>
  </si>
  <si>
    <t>Paradicsomszigeti utcák építése</t>
  </si>
  <si>
    <t>Paradicsomsziget, Baktay tér, Sport-sziget padok kihelyezése</t>
  </si>
  <si>
    <t>Paradicsomszigetre ping-pong asztal telepítés</t>
  </si>
  <si>
    <t>Felnőtt Orvosi Rendelő gépkocsi beálló</t>
  </si>
  <si>
    <t xml:space="preserve"> Dunaharaszti  Polgármesteri Hivatal</t>
  </si>
  <si>
    <t>Játszóterek felülvizsgálatáról átcsoportosítás Paradicsomszigeten ping-pong asztalhoz betonalap készítésére</t>
  </si>
  <si>
    <t>Zöldterület-kezelés rovatok közötti módosítása Paradicsomszigetre padok kihelyezésére</t>
  </si>
  <si>
    <t>Dunaharaszti Város Önkormányzat 2023. évi likviditási terve (Ft-ban)</t>
  </si>
  <si>
    <t>intfin</t>
  </si>
  <si>
    <t>maradvány</t>
  </si>
  <si>
    <t>megel hitel kiad</t>
  </si>
  <si>
    <t>megel hitel bev</t>
  </si>
  <si>
    <t>hiteltörlesztés</t>
  </si>
  <si>
    <r>
      <t xml:space="preserve">036                                     </t>
    </r>
    <r>
      <rPr>
        <strike/>
        <sz val="12"/>
        <rFont val="Garamond"/>
        <family val="1"/>
        <charset val="238"/>
      </rPr>
      <t xml:space="preserve"> Vagyongazd. </t>
    </r>
    <r>
      <rPr>
        <sz val="12"/>
        <rFont val="Garamond"/>
        <family val="1"/>
        <charset val="238"/>
      </rPr>
      <t xml:space="preserve">Városgazdálkodási </t>
    </r>
    <r>
      <rPr>
        <strike/>
        <sz val="12"/>
        <rFont val="Garamond"/>
        <family val="1"/>
        <charset val="238"/>
      </rPr>
      <t>k</t>
    </r>
    <r>
      <rPr>
        <sz val="12"/>
        <rFont val="Garamond"/>
        <family val="1"/>
        <charset val="238"/>
      </rPr>
      <t xml:space="preserve">iadások (Közbeszerzés kiadásai; vagyonbiztosítás; energetikai tanácsadás; GDPR megfelelés; DHRV Kft. Végelsz.bev.) </t>
    </r>
  </si>
  <si>
    <t>Csapadékvíz-beruházások lakossági kérésről átcsoportosítás Csokonai u.-Kőrösi u. szakaszán burkolt árok építésére</t>
  </si>
  <si>
    <t>Csokonai u.-Kőrösi u. közötti szakaszon burkolt árok építése</t>
  </si>
  <si>
    <t>Zöldterület-kezelésről átcsoportosítás Hókony-szigetre facsemeték ültetésére</t>
  </si>
  <si>
    <t>Intézményi ingatlanok különféle karbantartási kerete tartalékból átcsoportosítás Dunaharaszti Polgármesteri Hivatal műszaki iroda épületében padlóburkolat cseréjére és festésre</t>
  </si>
  <si>
    <t>Önkormányzati finanszírozás Dunaharaszti Polgármesteri Hivatal műszaki irodájában padlóburkolat cseréjére és festésre</t>
  </si>
  <si>
    <t>Intézményi ingatlanok különféle karbantartási kerete tartalékból átcsoportosítás Dunaharaszti Polgármesteri Hivatal műszaki iroda épületében festésre</t>
  </si>
  <si>
    <t>Önkormányzati finanszírozás Dunaharaszti Polgármesteri Hivatal műszaki iroda épületében festésre</t>
  </si>
  <si>
    <t>089</t>
  </si>
  <si>
    <t>Határ út-Botond u. gyalogátkelőhely kiépítés (FAD)</t>
  </si>
  <si>
    <t>Fekvőrendőr kihelyezéséről átcsoportosítás Határ út-Botond u. kereszteződésében gyalogátkelőhely kialakítására</t>
  </si>
  <si>
    <t>Útépítési tervek, műszaki ellenőrzés, eljárási díjak tartalékból átcsoportosítás Határ út-Botond u. kereszteződésében gyalogátkelőhely kialakítás műszaki ellenőrzésére</t>
  </si>
  <si>
    <t>Intézményi ingatlanok különféle karbantartási kerete tartalékból átcsoportosítás Városi Sportcsarnok viharkárban megsérült tető javítására</t>
  </si>
  <si>
    <t>Napsugár utca felújítása</t>
  </si>
  <si>
    <t>Ágazati pótlék, bérkompenzáció, személyi juttatás és járulék tartalékból feljegyzés alapján átcsoportosítás Dunaharaszti Polgármesteri Hivatal normatív jutalomra és járulékaira</t>
  </si>
  <si>
    <t>Városi dolgozók jutalom kerete tartalékból feljegyzés alapján átcsoportosítás Önkormányzati igazgatás és Közterületi feladatok céljuttatásra és járulékaira</t>
  </si>
  <si>
    <t>Városi dolgozók jutalom kerete tartalékból feljegyzés alapján átcsoportosítás Dunaharaszti Területi Gondozási Központ céljuttatásra és járulékaira</t>
  </si>
  <si>
    <t>Önkormányzati finanszírozás Idősek nappali ellátása, Szociális étkeztetés, Házi segítségnyújtás, Házi jelzőrendszer, Egészségügyi labor, Fizikotherápiás szolgáltatás, Család- és nővédelem egészségügyi gondozás, Ifjúságegészségügyi gondozás, Iskolai étkeztetés céljuttatásra és járulékaira</t>
  </si>
  <si>
    <t>Városi dolgozók jutalom kerete tartalékból feljegyzés alapján átcsoportosítás Dunaharaszti Városi Könyvtár céljuttatásra és járulékaira</t>
  </si>
  <si>
    <t>Önkormányzati finanszírozás céljuttatásra és járulékaira</t>
  </si>
  <si>
    <t>Városi dolgozók jutalom kerete tartalékból feljegyzés alapján átcsoportosítás Dunaharaszti Család- és Gyermekjóléti Szolgálat céljuttatásra és járulékaira</t>
  </si>
  <si>
    <t>Városi dolgozók jutalom kerete tartalékból feljegyzés alapján átcsoportosítás Dunaharaszti Mese Óvoda céljuttatásra és járulékaira</t>
  </si>
  <si>
    <t>Önkormányzati finanszírozás Dunaharaszti Mese Óvoda és Dunaharaszti Napsugár Óvoda céljuttatásra és járulékaira</t>
  </si>
  <si>
    <t>Bér rovatok módosítása áprilisi bérkönyvelés alapján</t>
  </si>
  <si>
    <t>Városi dolgozók jutalom kerete tartalékból feljegyzés alapján átcsoportosítás Dunaharaszti Városi Bölcsőde céljuttatásra és járulékaira</t>
  </si>
  <si>
    <t>Önkormányzati finanszírozás Dunaharaszti Városi Bölcsőde főintézmény és tagintézmény céljuttatásra és járulékaira</t>
  </si>
  <si>
    <t>Városi dolgozók jutalom kerete tartalékból feljegyzés alapján átcsoportosítás Dunaharaszti Hétszínvirág Óvoda céljuttatásra és járulékaira</t>
  </si>
  <si>
    <t>198.       249.           250.</t>
  </si>
  <si>
    <t>Önkormányzati finanszírozás Dunaharaszti Hétszínvirág Óvoda céljuttatásra és járulékaira</t>
  </si>
  <si>
    <t>Városi dolgozók jutalom kerete tartalékból feljegyzés alapján átcsoportosítás Dunaharaszti Szivárvány Óvoda és Dunaharaszti Százszorszép Óvoda céljuttatásra és járulékaira</t>
  </si>
  <si>
    <t>Önkormányzati finanszírozás Dunaharaszti Szivárvány Óvoda és Százszorszép Óvoda céljuttatásra és járulékaira</t>
  </si>
  <si>
    <t>Városi dolgozók jutalom kerete tartalékból feljegyzés alapján átcsoportosítás Dunaharaszti Szivárvány Óvoda céljuttatásra és járulékaira</t>
  </si>
  <si>
    <t>Önkormányzati finanszírozás József Attila Művelődési Ház céljuttatásra és járulékaira</t>
  </si>
  <si>
    <t>Megelőlegezési hitel elszámolás alapján (május havi)</t>
  </si>
  <si>
    <t>Szelektív hulladékgyűjtésről átcsoportosítás illegálisan lerakott építési-bontási hulladék elszállítására</t>
  </si>
  <si>
    <t>032</t>
  </si>
  <si>
    <t>031</t>
  </si>
  <si>
    <t>051020</t>
  </si>
  <si>
    <t>051050</t>
  </si>
  <si>
    <t>Kérelem alapján Dunaharaszti Mese Óvoda rovatok közötti módosítása 12 db szőnyeg beszerzésre</t>
  </si>
  <si>
    <t>Finanszírozás módosítás (Dunaharaszti Mese Óvoda)</t>
  </si>
  <si>
    <t>KÖT</t>
  </si>
  <si>
    <t>ÖNK</t>
  </si>
  <si>
    <t>12/2023. (V.25.) sz. OMS határozat alapján Civil szervezetek, egyházak támogatása (Művészeti, oktatási, kulturális év közben belépő feladatok) tartalékból átcsoportosítás Petőfi-ligetért Baráti Kör támogatására "Petőfi Sándor Szavalóverseny" megrendezésére</t>
  </si>
  <si>
    <t>15/2023. (V.25.) sz. OMS határozat alapján Városi civil sport- és kulturális rendezvények kiadásainak valamint DMTK-n kívüli sportegyesületek kiadásainak finanszírozási kerete tartalékból átcsoportosítás Ezüst Lótusz Rekreációs Sportegyesület támogatására</t>
  </si>
  <si>
    <t>15/2023. (V.25.) OMS határozat: Ezüst Lótusz Rekreációs Sportegyesület támogatása</t>
  </si>
  <si>
    <t>12/2023. (V.25.) OMS határozat: Petőfi-ligetért Baráti Kör támogatása</t>
  </si>
  <si>
    <t>240.      242.</t>
  </si>
  <si>
    <t>Kiemelt állami és önkormányzati rendezvényekről átcsoportosítás "Tavaszi Haraszti Napok" (Gyermeknap) reprezentációs és szolgáltatás költségeire</t>
  </si>
  <si>
    <t>027</t>
  </si>
  <si>
    <t>241.      243.</t>
  </si>
  <si>
    <t>"Tavaszi Haraszti Napok" (Gyermeknap) rovatok közötti módosítása rendezvénytechnikai szolgáltatás költségeire</t>
  </si>
  <si>
    <t>Városgazdálkodás tartalékból átcsoportosítás Dunaharaszti Város egyes részterületeire településrendezési eszköz módosításának elkészítésére és egyes területek változtatási tilalommal kapcsolatos döntéselőkészítő tanulmányra</t>
  </si>
  <si>
    <t>Polgármester rendelkezése tartalékból átcsoportosítás MOHA SC (Morcos Harcosok Sport Club) működési támogatására</t>
  </si>
  <si>
    <t>MOHA SC (Morcos Harcosok Sport Club) támogatása</t>
  </si>
  <si>
    <t>Intézményi ingatlanok különféle karbantartási kerete tartalékból átcsoportosítás Gyermekorvosi rendelő lift érintésvédelmi felülvizsgálatára</t>
  </si>
  <si>
    <t>Önkormányzati finanszírozás Gyermekorvosi rendelő lift érintésvédelmi felülvizsgálatára</t>
  </si>
  <si>
    <t>Városi Sportcsarnok napelem kiépítése (előző évi maradvány: 25.480.401,-Ft)</t>
  </si>
  <si>
    <t>Városi Sportcsarnok eszközbeszerzések</t>
  </si>
  <si>
    <t>Városi Temető fenntartás eszközbeszerzés</t>
  </si>
  <si>
    <t>Városi Piac eszközbeszerzés</t>
  </si>
  <si>
    <t>Városi Piaci konténerépület könnyűszerkezetes építése</t>
  </si>
  <si>
    <t>Csapadékvíz-beruházások lakossági kérésről átcsoportosítás Dembinszky u.-Andrássy u. csomópontban csapadékvíz-elvezetésre</t>
  </si>
  <si>
    <t>Dembinszky u.-Andrássy u. csomópontban csapadékvíz-elvezetés</t>
  </si>
  <si>
    <t>Temetkezés rovatok közötti módosítása kiküldetés költségére</t>
  </si>
  <si>
    <t>Energiaárak emelkedése miatti tartalékból átcsoportosítás Városi Piac és Elektromos autó töltőállomás áramdíjára</t>
  </si>
  <si>
    <t>Beruházások, felújítások műszaki ellenőrzése tartalékból átcsoportosítás Dózsa Gy. út 28. előtt vízmérő óra cseréjére</t>
  </si>
  <si>
    <t>Zöld Óvoda rovatok közötti módosítása kerti tó karbantartására, zöldterület-fenntartásra és esővízgyűjtők beszerzésére</t>
  </si>
  <si>
    <t>Dunaharaszti Hétszínvirág Óvoda (Zöld Óvoda)</t>
  </si>
  <si>
    <t>Finanszírozás módosítás (Dunaharaszti Hétszínvirág Óvoda)</t>
  </si>
  <si>
    <t>Dunaharaszti Hétszínvirág Óvodáról átcsoportosítás Zöld Óvodára esővízgyűjtők beszerzésére</t>
  </si>
  <si>
    <t>Önkormányzati finanszírozás Dunaharaszti Polgármesteri Hivatal normatív jutalomra és járulékaira</t>
  </si>
  <si>
    <t xml:space="preserve">217.     </t>
  </si>
  <si>
    <t>216.   256.</t>
  </si>
  <si>
    <t>216. 256.</t>
  </si>
  <si>
    <t>247.    257.</t>
  </si>
  <si>
    <t>14.    15.</t>
  </si>
  <si>
    <t>12/2023. (V.31.) sz. Kt. rendelet: 2022. évi intézményi szabad maradvány</t>
  </si>
  <si>
    <t>12/2023. (V.31.) sz. Kt. rendelet: Dunaharaszti Mese Óvoda hőközpont felújítás (előző évi maradvány: 904.875,-Ft)</t>
  </si>
  <si>
    <t>12/2023. (V.31.) sz. Kt. rendelet: Dunaharaszti Család- és Gyermekjóléti Szolgálat kazáncsere (előző évi maradvány: 941.070,-Ft)</t>
  </si>
  <si>
    <t>12/2023. (V.31.) sz. Kt. rendelet: Dunaharaszti Polgármesteri Hivatal kazáncsere (előző évi maradvány: 1.930.400,-Ft)</t>
  </si>
  <si>
    <t>12/2023. (V.31.) sz. Kt. rendelet: Rendőrség-Rendészet épület kazáncsere (előző évi maradvány: 603.250,-Ft)</t>
  </si>
  <si>
    <t>12/2023. (V.31.) sz. Kt. rendelet: Dunaharaszti Hétszínvirág Óvoda kazáncsere (előző évi maradvány: 1.689.100,-Ft)</t>
  </si>
  <si>
    <t>12/2023. (V.31.) sz. Kt. rendelet alapján a 2022. évi szabad maradvány felosztása DMTK támogatására, Kiemelt állami és önkormányzati rendezvényekre, Területelőkészítés, földmérés és eljárási díjakra, "Intézményi ingatlanok különféle karbantartási kerete" tartalékra intézményi világítás korszerűsítésére, "Városgazdálkodás" tartalékra, "2022. évi szabad maradvány terhére képzett tartalékra", Dunaharaszti Mese Óvoda hóközpont felújítására, Dunaharaszti Család- és Gyermekjóléti Szolgálat kazáncserére, Dunaharaszti Hétszínvirág Óvoda kazáncserére, Dunaharaszti Polgármesteri Hivatal kazáncserére, Rendőrség-Rendészet épület kazáncserére</t>
  </si>
  <si>
    <t>12/2023. (V.31.) sz. Kt. rendelet alapján a 2022. évi szabad maradvány átvezetése</t>
  </si>
  <si>
    <t>Városgazdálkodás tartalékból átcsoportosítás Dunaharaszti-Taksony kerékpárút építéséhez kapcsolódó engedélyezési eljárási díjra</t>
  </si>
  <si>
    <t>56/2023. (V.31.) sz. Kt. határozat alapján Képviselő-testület rendelkezése tartalékból átcsoportosítás Szigetszentmiklósi Tankerületi Központ támogatására</t>
  </si>
  <si>
    <t>Városgazdálkodás tartalékból átcsoportosítás MÁV-Alsó belterületbe csatolási vázrajzra, ingatlan-nyilvántartási díjra és földügyi eljárási díjra</t>
  </si>
  <si>
    <t>053</t>
  </si>
  <si>
    <t>053                        MÁV-Alsó telekalakítások</t>
  </si>
  <si>
    <t>313.</t>
  </si>
  <si>
    <t>314.</t>
  </si>
  <si>
    <t>69/2023. (V.31.) sz. Kt. határozat alapján Dunaharaszti 1394/3 hrsz-ú ingatlan értékesítése (kiadás oldal: Biztos bevétel tartalék)</t>
  </si>
  <si>
    <t>69/2023. (V.31.) sz. Kt. határozat: 1394/3 hrsz. ingatlanértékesítés</t>
  </si>
  <si>
    <t>70/2023. (V.31.) sz. Kt. határozat: 6793/10 hrsz. ingatlanrész vásárlás</t>
  </si>
  <si>
    <t>72/2023. (V.31.) sz. Kt. határozat alapján Dunaharaszti Önkéntes Tűzoltó Egyesület támogatása feszítővágó beszerzésre melynek forrása az 5. számú melléklet "VI/3. Pest Vármegyei Rendőr-főkapitányság gépjármű üzemeltetés támogatása" sor, továbbá a fennmaradó összeg átvezetése "Képviselő-testület rendelkezése" tartalékba</t>
  </si>
  <si>
    <t>74/2023. (V.31.) sz. Kt. határozat alapján Kiemelt állami és önkormányzati rendezvények feladatról átcsoportosítás VAGABOND Korzó rendezvény támogatására</t>
  </si>
  <si>
    <t xml:space="preserve">  -</t>
  </si>
  <si>
    <t>74/2023. (V.31.) sz. Kt. határozat (2.000.000,- Ft): VAGABOND Korzó rendezvény támogatása</t>
  </si>
  <si>
    <t>75/2023. (V.31.) sz. Kt. határozat: Kutya Mentsvár Alapítvány támogatása</t>
  </si>
  <si>
    <t>76/2023. (V.31.) sz. Kt. határozat alapján a Dunaharaszti Városi Polgárőr Egyesület korábbi felhalmozási támogatásról átcsoportosítás működési támogatásra</t>
  </si>
  <si>
    <t>307</t>
  </si>
  <si>
    <t>76/2023. (V.31.) sz. Kt. határozat (támogatás módosítás): Dunaharaszti Polgárőr Egyesület támogatása</t>
  </si>
  <si>
    <t>76/2023. (V.31.) sz. Kt. határozat (támogatás módosítás): Dunaharaszti Polgárőr Egyesület működési költség támogatása</t>
  </si>
  <si>
    <t>18/2023. (V.31.) sz. OMS határozat alapján Városi civil sport- és kulturális rendezvények kiadásainak valamint DMTK-n kívüli sportegyesületek kiadásainak finanszírozási kerete tartalékból átcsoportosítás Venus Rúdsport Egyesület (Gabona Nikol) támogatására</t>
  </si>
  <si>
    <t>18/2023. (V.31.) sz. OMS határozat: Venus Rúdsport Egyesület (Gabona Nikol) támogatása</t>
  </si>
  <si>
    <t>Idősek nappali ellátása rovatok közötti módosítása kerekesszék beszerzésre</t>
  </si>
  <si>
    <t>Finanszírozás módosítás (Dunaharaszti Területi Gondozási Központ)</t>
  </si>
  <si>
    <t>Iskolai intézményi étkeztetés rovatok közötti módosítása behajtás végrehajtási díjára</t>
  </si>
  <si>
    <t>Gimnáziumi étkeztetésen bevételemelés követeléselőírás miatt</t>
  </si>
  <si>
    <t>Dunaharaszti Szivárvány Óvoda bér kerekítési különbözet átvezetés szolgáltatásra</t>
  </si>
  <si>
    <t>Dunaharaszti Mese Óvoda közüzemi díj jóváírás átvezetés szolgáltatásra</t>
  </si>
  <si>
    <t>Biztos bevétel tartalékból átcsoportosítás Művészeti Alkotótábor szakmai anyagokra</t>
  </si>
  <si>
    <t>063</t>
  </si>
  <si>
    <t>58/2023. (V.31.) sz. Kt. határozat alapján Intézményi ingatlanok különféle karbantartási kerete tartalékból átcsoportosítás Dunaharaszti Mese Óvoda épületén háztartásméretű napelemes kiserőmű kivitelezésére</t>
  </si>
  <si>
    <t>58/2023. (V.31.) sz. Kt. határozat alapján Intézményi ingatlanok különféle karbantartási kerete tartalékból átcsoportosítás Dunaharaszti Polgármesteri Hivatal épületén háztartásméretű napelemes kiserőmű kivitelezésére</t>
  </si>
  <si>
    <t>58/2023. (V.31.) sz. Kt. határozat alapján Intézményi ingatlanok különféle karbantartási kerete tartalékból átcsoportosítás Mese Óvoda épületén háztartásméretű napelemes kiserőmű kivitelezésére</t>
  </si>
  <si>
    <t>VII. Civil szervezetek program támogatása</t>
  </si>
  <si>
    <t>58/2023. (V.31.) sz. Kt. határozat: Dunaharaszti Polgármesteri Hivatal épületén háztartásméretű napelemes kiserőmű telepítés</t>
  </si>
  <si>
    <t>58/2023. (V.31.) sz. Kt. határozat: Dunaharaszti Mese Óvoda épületén háztartásméretű napelemes kiserőmű telepítés</t>
  </si>
  <si>
    <t>56/2023. (III.20.) sz. határozat: Német Nemzetiségi Önkormányzat támogatása</t>
  </si>
  <si>
    <t xml:space="preserve">3307/6. hrsz. Batthyány utca 2. szám alatti ingatlan értékesítése </t>
  </si>
  <si>
    <t>Beruházások, felújítások műszaki ellenőrzése tartalékból átcsoportosítás Határ út-Botond u. kereszteződésében gyalogátkelőhely kialakítására</t>
  </si>
  <si>
    <t>Beruházások, felújítások műszaki ellenőrzése tartalékból átcsoportosítás Napsugár utca felújításához kapcsolódó geodéziai térkép, közműterv, helyszínrajz elkészítésére</t>
  </si>
  <si>
    <t>Városi pedagógusok (iskolák) jutalmazási kerete tartalékból feljegyzés alapján átcsoportosítás Önkormányzati igazgatás, Városi Sportcsarnok, Városi Temető bérköltségre (céljuttatás, reprezentáció) és járulékaira</t>
  </si>
  <si>
    <t>Városi dolgozók jutalom kerete tartalékból feljegyzés alapján átcsoportosítás József Attila Művelődési Ház céljuttatásra és járulékaira</t>
  </si>
  <si>
    <t>70/2023. (V.31.) sz. Kt. határozat alapján 6793/10 hrsz-ú ingatlanrész megvásárlása Dunaharaszti Városi Bölcsőde tagintézmény részére, melynek forrása a 6. számú melléklet "Dunaharaszti Város Önkormányzat Képviselő-testületének 130/2022. (X.24.) számú határozata: 6793/10 hrsz. ingatlanvásárlás Dunaharaszti Területi Gondozási Központ bővítésére" sor, továbbá a fennmaradó összeg átvezetése "Intézményi ingatlanok különféle karbantartási kerete" tartalékba</t>
  </si>
  <si>
    <t>75/2023. (V.31.) sz. Kt. határozat alapján Képviselő-testület rendelkezése tartalékból átcsoportosítás Kutya Mentsvár Alapítvány támogatására</t>
  </si>
  <si>
    <t>Kiemelt állami és önkormányzati rendezvényekről átcsoportosítás Városi Sportcsarnokban megrendezendő "Sissi" előadásra, valamint Nemzetközi kapcsolatokra "Wallenstein fesztiválra"</t>
  </si>
  <si>
    <t>2023 május havi állami támogatás (szociális ágazati összevont pótlék) átvezetés Ágazati pótlék, bérkompenzáció, személyi juttatás és járulék tartalékba</t>
  </si>
  <si>
    <t>Játszóterek felülvizsgálata rovatok közötti módosítása Szent István utcai játszótéren faültetési munkálatokra</t>
  </si>
  <si>
    <t>Egyéb bevételek (visszakapott kötbér, gázdíj-jóváírás, kéményseprés díja, bér kerekítés, téves levonás üzleti kártyáról) átvezetés Biztos bevétel tartalékba</t>
  </si>
  <si>
    <t>Dunaharaszti sajtókapcsolatai rovatok közötti módosítása önkormányzati rendezvényeken való fotózásra</t>
  </si>
  <si>
    <t>082064</t>
  </si>
  <si>
    <t>Adóügyi feladatok rovatok közötti módosítása postaköltségre</t>
  </si>
  <si>
    <t>Gépjármű elszállítására és tárolására kapott bevétel átvezetés Rendészet szolgáltatás rovatra</t>
  </si>
  <si>
    <t>104012</t>
  </si>
  <si>
    <t>Kerekítési különbözet átvezetés szolgáltatásra</t>
  </si>
  <si>
    <t xml:space="preserve">Városgazdálkodás tartalékból átcsoportosítás "Gyere be ház" kerítés lemezelésére és az ingatlan fenntartási költségeire (takarítás, kertészeti munkák) </t>
  </si>
  <si>
    <t>Kábítószer Egyeztető Fórum rovatok közötti módosítása vásárolt élelmezésre és Dunaharaszti Baktay Ervin Gimnáziumban tartott addiktológiai prevenciós előadásra</t>
  </si>
  <si>
    <t>Nemzetközi kapcsolatok rovatok közötti módosítása bajor polgármesterek vendéglátásához reprezentációs költségekre és teríték bérlésre</t>
  </si>
  <si>
    <t>Gyermekek átmeneti otthona feladatról átcsoportosítás Gyermekjóléti szolgáltatásra addiktológiai és mentálhigiénés konzultációra</t>
  </si>
  <si>
    <t>Szondi u. csapadékvíz-elvezetés kiépítés</t>
  </si>
  <si>
    <t>Család- és nővédelem egészségügyi gondozás bér rovatok közötti módosítása "Egészségnap" reprezentációs költségeire</t>
  </si>
  <si>
    <t>Dunaharaszti Mese Óvoda rovatok közötti módosítása tanösvény belépőjegyekre</t>
  </si>
  <si>
    <t>Csapadékvíz-beruházások lakossági kérésről átcsoportosítás Szondi u. csapadékvíz-elvezetés kiépítésére</t>
  </si>
  <si>
    <t>Gyermekjóléti szolgáltatáson bevételemelés követeléselőírás miatt (bér kerekítési különbözet)</t>
  </si>
  <si>
    <t>Laffert-kúriával kapcsolatos feladatokon közüzemi díj jóváírás átvezetés szolgáltatásra</t>
  </si>
  <si>
    <t>Közművelődési tevékenységen közüzemi díj jóváírás átvezetés szolgáltatásra</t>
  </si>
  <si>
    <r>
      <rPr>
        <b/>
        <sz val="10"/>
        <color indexed="8"/>
        <rFont val="Garamond"/>
        <family val="1"/>
        <charset val="238"/>
      </rPr>
      <t>K1</t>
    </r>
    <r>
      <rPr>
        <sz val="10"/>
        <color indexed="8"/>
        <rFont val="Garamond"/>
        <family val="1"/>
        <charset val="238"/>
      </rPr>
      <t xml:space="preserve">                                               Foglalkoztatot-tak személyi juttatásai</t>
    </r>
  </si>
  <si>
    <r>
      <rPr>
        <b/>
        <sz val="10"/>
        <color indexed="8"/>
        <rFont val="Garamond"/>
        <family val="1"/>
        <charset val="238"/>
      </rPr>
      <t>K1</t>
    </r>
    <r>
      <rPr>
        <sz val="10"/>
        <color indexed="8"/>
        <rFont val="Garamond"/>
        <family val="1"/>
        <charset val="238"/>
      </rPr>
      <t xml:space="preserve">                          Foglalkoztatot-tak személyi juttatásai</t>
    </r>
  </si>
  <si>
    <r>
      <rPr>
        <b/>
        <sz val="10"/>
        <color indexed="8"/>
        <rFont val="Garamond"/>
        <family val="1"/>
        <charset val="238"/>
      </rPr>
      <t>K1</t>
    </r>
    <r>
      <rPr>
        <sz val="10"/>
        <color indexed="8"/>
        <rFont val="Garamond"/>
        <family val="1"/>
        <charset val="238"/>
      </rPr>
      <t xml:space="preserve">                            Foglalkoztatot-tak személyi juttatásai</t>
    </r>
  </si>
  <si>
    <r>
      <rPr>
        <b/>
        <sz val="10"/>
        <color indexed="8"/>
        <rFont val="Garamond"/>
        <family val="1"/>
        <charset val="238"/>
      </rPr>
      <t>K1</t>
    </r>
    <r>
      <rPr>
        <sz val="10"/>
        <color indexed="8"/>
        <rFont val="Garamond"/>
        <family val="1"/>
        <charset val="238"/>
      </rPr>
      <t xml:space="preserve">                           Foglalkoztatot-tak személyi juttatásai</t>
    </r>
  </si>
  <si>
    <r>
      <rPr>
        <b/>
        <sz val="10"/>
        <color indexed="8"/>
        <rFont val="Garamond"/>
        <family val="1"/>
        <charset val="238"/>
      </rPr>
      <t>K1</t>
    </r>
    <r>
      <rPr>
        <sz val="10"/>
        <color indexed="8"/>
        <rFont val="Garamond"/>
        <family val="1"/>
        <charset val="238"/>
      </rPr>
      <t xml:space="preserve">                                      Foglalkoztatot-tak személyi juttatásai</t>
    </r>
  </si>
  <si>
    <r>
      <rPr>
        <b/>
        <sz val="10"/>
        <color indexed="8"/>
        <rFont val="Garamond"/>
        <family val="1"/>
        <charset val="238"/>
      </rPr>
      <t>K1</t>
    </r>
    <r>
      <rPr>
        <sz val="10"/>
        <color indexed="8"/>
        <rFont val="Garamond"/>
        <family val="1"/>
        <charset val="238"/>
      </rPr>
      <t xml:space="preserve">     Foglalkoztatot-tak személyi juttatásai</t>
    </r>
  </si>
  <si>
    <r>
      <rPr>
        <b/>
        <sz val="10"/>
        <color indexed="8"/>
        <rFont val="Garamond"/>
        <family val="1"/>
        <charset val="238"/>
      </rPr>
      <t>K1</t>
    </r>
    <r>
      <rPr>
        <sz val="10"/>
        <color indexed="8"/>
        <rFont val="Garamond"/>
        <family val="1"/>
        <charset val="238"/>
      </rPr>
      <t xml:space="preserve">                             Foglalkoztatot-tak személyi juttatásai</t>
    </r>
  </si>
  <si>
    <t>Nyári napközis tábor rovatok közötti módosítása szakmai és üzemeltetési anyagokra (gyógyszer, naptej, csillámtetoválás, fésű stb.)</t>
  </si>
  <si>
    <t>Nyári napközis táboron üzleti kártya téves levonása miatti technikai átcsoportosítás</t>
  </si>
  <si>
    <t>Csapadékvízelvezetés-tervezések</t>
  </si>
  <si>
    <t>Dunaharaszti Város egyes részterületeire településrendezési eszköz módosításának elkészítésére és egyes területek változtatási tilalommal kapcsolatos döntéselőkészítő tanulmányra korábban "Városgazdálkodás" tartalékból megelőlegezett összeg visszavezetésére</t>
  </si>
  <si>
    <t>Szelektív hulladékgyűjtésről átcsoportosítás buszmegálló építésére (Határ út)</t>
  </si>
  <si>
    <t>Határ út buszmegálló építés</t>
  </si>
  <si>
    <t>Útépítési és kerékpárút-építési tervekről átcsoportosítás buszmegálló építésére (Határ út)</t>
  </si>
  <si>
    <t>Útépítési és kerékpárút-építési tervekről átcsoportosítás Némedi út parkoló és járda közötti sziget burkolattal történő ellátására</t>
  </si>
  <si>
    <t>Dunaharaszti-Taksony kerékpárút-építés (TOP_PLUSZ-1.2.1-21-PT1-2022-00013) rovatok közötti módosítása kommunikációs tevékenységre korábban átcsoportosított összeg módosulása miatt</t>
  </si>
  <si>
    <t>Dunaharaszti-Taksony kerékpárút-építés saját forrásból átcsoportosítás 510-es út mellett épülő szennyvízátemelő építészeti és gépészeti munkálataira</t>
  </si>
  <si>
    <t xml:space="preserve">Útépítési és kerékpárút-építési tervek </t>
  </si>
  <si>
    <t>Dunaharaszti-Taksony kerékpárút-építés saját forrásból átcsoportosítás Dunaharaszti-Taksony közötti útszakaszon közvilágítási elosztó hálózat áthelyezésére</t>
  </si>
  <si>
    <t>2022. évi maradvány terhére képzett tartalékból átcsoportosítás Bláthy Ottó utca aszfaltozására</t>
  </si>
  <si>
    <t>Bláthy Ottó utca aszfaltozása</t>
  </si>
  <si>
    <t>Önkormányzati igazgatás rovatok közötti módosítása Egészségnapra szülői tájékoztató füzetek nyomdai költségeire</t>
  </si>
  <si>
    <t>Bér rovatok módosítása májusi bérkönyvelés alapján</t>
  </si>
  <si>
    <t>Zöldterület-kezelésről átcsoportosítás 601/B erdőrészlet karbantartására</t>
  </si>
  <si>
    <t>82/2023.(VI.26.) sz. Kt. határozat alapján Ágazati pótlék, bérkompenzáció, személyi juttatás és járulék tartalékból átcsoportosítás Dunaharaszti Hétszínvirág Óvodába, Dunaharaszti Mese Óvodába és Dunaharaszti Szivárvány és Százszorszép Óvodába felvett összesen 4 fő gyógypedagógiai asszisztens bér és járulékaira</t>
  </si>
  <si>
    <t>82/2023.(VI.26.) sz. Kt. határozat alapján önkormányzati finanszírozás Dunaharaszti Hétszínvirág Óvodába felvett gyógypedagógiai asszisztens bér és járulékaira</t>
  </si>
  <si>
    <t>82/2023. (VI.26.) sz. Kt. határozat alapján önkormányzati finanszírozás Dunaharaszti Mese Óvodába felvett 1 fő gyógypedagógiai asszisztens bér ér járulékaira</t>
  </si>
  <si>
    <t>82/2023. (VI.26.) sz. Kt. határozat alapján önkormányzati finanszírozás Dunaharaszti Szivárvány és Százszorszép Óvodába felvett gyógypedagógiai asszisztensek bér és járulékaira</t>
  </si>
  <si>
    <t>Csapadékvízelvezetés-tervezésekről és Csapadékvíz-beruházások lakossági kérésről átcsoportosítás Bezerédi Sportparkban szivárogtató árok építésére</t>
  </si>
  <si>
    <t>2022. évi maradvány terhére képzett tartalékból átcsoportosítás Dunaharaszti Városi Piac betonburkolat javítására</t>
  </si>
  <si>
    <t>Dunaharaszti-Taksony kerékpárút-építés saját forrásból átcsoportosítás Fő út-Király utca sarkán okos zebrához fogyasztási mérőhely kiépítésére</t>
  </si>
  <si>
    <t>Szelektív hulladékgyűjtésről átcsoportosítás lakossági hulladékgyűjtésre</t>
  </si>
  <si>
    <t>2022. évi maradvány terhére képzett tartalékból átcsoportosítás Dunaharaszti HÉV sétány területén mészkő burkolatú járda építésére</t>
  </si>
  <si>
    <t>Dunaharaszti HÉV sétány területén mészkő burkolatú járda építés</t>
  </si>
  <si>
    <t>Intézményi ingatlanok különféle karbantartási kerete tartalékból átcsoportosítás Dunaharaszti Területi Gondozási Központ területén viacolor burkolatú járda építésére</t>
  </si>
  <si>
    <t>Dunaharaszti Területi Gondozási Központ területén viacolor járda építés</t>
  </si>
  <si>
    <t>Dunaharaszti Területi Gondozási Központ szaletli átalakítás, gazdasági bejárat és kerítés kialakítás (előző évi maradvány: 9.079.528,-Ft)</t>
  </si>
  <si>
    <t>Utcanévtáblák, gyepmester, városi közkutak feladaton rovatok közötti módosítás "méhlegelő" feliratú táblák készítésére</t>
  </si>
  <si>
    <t>Szelektív hulladékgyűjtésről átcsoportosítás zöldterület-kezelésre</t>
  </si>
  <si>
    <t>Lomtalanítás és köztéri szemétgyűjtés rovatok közötti módosítása lakossági hulladékgyűjtésre</t>
  </si>
  <si>
    <t>Intézményi ingatlanok különféle karbantartási kerete tartalékból átcsoportosítás Dunaharaszti Területi Gondozási Központban gazdasági bejárat automatizálására</t>
  </si>
  <si>
    <t>Közterületi feladatok rovatok közötti módosítása cégautóadóra</t>
  </si>
  <si>
    <t>299.     309.</t>
  </si>
  <si>
    <t>Nemzetközi kapcsolatok rovatok közötti módosítása reprezentációs költségekre és csomagolóanyagra</t>
  </si>
  <si>
    <t>Energiaárak emelkedése miatti tartalékból átcsoportosítás Dunaharaszti Területi Gondozási Központ Idősek nappali ellátása gázdíjra</t>
  </si>
  <si>
    <t>Beruházások, felújítások műszaki ellenőrzése tartalékból átcsoportosítás Dunaharaszti kül- és belterületi nyílt ár- és belvízelvezető csatornáinak, csapadékvíz-átemelő szivattyútelepeknek üzemeltetésére, karbantartására</t>
  </si>
  <si>
    <t>Útfenntartás rendkívüli kiadásai tartalékból átcsoportosítás Dunaharaszti kül- és belterületi nyílt ár- és belvízelvezető csatornáinak, csapadékvíz-átemelő szivattyútelepeknek üzemeltetésére, karbantartására</t>
  </si>
  <si>
    <t>Csapadékvíz-elvezetési tervek, műszaki ellenőrzés, eljárási díjak, engedélyek tartalékból átcsoportosítás Dunaharaszti kül- és belterületi nyílt ár- és belvízelvezető csatornáinak, csapadékvíz-átemelő szivattyútelepeknek üzemeltetésére, karbantartására</t>
  </si>
  <si>
    <t>Megelőlegezési hitel elszámolás alapján (június havi)</t>
  </si>
  <si>
    <t>Intézményi ingatlanok különféle karbantartási kerete tartalékból átcsoportosítás Dunaharaszti Területi Gondozási Központ területén parkoló építésre</t>
  </si>
  <si>
    <t>Dunaharaszti Területi Gondozási Központ területén parkoló építés</t>
  </si>
  <si>
    <t>Dunaharaszti Területi Gondozási Központ előtt parkoló építés</t>
  </si>
  <si>
    <t>2022. évi maradvány terhére képzett tartalékból átcsoportosítás Dunaharaszti Városi Bölcsőde tagintézményben műfüves területek kialakítására</t>
  </si>
  <si>
    <t>093</t>
  </si>
  <si>
    <t>Városgazdálkodás tartalékból átcsoportosítás "Gyere be ház" meglévő fűtés és melegvíz rendszerének felújítására, valamint a Dózsa György út 26. szám alatti épületben villanyvezeték cseréjének áfájára</t>
  </si>
  <si>
    <t>"Gyere be ház" meglévő fűtés és melegvíz rendszerének felújítása</t>
  </si>
  <si>
    <t>Kiemelt állami és önkormányzati rendezvények rovatok közötti módosítása "Közalkalmazotti napra" papírtányérok, oklevelek és asztali táblák beszerzésére</t>
  </si>
  <si>
    <t>Művészeti Alkotótábor rovatok közötti módosítása szállásdíjra</t>
  </si>
  <si>
    <t>311.      312.</t>
  </si>
  <si>
    <t>Kábítószer Egyeztető Fórum rovatok közötti módosítása vásárolt élelmezésre és golyóstollak beszerzésére</t>
  </si>
  <si>
    <t>Előző évi állami támogatás elszámolás alapján költségvetési évben keletkező pótigény összegének átvezetése Normatíva felülvizsgálat tartalékba</t>
  </si>
  <si>
    <t>Költségvetési törvény szerinti számozás</t>
  </si>
  <si>
    <t>Ávr. 111. § a) szerinti önkormányzatot megillető 2022. évi pótlólagos támogatás</t>
  </si>
  <si>
    <t>Jelzőrendszeres házi segítségnyújtásra kapott támogatás átvezetés Biztos bevétel tartalékba</t>
  </si>
  <si>
    <t>315.</t>
  </si>
  <si>
    <t>Kapott hulladékgazdálkodási bírság átvezetés Biztos bevétel tartalékba</t>
  </si>
  <si>
    <t>Hulladékgazdálkodási bírság</t>
  </si>
  <si>
    <t>316.</t>
  </si>
  <si>
    <t>Térfigyelő rendszer megrongálás miatt biztosítótól kapott kártérítés átvezetés Biztos bevétel tartalékba</t>
  </si>
  <si>
    <t>317.</t>
  </si>
  <si>
    <t>Közterület-használaton bevételemelés követeléselőírás miatt (kiadás oldal: Biztos bevétel tartaléka)</t>
  </si>
  <si>
    <t>318.</t>
  </si>
  <si>
    <t>Dunaharaszti Sportcsarnokon bevételemelés követeléselőírás miatt</t>
  </si>
  <si>
    <t>319.</t>
  </si>
  <si>
    <t>Lekötött betét után járó kamatbevétel-emelés (kiadás oldal: Energiaárak emelkedése miatti tartalék)</t>
  </si>
  <si>
    <t>400</t>
  </si>
  <si>
    <t>900060</t>
  </si>
  <si>
    <t>320.</t>
  </si>
  <si>
    <t>Intézményi ingatlanok különféle karbantartási kerete tartalékból átcsoportosítás Dunaharaszti Hétszínvirág Óvodában klíma berendezések karbantartására</t>
  </si>
  <si>
    <t>321.</t>
  </si>
  <si>
    <t>Áramdíj-jóváírás átvezetés Energiaárak emelkedése miatti tartalékba</t>
  </si>
  <si>
    <t>322.</t>
  </si>
  <si>
    <t>2023 június havi állami támogatás (szociális ágazati összevont pótlék) átvezetés Ágazati pótlék, bérkompenzáció, személyi juttatás és járulék tartalékba</t>
  </si>
  <si>
    <t>323.</t>
  </si>
  <si>
    <t>Önkormányzati adóbevételek átvezetése Biztos (teljesítés) és Bizonytalan (követelés) bevételek tartalékba</t>
  </si>
  <si>
    <t>Gyermekjóléti szolgáltatás rovatok közötti módosítása monitor, hangszóró és nyomtató beszerzésre</t>
  </si>
  <si>
    <t>Önkormányzati finanszírozás Idősek nappali ellátása gázdíjra</t>
  </si>
  <si>
    <t>11/2023. könyvelési tétel (Önkormányzati finanszírozás céljuttatásra és járulékaira) COFOG helyesbítése</t>
  </si>
  <si>
    <t>Dunaharaszti Városi Bölcsőde tagintézmény bér kerekítési különbözet miatti bevételemelés</t>
  </si>
  <si>
    <t>Anyakönyvi feladatokon téves üzleti kártya levonás miatti bevétel átvezetése szolgáltatásra</t>
  </si>
  <si>
    <t>Elveszett postai küldemény miatti kártérítés átvezetés szolgáltatásra</t>
  </si>
  <si>
    <t>Önkormányzati finanszírozás Dunaharaszti Hétszínvirág Óvodában klíma berendezések karbantartására</t>
  </si>
  <si>
    <t>Dunaharaszti Napsugár Óvoda rovatok közötti módosítása elöltöltős mosógép beszerzésre</t>
  </si>
  <si>
    <t>Támogatások elszámolásán rovatok közötti módosítás "Szivárványhétre" szakmai anyagok beszerzésére (dekorkarton, ragasztó, krepp papír stb.)</t>
  </si>
  <si>
    <t>Felnőtt Orvosi Rendelőn bérleti díj bevételemelés követeléselőírás miatt</t>
  </si>
  <si>
    <t>Iskolai intézményi és nyári napközi étkeztetésen bevételemelés követeléselőírás miatt</t>
  </si>
  <si>
    <t>Nyári napközis tábor ellátási díjak átvezetése üzemeltetési anyagokra és szórakoztatási szolgáltatásokra</t>
  </si>
  <si>
    <t>Energiaárak emelkedése miatti tartalékból átcsoportosítás Dunaharaszti Városi Bölcsőde új tagintézmény vízdíjára</t>
  </si>
  <si>
    <t>2022. évi ivóvíz és szennyvíz ÉDV Zrt-vel történt elszámolás alapján Vízi közmű bérleti díj elkülönített számláról a korábban saját forrásból megelőlegezett, elszámoló számlára megtérített összeg átvezetése Városgazdálkodás tartalékba</t>
  </si>
  <si>
    <t>Vásárhelyi u.-Fűzfa u. kereszteződésben csapadékvíz-elvezetés</t>
  </si>
  <si>
    <t>Jelzőrendszeres házi segítségnyújtás támogatása</t>
  </si>
  <si>
    <t>324.</t>
  </si>
  <si>
    <t>325.</t>
  </si>
  <si>
    <t>97/2023. (VII.20.) sz. Kt. határozat alapján Képviselő-testület rendelkezése tartalékból átcsoportosítás Dunaharaszti Állatvédők Alapítvány támogatására</t>
  </si>
  <si>
    <t>97/2023. (VII.20.) sz. Kt. határozat: Dunaharaszti Állatvédők Alapítvány támogatása</t>
  </si>
  <si>
    <t>326.</t>
  </si>
  <si>
    <t>23/2023. (VI.22.) sz. OMS határozat: Dunaharaszti Nagycsaládos Egyesület támogatása</t>
  </si>
  <si>
    <t>327.</t>
  </si>
  <si>
    <t>Intézményi ingatlanok különféle karbantartási kerete tartalékból átcsoportosítás Dunaharaszti Városi Bölcsőde tagintézményben biztonsági világítás, menekülési irányfény cseréjére</t>
  </si>
  <si>
    <t>Önkormányzati finanszírozás Dunaharaszti Városi Bölcsőde tagintézményben biztonsági világítás, menekülési irányfény cseréjére</t>
  </si>
  <si>
    <t>328.</t>
  </si>
  <si>
    <t>Intézményi ingatlanok különféle karbantartási kerete tartalékból átcsoportosítás Dunaharaszti Városi Bölcsőde tagintézményben ideiglenes automata öntözés kiépítésére</t>
  </si>
  <si>
    <t>329.</t>
  </si>
  <si>
    <t>Intézményi ingatlanok különféle karbantartási kerete tartalékból átcsoportosítás Dunaharaszti Szivárvány és Százszorszép Óvodában biztonsági világítás, menekülési irányfények cseréjére</t>
  </si>
  <si>
    <t>Önkormányzati finanszírozás Dunaharaszti Szivárvány és Százszorszép Óvodában biztonsági világítás, menekülési irányfények cseréjére</t>
  </si>
  <si>
    <t>Önkormányzati finanszírozás Dunaharaszti Hétszínvirág Óvodában klíma berendezés cseréjére</t>
  </si>
  <si>
    <t>330.</t>
  </si>
  <si>
    <t>Intézményi ingatlanok különféle karbantartási kerete tartalékból átcsoportosítás Dunaharaszti Hétszínvirág Óvodában klíma berendezés cseréjére</t>
  </si>
  <si>
    <t>331.</t>
  </si>
  <si>
    <t>Intézményi ingatlanok különféle karbantartási kerete tartalékból átcsoportosítás Gyermekorvosi rendelőben klíma berendezések karbantartására</t>
  </si>
  <si>
    <t>Önkormányzati finanszírozás Gyermekorvosi rendelőben klíma berendezések karbantartására</t>
  </si>
  <si>
    <t>332.</t>
  </si>
  <si>
    <t>Útfenntartás rendkívüli kiadásai tartalékból átcsoportosítás dunaharaszti közutak karbantartásának műszaki ellenőrzésére</t>
  </si>
  <si>
    <t>333.</t>
  </si>
  <si>
    <t>Helyi közutak fenntartása rovatok közötti módosítása dunaharaszti közutak karbantartásának műszaki ellenőrzésére</t>
  </si>
  <si>
    <t>334.</t>
  </si>
  <si>
    <t>92/2023. (VII.20.) sz. Kt. határozat alapján 2022. évi maradvány terhére képzett tartalékból átcsoportosítás Iskola közben út-, járda- és parkolóépítésre</t>
  </si>
  <si>
    <t>335.</t>
  </si>
  <si>
    <t>Csapadékvíz-elvezetési tervek, műszaki ellenőrzés, eljárási díjak, engedélyek tartalékból átcsoportosítás lakossági kérésre csapadékvíz-elvezetések kiépítésére (Széchenyi I. u., Csokonai u.-Pósta S. u. között, Pósta S. köz)</t>
  </si>
  <si>
    <t>336.</t>
  </si>
  <si>
    <t>Csapadékvízelvezetés-tervezésekről átcsoportosítás lakossági kérésre csapadékvíz-elvezetés kiépítésére (Széchenyi I. u., Csokonai u.-Pósta S. u. között, Pósta S. köz)</t>
  </si>
  <si>
    <t>337.</t>
  </si>
  <si>
    <t>Fásítási programról átcsoportosítás zöldterület-kezelésre</t>
  </si>
  <si>
    <t>028</t>
  </si>
  <si>
    <t>338.</t>
  </si>
  <si>
    <t>Külterületi hulladékgyűjtésről átcsoportosítás parlagfű elleni védekezésre</t>
  </si>
  <si>
    <t>339.</t>
  </si>
  <si>
    <t>22/2023. (VI.22.) sz. OMS határozat alapján Városi civil sport- és kulturális rendezvények kiadásainak valamint DMTK-n kívüli sportegyesületek kiadásainak finanszírozási kerete tartalékból átcsoportosítás Botafogo Táncegyüttes támogatására</t>
  </si>
  <si>
    <t>22/2023. (VI.22.) sz. OMS határozat: Botafogo Táncegyüttes támogatása</t>
  </si>
  <si>
    <t>340.</t>
  </si>
  <si>
    <t>Intézményi ingatlanok különféle karbantartási kerete tartalékból átcsoportosítás felnőtt Orvosi Rendelő főbejáratának automatizálására</t>
  </si>
  <si>
    <t>Felnőtt Orvosi Rendelő főbejárat automatizálása</t>
  </si>
  <si>
    <t>341.</t>
  </si>
  <si>
    <t>Megelőlegezési hitel elszámolás alapján (július havi)</t>
  </si>
  <si>
    <t>Bér rovatok módosítása júniusi bérkönyvelés alapján</t>
  </si>
  <si>
    <t>342.</t>
  </si>
  <si>
    <t xml:space="preserve">  +/-</t>
  </si>
  <si>
    <t>343.</t>
  </si>
  <si>
    <t>Szelektív hulladékgyűjtésről átcsoportosítás e-közmű rendszer üzemeltetésére</t>
  </si>
  <si>
    <t>344.</t>
  </si>
  <si>
    <t>Fásítási programról átcsoportosítás 601/B erdőrészlet ápolására</t>
  </si>
  <si>
    <t>345.</t>
  </si>
  <si>
    <t>Intézményi ingatlanok különféle karbantartási kerete tartalékból átcsoportosítás Dunaharaszti Polgármesteri Hivatal műszaki iroda festéséhez anyagbeszerzésre</t>
  </si>
  <si>
    <t>Önkormányzati finanszírozás Dunaharaszti Polgármesteri Hivatal műszaki iroda festéséhez anyagbeszerzésre</t>
  </si>
  <si>
    <t>346.</t>
  </si>
  <si>
    <t>Városgazdálkodás tartalékból átcsoportosítás helyi buszjárat ingyenes igénybevételéhez szükséges regisztrációs űrlapkitöltő programra</t>
  </si>
  <si>
    <t>309</t>
  </si>
  <si>
    <t>Állatvédelmi bírság bevételemelés követeléselőírás miatt</t>
  </si>
  <si>
    <t xml:space="preserve"> 003</t>
  </si>
  <si>
    <t>Telephely-engedélyezési eljárási díj, hulladékgazdálkodási bírság, állatvédelmi bírság</t>
  </si>
  <si>
    <t>347.</t>
  </si>
  <si>
    <t>Intézményi ingatlanok különféle karbantartási kerete tartalékból átcsoportosítás Sport-szigeti napközis tábor építéséhez kapcsolódó külső közmű költségbecslésére</t>
  </si>
  <si>
    <t>348.</t>
  </si>
  <si>
    <t>349.</t>
  </si>
  <si>
    <t>Intézményi ingatlanok különféle karbantartási kerete tartalékból átcsoportosítás Dunaharaszti Városi Bölcsőde új tagintézményben környezetrendezéshez és tájépítészethez kapcsolódó költségbecslésre</t>
  </si>
  <si>
    <t>Intézményi ingatlanok különféle karbantartási kerete tartalékból átcsoportosítás Dunaharaszti Városi Bölcsőde új tagintézményben kerítés és támfal építéshez kapcsolódó költségbecslésre</t>
  </si>
  <si>
    <t>350.</t>
  </si>
  <si>
    <t>Energiaárak emelkedése miatti tartalékból átcsoportosítás Dunaharaszti közvilágítás áramdíjára</t>
  </si>
  <si>
    <t>351.</t>
  </si>
  <si>
    <t>Energiaárak emelkedése miatti tartalékból és Városgazdálkodás tartalékból átcsoportosítás Intézményi ingatlanok különféle karbantartási kerete tartalékba</t>
  </si>
  <si>
    <t>352.</t>
  </si>
  <si>
    <t>Városgazdálkodás tartalékból átcsoportosítás buszmegállókban utastájékoztató táblák üzemeltetésére, karbantartására</t>
  </si>
  <si>
    <t>353.</t>
  </si>
  <si>
    <t>Intézményi ingatlanok különféle karbantartási kerete tartalékból átcsoportosítás Dunaharaszti Városi Bölcsőde új tagintézményben tereprendezési munkák egyeztetésére</t>
  </si>
  <si>
    <t>354.</t>
  </si>
  <si>
    <t>Bezerédi Sportpark fenntartásról átcsoportosítás Knézich utcai játszótér kerítésének lemezelésére</t>
  </si>
  <si>
    <t>355.</t>
  </si>
  <si>
    <t>Játszóterek felülvizsgálata rovatok közötti módosítása Knézich utcai játszótér kerítésének lemezelésére</t>
  </si>
  <si>
    <t>356.</t>
  </si>
  <si>
    <t>Csapadékvíz-beruházások lakossági kérésről átcsoportosítás Földváry u. csapadékvíz-elvezetési munkálataira</t>
  </si>
  <si>
    <t>Földváry u. csapadékvíz-elvezetés kiépítés</t>
  </si>
  <si>
    <t>357.</t>
  </si>
  <si>
    <t>358.</t>
  </si>
  <si>
    <t>2022. évi maradvány terhére képzett tartalékból átcsoportosítás Földváry u. csapadékvíz-elvezetési munkálataira a Dunaharaszti Hunyadi János Általános Iskola környezetében</t>
  </si>
  <si>
    <t>359.</t>
  </si>
  <si>
    <t>2022. évi maradvány terhére képzett tartalékból átcsoportosítás Földváry u. felújítási munkálataira</t>
  </si>
  <si>
    <t>Földváry utca felújítása</t>
  </si>
  <si>
    <t>360.</t>
  </si>
  <si>
    <t>Intézményi ingatlanok különféle karbantartási kerete tartalékból átcsoportosítás Dunaharaszti Mese Óvoda épületén háztartásméretű napelemes kiserőmű kivitelezéséhez kapcsolódó műszaki ellenőrzésre</t>
  </si>
  <si>
    <t>361.</t>
  </si>
  <si>
    <t>Dunaharaszti Polgármesteri Hivatal épületén megvalósítandó háztartás méretű napelemes kiserőmű kivitelezéséről átcsoportosítás Dunaharaszti Mese Óvoda épületén megvalósítandó háztartás méretű napelemes kiserőmű kivitelezés műszaki ellenőrzésére</t>
  </si>
  <si>
    <t>362.</t>
  </si>
  <si>
    <t>Szelektív hulladékgyűjtésről átcsoportosítás Dr. Pósta Sándor u. csapadékvíz-elvezetésére</t>
  </si>
  <si>
    <t>Dr. Pósta Sándor u. csapadékvíz-elvezetés kiépítés</t>
  </si>
  <si>
    <t>363.</t>
  </si>
  <si>
    <t>Dunaharaszti-Taksony kerékpárút-építés saját forrásból átcsoportosítás Dunaharaszti-Taksony között kerékpárút mentén épülő szennyvízátemelő elektromos energiaellátásának kiépítésére</t>
  </si>
  <si>
    <t>Dunaharaszti Mese Óvoda rovatok közötti módosítása TP-link router beszerzésre</t>
  </si>
  <si>
    <t>364.</t>
  </si>
  <si>
    <t>365.</t>
  </si>
  <si>
    <t>Temető fenntartáson bevételemelés követeléselőírás miatt (urnafal karbantartás)</t>
  </si>
  <si>
    <t>366.</t>
  </si>
  <si>
    <t>2023 májusi állami normatíva felmérés eredményeként keletkezett többlet átvezetése Normatíva felülvizsgálat tartalékba</t>
  </si>
  <si>
    <t>367.</t>
  </si>
  <si>
    <t>Intézményi ingatlanok különféle karbantartási kerete tartalékból átcsoportosítás Dunaharaszti Városi Bölcsőde főintézményben belső karbantartási munkálatokra</t>
  </si>
  <si>
    <t>Önkormányzati finanszírozás Dunaharaszti Városi Bölcsőde főintézményben belső karbantartási munkálatokra</t>
  </si>
  <si>
    <t>Dunaharaszti Hétszínvirág Óvoda rovatok közötti módosítása mobiltelefon beszerzésre</t>
  </si>
  <si>
    <t>368.</t>
  </si>
  <si>
    <t>Intézményi ingatlanok különféle karbantartási kerete tartalékból átcsoportosítás felnőtt Orvosi Rendelőben fizikoterápiás kezelőágyak karbantartására és egyéb karbantartási munkálatokra</t>
  </si>
  <si>
    <t>369.</t>
  </si>
  <si>
    <t>Vízi közmű bérleti díj elkülönített számla tartalékból átcsoportosítás Ipartelep D280 betápláló vezeték kiépítésére</t>
  </si>
  <si>
    <t>370.</t>
  </si>
  <si>
    <t>2022. évi maradvány terhére képzett tartalékból átcsoportosítás 51. sz. Fő út-Paál László u. csomópontjában turbó körforgalom építés engedélyezési tervére</t>
  </si>
  <si>
    <t>Paál L. utca és az 51. sz. Fő út kereszteződésében kialakítandó turbó körforgalom módosított terveinek elkészítése és engedélyeztetése</t>
  </si>
  <si>
    <t>Igazgatáson bevételemelés követeléselőírás miatt</t>
  </si>
  <si>
    <t>Rendészeten gázdíj-jóváírás átvezetés szolgáltatásra</t>
  </si>
  <si>
    <t>371.</t>
  </si>
  <si>
    <t>Támogatások elszámolásán rovatok közötti módosítás napközis táborhoz játékok beszerzésére</t>
  </si>
  <si>
    <t>372.</t>
  </si>
  <si>
    <t>Bezerédi Sportpark fenntartásról átcsoportosítás Piknik parkban lámpatestek cseréjére</t>
  </si>
  <si>
    <t>Önkormányzati finanszírozás felnőtt Orvosi Rendelőben fizikoterápiás kezelőágyak karbantartására és egyéb karbantartási munkálatokra</t>
  </si>
  <si>
    <t>373.</t>
  </si>
  <si>
    <t>Intézményi ingatlanok különféle karbantartási kerete tartalékból átcsoportosítás felnőtt Orvosi Rendelőben zárcserékre</t>
  </si>
  <si>
    <t>Önkormányzati finanszírozás felnőtt Orvosi Rendelőben zárcserékre</t>
  </si>
  <si>
    <t>374.</t>
  </si>
  <si>
    <t>Intézményi ingatlanok különféle karbantartási kerete tartalékból átcsoportosítás Gyermekorvosi Rendelőben karbantartási munkálatokra</t>
  </si>
  <si>
    <t>Önkormányzati finanszírozás Gyermekorvosi Rendelőben karbantartási munkálatokra</t>
  </si>
  <si>
    <t>Óvodai, iskolai és gimnáziumi intézményi étkeztetésen ÁFA visszatérítés bevételemelés követeléselőírás miatt</t>
  </si>
  <si>
    <t>05</t>
  </si>
  <si>
    <t>Dunaharaszti Mese Óvoda bérleti díj bevételemelés követeléselőírás miatt</t>
  </si>
  <si>
    <t>Nyári napközis tábor ellátási díjak bevételemelés követeléselőírás miatt</t>
  </si>
  <si>
    <t>375.</t>
  </si>
  <si>
    <t>376.</t>
  </si>
  <si>
    <t>Intézményi ingatlanok különféle karbantartási kerete tartalékból átcsoportosítás Dunaharaszti Mese Óvodában napelem telepítéshez szükséges elektromos áram teljesítménybővítésre</t>
  </si>
  <si>
    <t>Dunaharaszti Mese Óvoda elektromos áram teljesítménybővítés</t>
  </si>
  <si>
    <t>377.</t>
  </si>
  <si>
    <t>Kiemelt állami és önkormányzati rendezvények rovatok közötti módosítása "Közalkalmazotti napra" vászontáska beszerzésre</t>
  </si>
  <si>
    <t>378.</t>
  </si>
  <si>
    <t>Kábítószer Egyeztető Fórum rovatok közötti módosítása laptopok beszerzésére</t>
  </si>
  <si>
    <t>379.</t>
  </si>
  <si>
    <t>Dunaharaszti Sportcsarnok "Sissi legendája" előadás jegybevétele átvezetés szolgáltatásra</t>
  </si>
  <si>
    <t>380.</t>
  </si>
  <si>
    <t>Dunaharaszti Sportcsarnok bér rovatok módosítása reprezentációs költségekre</t>
  </si>
  <si>
    <t>381.</t>
  </si>
  <si>
    <t>Közüzemi díj jóváírás átvezetés Energiaárak emelkedése miatti tartalékba</t>
  </si>
  <si>
    <t>382.</t>
  </si>
  <si>
    <t>2023 július havi állami támogatás (szociális ágazati összevont pótlék) átvezetés Ágazati pótlék, bérkompenzáció, személyi juttatás és járulék tartalékba</t>
  </si>
  <si>
    <t>Dunaharaszti Hétszínvirág Óvoda villamosenergia betáplálási többlet átvezetés áramdíjra</t>
  </si>
  <si>
    <t>Dunaharaszti Hétszínvirág Óvoda rovatok közötti módosítása székek beszerzésére</t>
  </si>
  <si>
    <t>Nyári napközi étkeztetésen bevételemelés követeléselőírás miatt</t>
  </si>
  <si>
    <t>Idősek nappali ellátásán gázdíj-jóváírás átvezetés gázenergia díjára</t>
  </si>
  <si>
    <t>Ifjúságegészségügyi gondozáson NEAK finanszírozás bevételemelés követeléselőírás miatt</t>
  </si>
  <si>
    <t>NEAK támogatás: Ifjúságegészségügyi gondozás</t>
  </si>
  <si>
    <t>Étkeztetésen ellátási díjak bevételemelés követeléselőírás miatt</t>
  </si>
  <si>
    <t>Dunaharaszti Városi Bölcsőde főintézmény bér kerekítési különbözet átvezetése szolgáltatásra</t>
  </si>
  <si>
    <t>Dunaharaszti Hétszínvirág Óvoda rovatok közötti módosítása mesterpedagógusi minősítés eljárási díjára</t>
  </si>
  <si>
    <t xml:space="preserve">23/2023. (VI.22.) sz. OMS határozat alapján Civil szervezetek, egyházak támogatása (Művészeti, oktatási, kulturális év közben belépő feladatok) tartalékból átcsoportosítás Dunaharaszti Nagycsaládos Egyesület támogatására </t>
  </si>
  <si>
    <t>Városgazdálkodás tartalékból átcsoportosítás "Gyere be ház" üzemeltetési díjára</t>
  </si>
  <si>
    <t xml:space="preserve">Dunaharaszti-Taksony kerékpárút-építés saját forrásból átcsoportosítás a projekt kötelező nyilvánosság biztosításához weblapok kezelésére </t>
  </si>
  <si>
    <t>Önkormányzati finanszírozás Dunaharaszti Városi Bölcsőde tagintézményben ideiglenes automata öntözés kiépítésére</t>
  </si>
  <si>
    <t>Dunaharaszti  Város Önkormányzata Képviselő-testületének 5/2023. (III.03.) rendeletének módosítása  2023. július 31-ig</t>
  </si>
  <si>
    <t>2023. évi állami normatíva igénylés Magyarország 2023. évi központi költségvetéséről szóló 2022. évi XXV. törvény alapján</t>
  </si>
  <si>
    <t>Növekedés (+)              csökkenés (-)</t>
  </si>
  <si>
    <t>383.</t>
  </si>
  <si>
    <t>Intézményi ingatlanok különféle karbantartási kerete tartalékból átcsoportosítás Dunaharaszti Mese Óvodában hőközpont felújítás módosított gáztervére</t>
  </si>
  <si>
    <t>384.</t>
  </si>
  <si>
    <t>Intézményi ingatlanok különféle karbantartási kerete tartalékból átcsoportosítás Dunaharaszti Városi Bölcsőde új tagintézmény építéshez kapcsolódó módosított gáztervre</t>
  </si>
  <si>
    <t>Intézményi ingatlanok különféle karbantartási kerete tartalékból átcsoportosítás Dunaharaszti Városi Bölcsőde új tagintézmény építéshez kapcsolódó módosított gáztervére</t>
  </si>
  <si>
    <t>385.</t>
  </si>
  <si>
    <t>Vis maior tartalékból átcsoportosítás vihar okozta zöldterületi károk elhárítására</t>
  </si>
  <si>
    <t>386.      397.</t>
  </si>
  <si>
    <t>2022. évi maradvány terhére képzett tartalékból átcsoportosítás Dunaharaszti Városi Bölcsőde tagintézmény udvarának átalakítására</t>
  </si>
  <si>
    <t>Dunaharaszti Városi Bölcsőde tagintézményben műfüves területek kialakítása, udvar átalakítása</t>
  </si>
  <si>
    <t>387.   398.</t>
  </si>
  <si>
    <t>Bezerédi Sportpark lezárt pályázat fel nem használt önrészből átcsoportosítás Dunaharaszti Városi Bölcsőde tagintézmény udvarának átalakítására</t>
  </si>
  <si>
    <t>388.</t>
  </si>
  <si>
    <t>Intézményi ingatlanok különféle karbantartási kerete tartalékból átcsoportosítás Dunaharaszti Polgármesteri Hivatalban klímák karbantartására</t>
  </si>
  <si>
    <t>Önkormányzati finanszírozás Dunaharaszti Polgármesteri Hivatalban klímák karbantartására</t>
  </si>
  <si>
    <t>389.</t>
  </si>
  <si>
    <t>Intézményi ingatlanok különféle karbantartási kerete tartalékból átcsoportosítás Dunaharaszti Mese Óvodában klímák karbantartására</t>
  </si>
  <si>
    <t>Önkormányzati finanszírozás Dunaharaszti Mese Óvodában klímák karbantartására</t>
  </si>
  <si>
    <t>390.</t>
  </si>
  <si>
    <t>Polgármester rendelkezése tartalékból átcsoportosítás Dunaharaszti Önkéntes Tűzoltó Egyesület támogatására légzőfelszerelés beszerzésre</t>
  </si>
  <si>
    <t>Dunaharaszti Önkéntes Tűzoltó Egyesület tűzoltóautó, feszítővágó és légzőfelszerelés beszerzés támogatása</t>
  </si>
  <si>
    <t>391.</t>
  </si>
  <si>
    <t>Bezerédi Sportpark lezárt pályázat fel nem használt önrészből átcsoportosítás 51-es számú főút és Némedi út menti közterületek karbantartására</t>
  </si>
  <si>
    <t>392.</t>
  </si>
  <si>
    <t>Beruházások, felújítások műszaki ellenőrzése tartalékból átcsoportosítás heves esőzés következtében kialakult csapadékvíz-elvezetési problémák miatti csapadékvíz-elvezetések kiépítésére</t>
  </si>
  <si>
    <t>Heves esőzés miatti csapadékvíz-elvezetések kiépítése (Némedi út, Domb u., Vásárhelyi P. u., Temető u., Magyar u.-Tompa M. u., Vörösmarty M. u., Dr. Pósta S. u., Jedlik Á. u.)</t>
  </si>
  <si>
    <t>393.</t>
  </si>
  <si>
    <t>Beruházások, felújítások műszaki ellenőrzése tartalékból átcsoportosítás heves esőzés miatti csapadékvíz-elvezetések kiépítésére (Némedi út, Domb u., Vásárhelyi P. u., Temető u., Magyar u.-Tompa M. u., Vörösmarty M. u., Dr. Pósta S. u., Jedlik Á. u.)</t>
  </si>
  <si>
    <t>Csapadékvízelvezetés-tervezésekről, Csapadékvíz-beruházások lakossági kérésről, Földárok építéséről átcsoportosítás heves esőzés miatti csapadékvíz-elvezetések kiépítésére (Némedi út, Domb u., Vásárhelyi P. u., Temető u., Magyar u.-Tompa M. u., Vörösmarty M. u., Dr. Pósta S. u., Jedlik Á. u.)</t>
  </si>
  <si>
    <t>394.</t>
  </si>
  <si>
    <t>Bezerédi Sportpark és játszótér fenntartásról átcsoportosítás heves esőzés miatti csapadékvíz-elvezetések kiépítésére (Némedi út, Domb u., Vásárhelyi P. u., Temető u., Magyar u.-Tompa M. u., Vörösmarty M. u., Dr. Pósta S. u., Jedlik               Á. u.)</t>
  </si>
  <si>
    <t>395.</t>
  </si>
  <si>
    <t>Fásítási programról átcsoportosítás 601/B erdőrészlet karbantartására</t>
  </si>
  <si>
    <t>396.</t>
  </si>
  <si>
    <t>Bezerédi Sportpark lezárt pályázat fel nem használt önrészből átcsoportosítás Iskola köz út-, parkoló- és járdaépítés műszaki ellenőrzésére</t>
  </si>
  <si>
    <t>399.</t>
  </si>
  <si>
    <t>Városgazdálkodás tartalékból átcsoportosítás dunaharaszti ingatlanok változtatási tilalom bejegyzés eljárási díjára</t>
  </si>
  <si>
    <t>400.</t>
  </si>
  <si>
    <t>Bezerédi Sportpark és játszótér fenntartásról átcsoportosítás Ipartelep D280 betápláló vezeték kiépítés műszaki ellenőrzésére</t>
  </si>
  <si>
    <t xml:space="preserve"> Ipartelep D280 betápláló vezeték kiépítés műszaki ellenőrzése</t>
  </si>
  <si>
    <t>Óvodai intézmény étkeztetésen elszámolt betáplálási áramból származó bevétel átvezetés szolgáltatásra</t>
  </si>
  <si>
    <t>401.</t>
  </si>
  <si>
    <t>Pest Vármegyei Katasztrófavédelmi Igazgatóság eszközfejlesztési támogatása</t>
  </si>
  <si>
    <t>402.</t>
  </si>
  <si>
    <t>Megelőlegezési hitel elszámolás alapján (augusztus havi)</t>
  </si>
  <si>
    <t>403.</t>
  </si>
  <si>
    <t>Bér rovatok módosítása júliusi bérkönyvelés alapján</t>
  </si>
  <si>
    <t>404.</t>
  </si>
  <si>
    <t>Szelektív hulladékgyűjtésről átcsoportosítás heves esőzés utáni szennyvízszippantási munkálatokra</t>
  </si>
  <si>
    <t>405.</t>
  </si>
  <si>
    <t>2022. évi maradvány terhére képzett tartalékból átcsoportosítás kisfeszültségű betonoszlop áthelyezésére az Iskola közben</t>
  </si>
  <si>
    <t>406.</t>
  </si>
  <si>
    <t>2022. évi maradvány terhére képzett tartalékból átcsoportosítás vihar okozta zöldterületi károk elhárítására a Sport-szigeten</t>
  </si>
  <si>
    <t>407.</t>
  </si>
  <si>
    <t>Vis maior tartalékból átcsoportosítás vihar okozta zöldterületi károk elhárítására a Sport-szigeten</t>
  </si>
  <si>
    <t>408.</t>
  </si>
  <si>
    <t>Fásítási programról átcsoportosítás 7844/3-6 hrsz. kaszálására</t>
  </si>
  <si>
    <t>409.</t>
  </si>
  <si>
    <t>Zöldterület-kezelés rovatok közötti módosítása Dunaharaszti zöldterületeinek karbantartására</t>
  </si>
  <si>
    <t>410.</t>
  </si>
  <si>
    <t>Útépítési tervek, műszaki ellenőrzés tartalékból átcsoportosítás térvilágítás javítására a Napsugár utcában</t>
  </si>
  <si>
    <t>411.</t>
  </si>
  <si>
    <t>2022. évi maradvány terhére képzett tartalékból átcsoportosítás DMTK Sportpálya kerítésének felújítására</t>
  </si>
  <si>
    <t>DMTK Sportpálya kerítés felújítás</t>
  </si>
  <si>
    <t>412.</t>
  </si>
  <si>
    <t>Iskola köz út-, járda- és parkolóépítés projekten fordított adózás miatt rovatok közötti helyesbítés</t>
  </si>
  <si>
    <t xml:space="preserve">92/2023. (VII.20.) sz. Kt. határozat: Iskola köz út-, járda- és parkolóépítés </t>
  </si>
  <si>
    <t>413.</t>
  </si>
  <si>
    <t>Dunaharaszti e-közmű rendszer üzemeltetés adó alól mentesség miatti rovatok közötti helyesbítése</t>
  </si>
  <si>
    <t>414.</t>
  </si>
  <si>
    <t>Notebook értékesítésből származó bevétel átvezetés Biztos bevétel tartalékba</t>
  </si>
  <si>
    <t>Dunaharaszti Napsugár Óvoda rovatok közötti módosítása fűtésrendszer karbantartására</t>
  </si>
  <si>
    <t xml:space="preserve"> +/</t>
  </si>
  <si>
    <t>Ifjúságegészségügyi gondozáson rovatok közötti módosítás üzemeltetési anyagok beszerzésére (toner, gumikesztyű, orvosi maszk)</t>
  </si>
  <si>
    <t>415.</t>
  </si>
  <si>
    <t>416.</t>
  </si>
  <si>
    <t>Városi piac rovatok közötti módosítása ásványvíz beszerzésre</t>
  </si>
  <si>
    <t>417.</t>
  </si>
  <si>
    <t>Intézményi ingatlanok különféle karbantartási kerete tartalékból átcsoportosítás felnőtt Orvosi rendelőben fogorvosi röntgen felülvizsgálatára</t>
  </si>
  <si>
    <t>Önkormányzati finanszírozás felnőtt Orvosi Rendelőben röntgengép felülvizsgálatára</t>
  </si>
  <si>
    <t>418.</t>
  </si>
  <si>
    <t>Iskola köz közvilágítás kiépítés</t>
  </si>
  <si>
    <t>Anyakönyvi feladatokon közhatalmi bevételek emelése követeléselőírás miatt</t>
  </si>
  <si>
    <t>419.</t>
  </si>
  <si>
    <t>Intézményi ingatlanok különféle karbantartási kerete tartalékból átcsoportosítás Dunaharaszti Polgármesteri Hivatalban kazáncsere kivitelezésének többletköltségeire</t>
  </si>
  <si>
    <t>420.</t>
  </si>
  <si>
    <t>Intézményi ingatlanok különféle karbantartási kerete tartalékból átcsoportosítás Dunaharaszti Hétszínvirág Óvodában kazáncsere kivitelezésének többletköltségeire</t>
  </si>
  <si>
    <t>Közművelődési tevékenység rovatok közötti módosítása laptop beszerzésre</t>
  </si>
  <si>
    <t>Önkormányzati finanszírozás Dunaharaszti Szivárvány Óvodában gázkészülék karbantartására</t>
  </si>
  <si>
    <t>421.</t>
  </si>
  <si>
    <t>Intézményi ingatlanok különféle karbantartási kerete tartalékból átcsoportosítás Dunaharaszti Szivárvány Óvodában gázkészülék karbantartására</t>
  </si>
  <si>
    <t>422.</t>
  </si>
  <si>
    <t>ÉDV Zrt-től elszámolás alapján kapott közműfejlesztési hozzájárulás átvezetés Vízi közmű bérleti díj elkülönített számla tartalékba</t>
  </si>
  <si>
    <t>423.</t>
  </si>
  <si>
    <t>Intézményi ingatlanok különféle karbantartási kerete tartalékból átcsoportosítás Dunaharaszti Hétszínvirág Óvodában kazáncsere műszaki ellenőrzésére</t>
  </si>
  <si>
    <t>424.</t>
  </si>
  <si>
    <t>Intézményi ingatlanok különféle karbantartási kerete tartalékból átcsoportosítás Dunaharaszti Polgármesteri Hivatalban kazáncsere műszaki ellenőrzésére</t>
  </si>
  <si>
    <t>425.</t>
  </si>
  <si>
    <t>Intézményi ingatlanok különféle karbantartási kerete tartalékból átcsoportosítás Dunaharaszti Mese Óvodában hőközpont felújítás műszaki ellenőrzésére</t>
  </si>
  <si>
    <t>426.</t>
  </si>
  <si>
    <t>Intézményi ingatlanok különféle karbantartási kerete tartalékból átcsoportosítás Dunaharaszti Család- és Gyermekjóléti Szolgálat kazáncsere műszaki ellenőrzésére</t>
  </si>
  <si>
    <t>Önkormányzati finanszírozás Idősek nappali ellátása, Szociális étkeztetés, Házi segítségnyújtás, Házi jelzőrendszer, Egészségügyi labor, Fizikotherápia, Ifjúságegészségügyi gondozás, Iskolai intézményi étkeztetés béren kívüli juttatás és járulékai céljára</t>
  </si>
  <si>
    <t>Önkormányzati finanszírozás béren kívüli juttatás és járulékai céljára</t>
  </si>
  <si>
    <t>Polgármesteri Hivatal 2023. évi előirányzat</t>
  </si>
  <si>
    <t>Dunaharaszti Család- és Gyermekjóléti Szolgálat 2023. évi előirányzat</t>
  </si>
  <si>
    <t>Dunaharaszti Területi Gondozási Központ 2023. évi előirányzat</t>
  </si>
  <si>
    <t>Dunaharaszti Városi Könyvtár 2023. évi előirányzat</t>
  </si>
  <si>
    <t>Dunaharaszti Szivárvány Óvoda 2023. évi előirányzat</t>
  </si>
  <si>
    <t>Önkormányzati finanszírozás béren kívüli juttatásra és járulékaira</t>
  </si>
  <si>
    <t>Önkormányzati finanszírozás Dunaharaszti Városi Bölcsőde étkeztetésnek, főintézménynek és tagintézménynek béren kívüli juttatásra és járulékaira</t>
  </si>
  <si>
    <t>Önkormányzati finanszírozás Dunaharaszti Mese és Napsugár Óvodának béren kívüli juttatásra és járulékaira</t>
  </si>
  <si>
    <t>427.</t>
  </si>
  <si>
    <t>Ágazati pótlék, bérkompenzáció, személyi juttatás és járulékai tartalékból átcsoportosítás Dunaharaszti Területi Gondozási Központnak feljegyzés alapján béren kívüli juttatásra és járulékaira</t>
  </si>
  <si>
    <t>428.</t>
  </si>
  <si>
    <t>Ágazati pótlék, bérkompenzáció, személyi juttatás és járulékai tartalékból átcsoportosítás Dunaharaszti Városi Könyvtárnak feljegyzés alapján béren kívüli juttatásra és járulékaira</t>
  </si>
  <si>
    <t>429.</t>
  </si>
  <si>
    <t>Ágazati pótlék, bérkompenzáció, személyi juttatás és járulékai tartalékból átcsoportosítás Dunaharaszti Család- és Gyermekjóléti Szolgálatnak feljegyzés alapján béren kívüli juttatásra és járulékaira</t>
  </si>
  <si>
    <t>430.</t>
  </si>
  <si>
    <t>Ágazati pótlék, bérkompenzáció, személyi juttatás és járulékai tartalékból átcsoportosítás Dunaharaszti Mese és Napsugár Óvodának feljegyzés alapján béren kívüli juttatásra és járulékaira</t>
  </si>
  <si>
    <t>431.</t>
  </si>
  <si>
    <t>Ágazati pótlék, bérkompenzáció, személyi juttatás és járulékai tartalékból átcsoportosítás Dunaharaszti Városi Bölcsődének feljegyzés alapján béren kívüli juttatásra és járulékaira</t>
  </si>
  <si>
    <t>432.</t>
  </si>
  <si>
    <t>Ágazati pótlék, bérkompenzáció, személyi juttatás és járulékai tartalékból átcsoportosítás Dunaharaszti Hétszínvirág Óvodának feljegyzés alapján béren kívüli juttatásra és járulékaira</t>
  </si>
  <si>
    <t>433.</t>
  </si>
  <si>
    <t>Ágazati pótlék, bérkompenzáció, személyi juttatás és járulékai tartalékból átcsoportosítás Dunaharaszti Szivárvány és Százszorszép Óvodának feljegyzés alapján béren kívüli juttatásra és járulékaira</t>
  </si>
  <si>
    <t>434.</t>
  </si>
  <si>
    <t>Ágazati pótlék, bérkompenzáció, személyi juttatás és járulékai tartalékból átcsoportosítás Dunaharaszti József Attila Művelődési Háznak feljegyzés alapján béren kívüli juttatásra és járulékaira</t>
  </si>
  <si>
    <t>435.</t>
  </si>
  <si>
    <t>Ágazati pótlék, bérkompenzáció, személyi juttatás és járulékai tartalékból átcsoportosítás Dunaharaszti Polgármesteri Hivatalnak feljegyzés alapján béren kívüli juttatásra és járulékaira</t>
  </si>
  <si>
    <t>34.    35.</t>
  </si>
  <si>
    <t>Önkormányzati finanszírozás Dunaharaszti Hétszínvirág Óvodának béren kívüli juttatásra és járulékaira</t>
  </si>
  <si>
    <t>Önkormányzati finanszírozás Dunaharaszti Szivárvány Óvodának béren kívüli juttatásra és járulékaira</t>
  </si>
  <si>
    <t>Önkormányzati finanszírozás Dunaharaszti József Attila Művelődési Háznak béren kívüli juttatásra és járulékaira</t>
  </si>
  <si>
    <t>Önkormányzati finanszírozás Dunaharaszti Polgármesteri Hivatalnak (Igazgatás, Adóügyi feladatok, Anyakönyvi feladatok, Rendészet) béren kívüli juttatásra és járulékaira</t>
  </si>
  <si>
    <t>436.</t>
  </si>
  <si>
    <t>Ágazati pótlék, bérkompenzáció, személyi juttatás és járulékai tartalékból átcsoportosítás Dunaharaszti Város Önkormányzatának feljegyzés alapján béren kívüli juttatásra és járulékaira</t>
  </si>
  <si>
    <t>Dunaharaszti Hétszínvirág Óvoda elszámolt betáplált villamosenergia bevételének átvezetése szolgáltatásra</t>
  </si>
  <si>
    <t>Felhalmozási célú visszatérítendő támogatás államháztartáson kívülről bevételemelés követeléselőírás miatt</t>
  </si>
  <si>
    <t>437.        438.</t>
  </si>
  <si>
    <t>Energiaárak emelkedése miatti tartalékból átcsoportosítás Dunaharaszti Polgármesteri Hivatal adóügyi feladatok vízdíjára</t>
  </si>
  <si>
    <t>Önkormányzati finanszírozás Adóügyi feladatok vízdíjára</t>
  </si>
  <si>
    <t>439.</t>
  </si>
  <si>
    <t>Városgazdálkodás tartalékból átcsoportosítás megkopott gyalogátkelők festésére</t>
  </si>
  <si>
    <t>440.</t>
  </si>
  <si>
    <t>Fásítási programról átcsoportosítás helyi parkokban sérült hulladékgyűjtők cseréjére és padok javítására</t>
  </si>
  <si>
    <t>Közművelődési tevékenységen és Laffert-kúriával kapcsolatos feladatokon bevételemelés követeléselőírás miatt</t>
  </si>
  <si>
    <t>441.</t>
  </si>
  <si>
    <t>Közterületi feladatok rovatok közötti módosítása adatkezelési napló beszerzésre</t>
  </si>
  <si>
    <t>442.</t>
  </si>
  <si>
    <t>Rendőrségi feladatok rovatok közötti módosítása mobiltelefon beszerzésre</t>
  </si>
  <si>
    <t>050</t>
  </si>
  <si>
    <t>Dunaharaszti Rendőrőrs eszközbeszerzés</t>
  </si>
  <si>
    <t>443.</t>
  </si>
  <si>
    <t>Városi Temető temetkezés feladaton rovatok közötti módosítás router beszerzésre</t>
  </si>
  <si>
    <t>444.</t>
  </si>
  <si>
    <t>Nemzetközi kapcsolatok rovatok közötti módosítása reprezentációs költségekre</t>
  </si>
  <si>
    <t>445.</t>
  </si>
  <si>
    <t>Kábítószer Egyeztető Fórum rovatok közötti módosítása rajzeszközök beszerzésére</t>
  </si>
  <si>
    <t>446.</t>
  </si>
  <si>
    <t>153</t>
  </si>
  <si>
    <t>Városgazdálkodás tartalékból átcsoportosítás Sport-szigeti turizmusfejlesztés keretében megvalósuló gyalogos híd építéséhez kapcsolódó talajvizsgálati jelentésre</t>
  </si>
  <si>
    <t>153                   Sport-sziget turizmusfejlesztése KÍVÜLI                TOP_PLUSZ-1.1.3-21-PT1-2022-00008</t>
  </si>
  <si>
    <t>447.</t>
  </si>
  <si>
    <t>Dunaharaszti Sportcsarnok bevételemelés követeléselőírás miatt</t>
  </si>
  <si>
    <t>448.</t>
  </si>
  <si>
    <t>"Búcsú" rendezvény helybérlés bevétel átvezetés szolgáltatásra</t>
  </si>
  <si>
    <t>449.</t>
  </si>
  <si>
    <t>Lekötött betét után járó kamat átvezetés Energiaárak emelkedése miatti tartalékba</t>
  </si>
  <si>
    <t>450.</t>
  </si>
  <si>
    <t>Bérkönyvelés kerekítési különbözet átvezetés Biztos bevétel tartalékba</t>
  </si>
  <si>
    <t>Idősek nappali ellátása, Szociális étkeztetés, Óvodai, iskolai és gimnáziumi intézményi étkeztetés ellátási díjak bevételemelése követeléselőírás miatt</t>
  </si>
  <si>
    <t>Dunaharaszti Mese Óvodán áramdíj-jóváírás átvezetés szolgáltatásra</t>
  </si>
  <si>
    <t>451.</t>
  </si>
  <si>
    <t>2023 augusztus havi állami támogatás (szociális ágazati összevont pótlék és könyvtári érdekeltségnövelő támogatás) átvezetés Ágazati pótlék, bérkompenzáció, személyi juttatás és járulék tartalékba</t>
  </si>
  <si>
    <t>I.13.d</t>
  </si>
  <si>
    <t>A települési önkormányzatok könyvtári célú érdekeltségnövelő támogatása</t>
  </si>
  <si>
    <t>Intézményi ingatlanok különféle karbantartási kerete tartalékból átcsoportosítás Dunaharaszti Család- és Gyermekjóléti Szolgálat kazáncsere kivitelezésének többletköltségeire</t>
  </si>
  <si>
    <t>452.</t>
  </si>
  <si>
    <t>Külterületi és veszélyes hulladék gyűjtésről átcsoportosítás Dedinszky-Munkácsy utcák folytatásaként építendő új út rendezésére</t>
  </si>
  <si>
    <t>Bezerédi Sportpark fenntartásról átcsoportosítás Iskola köz közvilágítás elektromos kiviteli terveire</t>
  </si>
  <si>
    <t>Dunaharaszti  Város Önkormányzata Képviselő-testületének 5/2023. (III.03.) rendeletének módosítása  2023. szeptember 30-ig</t>
  </si>
  <si>
    <t>453.</t>
  </si>
  <si>
    <t>Ágazati pótlék, bérkompenzáció, személyi juttatás és járulékai tartalékból átcsoportosítás létszámnövekedés miatt Dunaharaszti József Attila Művelődési Háznak törvény szerinti illetmény és járulékaira</t>
  </si>
  <si>
    <t>Önkormányzati finanszírozás létszámnövekedés miatt Dunaharaszti József Attila Művelődési Háznak törvény szerinti illetményre és járulékaira</t>
  </si>
  <si>
    <t>454.</t>
  </si>
  <si>
    <t>70/2023. (IX.14.) sz. Szociális és Egészségügyi Bizottság határozata alapján a Rendkívüli települési támogatás ápolás céljára sorról átcsoportosítás Krízishelyzet és szociális célú támogatás sorra</t>
  </si>
  <si>
    <t>215</t>
  </si>
  <si>
    <t>207</t>
  </si>
  <si>
    <t>107060</t>
  </si>
  <si>
    <t>455.</t>
  </si>
  <si>
    <t>Városgazdálkodás tartalékból átcsoportosítás viharkárok elhárítására emelőkosaras gépjárművel</t>
  </si>
  <si>
    <t>456.</t>
  </si>
  <si>
    <t>457.</t>
  </si>
  <si>
    <t>Sport-sziget turizmusfejlesztése belüli (TOP_PLUSZ-1.1.3-21-PT1-2022-00008 támogatás: 314.960.630,- Ft, ebből dologira átcsoportosított: 35.662.205,- Ft)</t>
  </si>
  <si>
    <t>458.</t>
  </si>
  <si>
    <t>Fásítási programról átcsoportosítás Mandula u. rézsű, 7844/3-6 hrsz., 8230 hrsz. területek kaszálására</t>
  </si>
  <si>
    <t>459.</t>
  </si>
  <si>
    <t>Bezerédi Sportpark fenntartásról átcsoportosítás Mandula u. részű, 7844/3-6 hrsz., 8230 hrsz. területek kaszálására</t>
  </si>
  <si>
    <t>460.</t>
  </si>
  <si>
    <t>461.</t>
  </si>
  <si>
    <t>Bezerédi Sportpark fenntartásról átcsoportosítás fák veszélytelenítésére alpin technikával</t>
  </si>
  <si>
    <t>462.</t>
  </si>
  <si>
    <t>Intézményi ingatlanok különféle karbantartási kerete tartalékból átcsoportosítás Dunaharaszti Százszorszép Óvodában kerítés építésére</t>
  </si>
  <si>
    <t>Dunaharaszti Százszorszép Óvoda kerítés építés</t>
  </si>
  <si>
    <t>463.</t>
  </si>
  <si>
    <t>Energiaárak emelkedése miatti tartalékból átcsoportosítás Intézményi ingatlanok különféle karbantartási kerete tartalék növelés céljára</t>
  </si>
  <si>
    <t>22.        23.</t>
  </si>
  <si>
    <t>464.</t>
  </si>
  <si>
    <t>463.        465.</t>
  </si>
  <si>
    <t>Vízi közmű bérleti díj elkülönített számla tartalékból átvezetés közműfejlesztési munkákra korábban saját forrásból megelőlegezett, ÉDV Zrt. által utólag megtérített összegével Városgazdálkodás tartalék növelésére</t>
  </si>
  <si>
    <t>466.</t>
  </si>
  <si>
    <t>Megelőlegezési hitel elszámolás alapján (szeptember havi)</t>
  </si>
  <si>
    <t>Bér rovatok módosítása augusztusi bérkönyvelés alapján</t>
  </si>
  <si>
    <t>467.</t>
  </si>
  <si>
    <t>468.</t>
  </si>
  <si>
    <t>469.</t>
  </si>
  <si>
    <t>Intézményi ingatlanok különféle karbantartási kerete tartalékból átcsoportosítás Piactéren elosztószekrény cseréjére</t>
  </si>
  <si>
    <t>470.</t>
  </si>
  <si>
    <t>Polgármester rendelkezése tartalékból átcsoportosítás Dunaharaszti Judo Club Sportegyesület támogatására</t>
  </si>
  <si>
    <t>Dunaharaszti Judo Club támogatása</t>
  </si>
  <si>
    <t>471.</t>
  </si>
  <si>
    <t>Külterületi és veszélyes hulladék gyűjtésről átcsoportosítás Jókai M. u.-Kossuth L. u. kereszteződésében D600-as csapadékvíz-csatorna javítására</t>
  </si>
  <si>
    <t>472.</t>
  </si>
  <si>
    <t>Szelektív hulladékgyűjtésről átcsoportosítás 6039/21 hrsz., Napsugár u., Sport-sziget területeken kaszálási munkálatokra</t>
  </si>
  <si>
    <t>473.</t>
  </si>
  <si>
    <t>Külterületi és veszélyes hulladék gyűjtésről átcsoportosítás Pillangó u. területén fák kivágására és cserjék irtására</t>
  </si>
  <si>
    <t>474.</t>
  </si>
  <si>
    <t>Intézményi ingatlanok különféle karbantartási kerete tartalékból átcsoportosítás Dunaharaszti Polgármesteri Hivatal pincéjében fűtés felújítására</t>
  </si>
  <si>
    <t>Dunaharaszti Polgármesteri Hivatal pince fűtési rendszer felújítása</t>
  </si>
  <si>
    <t>475.</t>
  </si>
  <si>
    <t>107/2023. (IX.25.) sz. Kt. határozat: Szigetszentmiklós Tankerületi Központ támogatása Kőrösi Csoma Sándor Általános Iskola úszásoktatás céljára</t>
  </si>
  <si>
    <t>56/2023. (V.31.) sz. Kt. határozat: Szigetszentmiklósi Tankerületi Központ támogatása Dunaharaszti Zeneiskola részére hangszer vásárlásra</t>
  </si>
  <si>
    <t>56/2023. (V.31.) sz. Kt. határozat alapján Képviselő-testület rendelkezése tartalékból átcsoportosítás Szigetszentmiklósi Tankerületi Központ támogatására Dunaharaszti Zeneiskola részére hangszer vásárlásra</t>
  </si>
  <si>
    <t>476.</t>
  </si>
  <si>
    <t>Intézményi ingatlanok különféle karbantartási kerete tartalékból átcsoportosítás Dunaharaszti Városi Bölcsőde tagintézményben árnyékoló napvitorlák bontására</t>
  </si>
  <si>
    <t>Önkormányzati finanszírozás Dunaharaszti Városi Bölcsőde tagintézményben árnyékoló napvitorlák bontására</t>
  </si>
  <si>
    <t>477.</t>
  </si>
  <si>
    <t>Intézményi ingatlanok különféle karbantartási kerete tartalékból átcsoportosítás Dunaharaszti Család- és Gyermekjóléti Szolgálat belső felújítási munkálataira</t>
  </si>
  <si>
    <t>Dunaharaszti Család- és Gyermekjóléti Szolgálat belső felújítás</t>
  </si>
  <si>
    <t>478.</t>
  </si>
  <si>
    <t>Városgazdálkodás tartalékból átcsoportosítás Dunaharaszti 510-es út menti területek víziközmű rendszerének áttervezésére és DMPV Zrt. által üzemeltetett hálózatról történő leválasztásra</t>
  </si>
  <si>
    <t>479.</t>
  </si>
  <si>
    <t>Városgazdálkodás tartalékból átcsoportosítás illegálisan lerakott hulladék begyűjtésére</t>
  </si>
  <si>
    <t>480.</t>
  </si>
  <si>
    <t>26/2023. (IX.21.) sz. OMS határozat alapján Városi civil sport- és kulturális rendezvények kiadásainak valamint DMTK-n kívüli sportegyesületek kiadásainak finanszírozási kerete tartalékból átcsoportosítás Szigetszentmiklós Kick-box Sportegyesület támogatására Kolozsvári Enikő sporttevékenysége céljára</t>
  </si>
  <si>
    <t>26/2023. (IX.21.) sz. OMS határozat: Szigetszentmiklós Kick-box Sportegyesület támogatása Kolozsvári Enikő sporttevékenység céljára</t>
  </si>
  <si>
    <t>481.</t>
  </si>
  <si>
    <t>27/2023. (IX.21.) sz. OMS határozat alapján Civil szervezetek, egyházak támogatása (Művészeti, oktatási, kulturális év közben belépő feladatok) tartalékból átcsoportosítás Bárka Egyesület támogatására "Hálaadó Alkalom" előadói költségre</t>
  </si>
  <si>
    <t>27/2023. (IX.21.) sz. OMS határozat: Bárka Egyesület támogatása "Hálaadó Alkalom" előadói költségére</t>
  </si>
  <si>
    <t>27/2023. (IX.21.) sz. OMS határozat alapján Civil szervezetek, egyházak támogatása (Művészeti, oktatási, kulturális év közben belépő feladatok) tartalékból átcsoportosítás Bárka Egyesület támogatására "Hálaadó Alkalom" előadói költségére</t>
  </si>
  <si>
    <t>482.</t>
  </si>
  <si>
    <t>Utcanévtáblák, gyepmester, városi közkutak feladaton rovatok közötti módosítás KRESZ táblák beszerzésére</t>
  </si>
  <si>
    <t>483.</t>
  </si>
  <si>
    <t>Városgazdálkodási kiadások rovatok közötti módosítása Temető utcába Európai Uniós projekttábla pótlására</t>
  </si>
  <si>
    <t>484.</t>
  </si>
  <si>
    <t>Intézményi ingatlanok különféle karbantartási kerete tartalékból átcsoportosítás Dunaharaszti Mese Óvodában lámpatestek cseréjére</t>
  </si>
  <si>
    <t>Dunaharaszti Mese Óvoda lámpatestek cseréje</t>
  </si>
  <si>
    <t>485.</t>
  </si>
  <si>
    <t>Bezerédi Sportpark fenntartás rovatok közötti módosítása fák ültetésére</t>
  </si>
  <si>
    <t>486.</t>
  </si>
  <si>
    <t>Közterületi feladatok rovatok közötti módosítása modem bérleti díjára</t>
  </si>
  <si>
    <t>487.</t>
  </si>
  <si>
    <t>Nem lakáscélú önkormányzati ingatlanokon bevételemelés követeléselőírás miatt</t>
  </si>
  <si>
    <t>386.</t>
  </si>
  <si>
    <t>488.</t>
  </si>
  <si>
    <t>Temetkezésen és Temető fenntartáson bevételemelés követeléselőírás miatt</t>
  </si>
  <si>
    <t>387.</t>
  </si>
  <si>
    <t>489.</t>
  </si>
  <si>
    <t>Városgazdálkodás tartalékból átcsoportosítás Dunaharaszti területén kaszálási munkálatokra</t>
  </si>
  <si>
    <t>490.</t>
  </si>
  <si>
    <t>Intézményi ingatlanok különféle karbantartási kerete tartalékból átcsoportosítás Dunaharaszti Területi Gondozási Központ fizikoterápia kezelőágyak karbantartására</t>
  </si>
  <si>
    <t>Önkormányzati finanszírozás fizikoterápiás ágyak karbantartására</t>
  </si>
  <si>
    <t>491.</t>
  </si>
  <si>
    <t>Városgazdálkodás tartalékból átcsoportosítás Iskola köz közvilágítás kiépítésére</t>
  </si>
  <si>
    <t>492.</t>
  </si>
  <si>
    <t>Városgazdálkodás tartalékból átcsoportosítás DTCS terhelhetőségi vizsgálathoz felszíni víz laboratóriumi vizsgálatához</t>
  </si>
  <si>
    <t>493.</t>
  </si>
  <si>
    <t>Intézményi ingatlanok különféle karbantartási kerete tartalékból átcsoportosítás Dunaharaszti Városi Bölcsőde új tagintézmény határoló kerítés és támfal építéséhez kapcsolódó költségbecslés és árazatlan költségvetés módosítására</t>
  </si>
  <si>
    <t>494.       495.</t>
  </si>
  <si>
    <t>102/2023. (IX.25.) sz. Kt. határozat alapján Energiaárak emelkedése miatti tartalékból átcsoportosítás Daci Duster Expression TCe130 személygépkocsi vásárlásra Dunaharaszti Polgárőr Egyesület részére</t>
  </si>
  <si>
    <t>102/2023. (IX.25.) sz. Kt. határozat: Dunaharaszti Polgárőr Egyesület részére Dacia Duster Expression TCe130 személygépkocsi vásárlás</t>
  </si>
  <si>
    <t>Dunaharaszti Mese Óvoda rovatok közötti módosítása számítógép beszerzésre</t>
  </si>
  <si>
    <t>496.</t>
  </si>
  <si>
    <t>103/2023. (IX.25.) sz. Kt. határozat alapján Energiaárak emelkedése miatti tartalékból átcsoportosítás Dacia Duster Expression TCe130 személygépkocsi vásárlásra Dunaharaszti Polgármesteri Hivatal Rendészeti Iroda részére</t>
  </si>
  <si>
    <t>103/2023. (IX.25.) sz. Kt. határozat alapján önkormányzati finanszírozás Rendészeti Iroda részére Dacia Duster Expression TCe130 személygépkocsi vásárlásra</t>
  </si>
  <si>
    <t>497.</t>
  </si>
  <si>
    <t>Temetkezésen bevételemelés követeléselőírás miatt</t>
  </si>
  <si>
    <t>Módosított létszámkeret    (fő)           2023.09.01.</t>
  </si>
  <si>
    <t>481.      498.</t>
  </si>
  <si>
    <t>499.</t>
  </si>
  <si>
    <t>Energiaárak emelkedése miatti tartalékból átcsoportosítás MÁV-Alsó vízellátó rendszer tervezésére</t>
  </si>
  <si>
    <t>500.</t>
  </si>
  <si>
    <t>A/VII. Önkormányzat: MÁV-Alsó területfejlesztések</t>
  </si>
  <si>
    <t>MÁV-Alsó vízellátó rendszer kiépítés</t>
  </si>
  <si>
    <t>Intézményi ingatlanok különféle karbantartási kerete tartalékból átcsoportosítás felnőtt Orvosi Rendelőben Fizikoterápia helyiségében átalakítási munkálatokra</t>
  </si>
  <si>
    <t>Önkormányzati finanszírozás Fizikoterápia helyiségben átalakítási munkálatokra</t>
  </si>
  <si>
    <t>397.</t>
  </si>
  <si>
    <t>501.</t>
  </si>
  <si>
    <t>Intézményi ingatlanok különféle karbantartási kerete tartalékból átcsoportosítás Dunaharaszti Városi Bölcsőde új tagintézmény kerítés építésére</t>
  </si>
  <si>
    <t>398.</t>
  </si>
  <si>
    <t>502.</t>
  </si>
  <si>
    <t>Energiaárak emelkedése miatti tartalékból átcsoportosítás burkolt árkok építésére a Haraszthy F. u., Vásárhelyi P. u., Pósta S. u. területeken</t>
  </si>
  <si>
    <t>Haraszthy F. u., Vásárhelyi P. u., Dr. Pósta Sándor u. területeken burkolt árkok építése</t>
  </si>
  <si>
    <t>503.</t>
  </si>
  <si>
    <t>Energiaárak emelkedése miatti tartalékból átcsoportosítás Dedinszky E. utcában épület bontására és kerítés építésére</t>
  </si>
  <si>
    <t>504.</t>
  </si>
  <si>
    <t>Energiaárak emelkedése miatti tartalékból átcsoportosítás fák kivágására emelőkosaras kocsival</t>
  </si>
  <si>
    <t>505.</t>
  </si>
  <si>
    <t>Energiaárak emelkedése miatti tartalékból átcsoportosítás volt Autótechnika területén zöldterületi rendezési munkálatokra</t>
  </si>
  <si>
    <t>506.</t>
  </si>
  <si>
    <t>Városgazdálkodás tartalékból átcsoportosítás szennyvíztisztító telep terhelhetőségi vizsgálatára</t>
  </si>
  <si>
    <t>Közművelődési tevékenység ÁFA rovatról átcsoportosítás Laffert-kúriával kapcsolatos feladatokra teremtükör beszerzésre</t>
  </si>
  <si>
    <t>Finanszírozás módosítás (Dunaharaszti József Attila Művelődési Ház)</t>
  </si>
  <si>
    <t>Fizikoterápiás szolgáltatás rovatok közötti módosítása mosógép beszerzésre</t>
  </si>
  <si>
    <t>Dunaharaszti Hétszínvirág Óvoda rovatok közötti módosítása logopédiai szolgáltatásra</t>
  </si>
  <si>
    <t>Óvodai, iskolai és gimnáziumi intézményi étkeztetésen bevételemelés követeléselőírás miatt</t>
  </si>
  <si>
    <t>Dunaharaszti Mese Óvoda rovatok közötti módosítása honlapszerkesztésre és internetdíjra</t>
  </si>
  <si>
    <t>Dunaharaszti Szivárvány Óvoda betáplált áramból adódó bevétel átvezetés karbantartás rovatra</t>
  </si>
  <si>
    <t>Támogatások elszámolásán rovatok közötti módosítás "Szivárványhétre" játékok beszerzésére</t>
  </si>
  <si>
    <t>Betáplált áramból adódó bevétel átvezetés szolgáltatás rovatra, valamint Zöld Óvoda feladataira</t>
  </si>
  <si>
    <t>Dunaharaszti Szivárvány Óvoda SNI rovatok közötti módosítása terápiás hangszerek beszerzésére</t>
  </si>
  <si>
    <t>Dunaharaszti Szivárvány Óvoda (SNI)</t>
  </si>
  <si>
    <t>Idősek nappali ellátásán gázdíj-jóváírás átvezetés szolgáltatásra</t>
  </si>
  <si>
    <t>Felnőtt Orvosi Rendelőn bevételemelés követeléselőírás miatt</t>
  </si>
  <si>
    <t>"Várossá válás ünnepség" rovatok közötti módosítása játékbérlésre</t>
  </si>
  <si>
    <t>025</t>
  </si>
  <si>
    <t>508.</t>
  </si>
  <si>
    <t>Energiaárak emelkedése miatti tartalékból átcsoportosítás helyi buszmegállókban információs táblák áramdíjára</t>
  </si>
  <si>
    <t>509.</t>
  </si>
  <si>
    <t>Dunaharaszti Sportcsarnok "Sissi előadás" bevétele átvezetés szolgáltatás rovatra</t>
  </si>
  <si>
    <t>510.</t>
  </si>
  <si>
    <t>105/2023. (IX.25.) sz. Kt. határozat alapján a lekötött szabad pénzeszközök kamatbevételének többlete átvezetés Energiaárak emelkedése miatti tartalék sorra</t>
  </si>
  <si>
    <t>507.    511.</t>
  </si>
  <si>
    <t>512.</t>
  </si>
  <si>
    <t>Temető fenntartás rovatok közötti módosítása kamerás megfigyelőrendszer telepítésre</t>
  </si>
  <si>
    <t>Kamerás megfigyelőrendszer telepítés</t>
  </si>
  <si>
    <t>513.</t>
  </si>
  <si>
    <t>Bér rovatok közötti módosítás reprezentációs költségekre</t>
  </si>
  <si>
    <t>514.</t>
  </si>
  <si>
    <t>Energiaárak emelkedése miatti tartalékból átcsoportosítás elektromos autó töltőállomás áramdíjára</t>
  </si>
  <si>
    <t>515.</t>
  </si>
  <si>
    <t>Városgazdálkodás tartalékból átcsoportosítás dunaharaszti hátrányos helyzetű gyerekek nyelvoktatására</t>
  </si>
  <si>
    <t>316</t>
  </si>
  <si>
    <t>104060</t>
  </si>
  <si>
    <t>Laffert-kúriával kapcsolatos feladatokon rovatok közötti módosítás D-link wifi beszerzésre</t>
  </si>
  <si>
    <t>Kiutalt 2022. adóévi felajánlott 1% SZJA átvezetés részletezőkódra</t>
  </si>
  <si>
    <t>516.</t>
  </si>
  <si>
    <t>Nemzetközi kapcsolatok rovatok közötti módosítása altdorfi meghívottak részére előadói tevékenységre, szállásra, nyomtatványra és reprezentációs költségekre</t>
  </si>
  <si>
    <t>517.</t>
  </si>
  <si>
    <t>Kábítószer Egyeztető Fórum rovatok közötti módosítása pólók vásárlására és reprezentációs költségekre</t>
  </si>
  <si>
    <t>E.ON Hungária Zrt. által meghirdetett "A Föld Bajnokai" pályázaton "Beporzók védelme, beporzóbarát kert" címmel megnyert támogatás átvezetés részletezőkódra</t>
  </si>
  <si>
    <t>008                            E.ON Hungária Zrt. "A Föld Bajnokai" pályázat "Beporzók védelme, beporzóbarát kert" elnyert támogatása</t>
  </si>
  <si>
    <t>Dunaharaszti Városi Bölcsőde főintézményen és étkeztetésen gázdíj-jóváírás és ellátási díjak bevétele átvezetés szolgáltatás rovatokra</t>
  </si>
  <si>
    <t>518.</t>
  </si>
  <si>
    <t>Városgazdálkodás tartalékból átcsoportosítás Dunaharaszti Polgármesteri Hivatal előkertjének átépítési munkálataira</t>
  </si>
  <si>
    <t>Dunaharaszti Polgármesteri Hivatal előkertjének átépítése</t>
  </si>
  <si>
    <t>519.</t>
  </si>
  <si>
    <t>2023 szeptemberi állami támogatás (szociális ágazati összevont pótlék) átvezetés Ágazati pótlék, bérkompenzáció, személyi juttatás és járulék tartalékba</t>
  </si>
  <si>
    <t>520.</t>
  </si>
  <si>
    <t>2023. évi adóbevétel-többlet terhére képzett tartalék</t>
  </si>
  <si>
    <t>Önkormányzati adóbevételek átvezetése 2023. évi adóbevétel-többlet terhére képzett tartalékba (teljesített) és Bizonytalan bevételek tartalékba (követelés)</t>
  </si>
  <si>
    <t>521.</t>
  </si>
  <si>
    <t>Városgazdálkodás kiadások rovatok közötti módosítása Paál László utcai körforgalomhoz kapcsolódó igazgatási szolgáltatási díjra</t>
  </si>
  <si>
    <t>Városgazdálkodás tartalékból átcsoportosítás Sport-szigeti parkerdőben fák veszélytelenítésére</t>
  </si>
  <si>
    <t>Dunaharaszti-Taksony kerékpárút építés saját forrásból átcsoportosítás kerékpár-forgalmi hálózati terv felülvizsgálatára</t>
  </si>
  <si>
    <t>107/2023. (IX.25.) sz. Kt. határozat alapján Képviselő-testület rendelkezése tartalékból átcsoportosítás Szigetszentmiklósi Tankerületi Központ támogatására Kőrösi Csoma Sándor Általános Iskola úszásoktatás céljára</t>
  </si>
  <si>
    <t>Bezerédi Sportpark fenntartásról átcsoportosítás Fő úti P+R parkolóban kerékpártároló tetőfedés cseréjére</t>
  </si>
  <si>
    <t>021</t>
  </si>
  <si>
    <t>Óvodai, iskolai, gimnáziumi és vendéglátás étkeztetésen rovatok közötti módosítás befizetendő ÁFA rovatokra</t>
  </si>
  <si>
    <t>524.</t>
  </si>
  <si>
    <t>522.     523.</t>
  </si>
  <si>
    <t>Intézményi ingatlanok különféle karbantartási kerete tartalékból átcsoportosítás Dunaharaszti Városi Bölcsőde új tagintézmény kerítés építéséhez kapcsolódó műszaki ellenőrzésre</t>
  </si>
  <si>
    <t>525.</t>
  </si>
  <si>
    <t>Energiaárak emelkedése miatti tartalékból átcsoportosítás II. Rákóczi Ferenc Általános Iskola kertépítéséhez szükséges kiviteli tervek elkészítésére</t>
  </si>
  <si>
    <t>079</t>
  </si>
  <si>
    <t>526.</t>
  </si>
  <si>
    <t>Útépítési tervek, műszaki ellenőrzés, eljárási díjak, engedélyek tartalékból átcsoportosítás Bezerédi játszótéren karbantartási munkálataira</t>
  </si>
  <si>
    <t>527.</t>
  </si>
  <si>
    <t>Energiaárak emelkedése miatti tartalékból átcsoportosítás DMTK labdafogó háló tartókonzolok cseréjére</t>
  </si>
  <si>
    <t>528.</t>
  </si>
  <si>
    <t>Energiaárak emelkedése miatti tartalékból átcsoportosítás Sport-szigeti műfüves pálya karbantartására</t>
  </si>
  <si>
    <t>529.</t>
  </si>
  <si>
    <t>Zöldterület-kezelésről átcsoportosítás 601/B erdőrészlet kaszálására</t>
  </si>
  <si>
    <t>530.</t>
  </si>
  <si>
    <t>Polgármester rendelkezése tartalékból átcsoportosítás Dunaharaszti Ifjúsági Egyesület támogatására karácsonyi csomagok összeállítására</t>
  </si>
  <si>
    <t>Dunaharaszti Ifjúsági Egyesület támogatása</t>
  </si>
  <si>
    <t>Bér rovatok módosítása szeptemberi bérkönyvelés alapján</t>
  </si>
  <si>
    <t xml:space="preserve"> +/- </t>
  </si>
  <si>
    <t xml:space="preserve"> Dunaharaszti Polgármesteri Hivatal 2023. évi előirányzat</t>
  </si>
  <si>
    <t>Dunaharaszti Hétszínvirág Óvoda 2023. évi előirányzat</t>
  </si>
  <si>
    <t>Dunaharaszti Mese Óvoda 2023. évi előirányzat</t>
  </si>
  <si>
    <t>Dunaharaszti Városi Bölcsöde 2023. évi előirányzat</t>
  </si>
  <si>
    <t>Dunaharaszti József Attila Művelődési Ház  2023. évi előirányzat</t>
  </si>
  <si>
    <t>2.1.</t>
  </si>
  <si>
    <t>531.</t>
  </si>
  <si>
    <t xml:space="preserve">054                          Temető fenntartás </t>
  </si>
  <si>
    <t xml:space="preserve">054                           Temető fenntartás </t>
  </si>
  <si>
    <t>532.</t>
  </si>
  <si>
    <t>Megelőlegezési hitel elszámolás alapján (október havi)</t>
  </si>
  <si>
    <t>533.</t>
  </si>
  <si>
    <t>Városi Piacon bevételemelés követeléselőírás miatt</t>
  </si>
  <si>
    <t>534.</t>
  </si>
  <si>
    <t>Dunaharaszti Hírek és információs kiadványok feladaton bevételemelés követeléselőírás miatt</t>
  </si>
  <si>
    <t>535.</t>
  </si>
  <si>
    <t>Városi Sportcsarnokon bevételemelés követeléselőírás miatt</t>
  </si>
  <si>
    <t>536.</t>
  </si>
  <si>
    <t>117/2023. (X.30.) sz. Kt. határozat alapján a Civilek Dunaharasztiért Egyesület korábban működésre kapott támogatásának átcsoportosítása fotókiállítás szervezésére, valamint a Magyar Cserkészszövetség 647. Tomori Pál Cserkészcsapata korábban programra kapott támogatásából átcsoportosítás cserkészház építési tervrajzának elkészítésére</t>
  </si>
  <si>
    <t>117/2023. (X.30.) sz. Kt. határozat: Magyar Cserkészszövetség 647. Tomori Pál Cserkészcsapat programra kapott támogatás módosítása építési tervrajzra</t>
  </si>
  <si>
    <t>537.</t>
  </si>
  <si>
    <t>Bezerédi Sportpark fenntartásról átcsoportosítás Határ út-Botond u. gyalogátkelőhely megvilágítás kiépítésére</t>
  </si>
  <si>
    <t>Kiemelt közvilágítás létesítése újonnan épült gyalogosátkelőkhöz (Határ út-Botond u. sarok)</t>
  </si>
  <si>
    <t>Óvodai, iskolai, gimnáziumi és vendéglátás étkeztetésen ÁFA visszatérítés átvezetés befizetendő ÁFA rovatra</t>
  </si>
  <si>
    <t>538.</t>
  </si>
  <si>
    <t>Intézményi ingatlanok különféle karbantartási kerete tartalékból átcsoportosítás Dunaharaszti Százszorszép Óvoda kerítés elbontására</t>
  </si>
  <si>
    <t>Önkormányzati finanszírozás Dunaharaszti Százszorszép Óvodában kerítés elbontásra</t>
  </si>
  <si>
    <t>539.</t>
  </si>
  <si>
    <t>Energiaárak emelkedése miatti tartalékból átcsoportosítás csapadékvíz-elvezetési munkák kivitelezésére (Domb u., Dr. Pósta Sándor u., Felső-Duna u.-Pipacs u. sarok)</t>
  </si>
  <si>
    <t>Csapadékvíz-elvezetés kiépítés (Domb u., Dr. Pósta Sándor u., Felső-Duna u.-Pipacs u. sarok)</t>
  </si>
  <si>
    <t>540.</t>
  </si>
  <si>
    <t>Intézményi ingatlanok különféle karbantartási kerete tartalékból átcsoportosítás Dunaharaszti Városi Bölcsőde új tagintézmény építésén ideiglenes mérőhely áthelyezésére</t>
  </si>
  <si>
    <t>541.</t>
  </si>
  <si>
    <t>542.</t>
  </si>
  <si>
    <t>Energiaárak emelkedése miatti tartalékból átcsoportosítás Schmelek Gy. u., Mandula u., Árnyas-Napsugár u. kaszálására</t>
  </si>
  <si>
    <t>437.</t>
  </si>
  <si>
    <t>543.</t>
  </si>
  <si>
    <t>Városgazdálkodás tartalékból átcsoportosítás Helyi Építési Szabályzat módosítására</t>
  </si>
  <si>
    <t>438.</t>
  </si>
  <si>
    <t>544.</t>
  </si>
  <si>
    <t>Városgazdálkodás tartalékból átcsoportosítás Közlekedési Koncepció módosítására</t>
  </si>
  <si>
    <t>545.</t>
  </si>
  <si>
    <t>120/2023. (X.30.) sz. Kt. határozat alapján Városgazdálkodás tartalékból átcsoportosítás "Házi macska ivartalanítási programra"</t>
  </si>
  <si>
    <t>601</t>
  </si>
  <si>
    <t>042180</t>
  </si>
  <si>
    <t>601                                            Állategészségügy</t>
  </si>
  <si>
    <t>042180                        Állategészségügy</t>
  </si>
  <si>
    <t>"Beporzók védelme, beporzóbarát kert címmel" kapott támogatás rovatok közötti módosítása projektor beszerzésre</t>
  </si>
  <si>
    <t>Dunaharaszti Hétszínvirág Óvoda ("Beporzók védelme, beporzóbarát kert" támogatás</t>
  </si>
  <si>
    <t>546.</t>
  </si>
  <si>
    <t>Energiaárak emelkedése miatti tartalékból átcsoportosítás Dunaharaszti Polgármesteri Hivatal Igazgatás, Adóügyi feladatok, Anyakönyvi feladatok áramdíjára</t>
  </si>
  <si>
    <t>Önkormányzati finanszírozás Igazgatás, Adóügyi feladatok, Anyakönyvi feladatok áramdíjára</t>
  </si>
  <si>
    <t>547.</t>
  </si>
  <si>
    <t>Energiaárak emelkedése miatti tartalékból átcsoportosítás D280-as KPE víznyomócső építésére az M0 és Lovas utca felé</t>
  </si>
  <si>
    <t>D280-as KPE víznyomócső építése az M0 és Lovas utca felé (FAD)</t>
  </si>
  <si>
    <t>548.</t>
  </si>
  <si>
    <t>Dunaharaszti-Taksony kerékpárút-építés saját forrásból átcsoportosítás a kerékpárút kiviteli terveinek felülvizsgálatára</t>
  </si>
  <si>
    <t>148                             Parti sétány és tanösvény BELÜLI</t>
  </si>
  <si>
    <t xml:space="preserve">149                              Parti sétány és tanösvény KÍVÜLI </t>
  </si>
  <si>
    <t>149                                Parti sétány és tanösvény KÍVÜLI</t>
  </si>
  <si>
    <t>549.</t>
  </si>
  <si>
    <t>Energiaárak emelkedése miatti tartalékból átcsoportosítás 2023. évi karácsonyi fénydekoráció beszerzésre</t>
  </si>
  <si>
    <t>Karácsonyi fénydekoráció</t>
  </si>
  <si>
    <t>550.</t>
  </si>
  <si>
    <t>121/2023. (X.30.) sz. Kt. határozat alapján Képviselő-testület rendelkezése tartalékból átcsoportosítás Dr. Bakonya Mária Emlékalapítvány támogatására</t>
  </si>
  <si>
    <t>121/2023. (X.30.) sz. Kt. határozat: Dr. Bakonya Mária Emlékalapítvány támogatása</t>
  </si>
  <si>
    <t>551.</t>
  </si>
  <si>
    <t>Temetkezésen rovatok közötti módosítás öltöző karbantartására</t>
  </si>
  <si>
    <t>552.</t>
  </si>
  <si>
    <t>116/2023. (X.30.) sz. Kt. határozat: Piaggio LPG 55L kisteherautó beszerzés a DV Dunaharaszti Vagyongazdálkodási Kft. részére</t>
  </si>
  <si>
    <t>553.</t>
  </si>
  <si>
    <t>Biztosító által megtérített viharkár átvezetés Biztos bevétel tartalékba</t>
  </si>
  <si>
    <t>554.</t>
  </si>
  <si>
    <t>Temető fenntartáson bevételemelés túlteljesítés miatt</t>
  </si>
  <si>
    <t>Egyéb járóbeteg-ellátás rovatok közötti módosítása EKG-hoz optikai kábel beszerzésre</t>
  </si>
  <si>
    <t>Egyéb járóbeteg-ellátás rovatok közötti módosítása EKG papír beszerzésre, óvodai és iskolai orvosi feladatok ellátására</t>
  </si>
  <si>
    <t>82.     83.</t>
  </si>
  <si>
    <t>Iskolai intézményi étkeztetés rovatok közötti módosítása II. Rákóczi Ferenc Általános Iskola konyha és étkező belső festési munkálataira</t>
  </si>
  <si>
    <t>Szociális étkeztetésen, Házi segítségnyújtáson, Óvodai intézményi étkeztetésen és Iskolai intézményi étkeztetésen bevételemelés követeléselőírás miatt</t>
  </si>
  <si>
    <t>555.</t>
  </si>
  <si>
    <t>Energiaárak emelkedése miatti tartalékból átcsoportosítás Dunaharaszti Területi Gondozási Központ Idősek nappali ellátása vízdíjára és Gyermekorvosi Rendelő áramdíjára</t>
  </si>
  <si>
    <t>556.</t>
  </si>
  <si>
    <t>Intézményi ingatlanok különféle karbantartási kerete tartalékból átcsoportosítás Dunaharaszti Városi Bölcsőde új tagintézmény előtti elosztószekrény lesüllyesztésére</t>
  </si>
  <si>
    <t>557.</t>
  </si>
  <si>
    <t>Bezerédi Sportpark fenntartásról átcsoportosítás Dárda utcában és Dembinszky utcában közvilágítás bővítésére</t>
  </si>
  <si>
    <t>Dárda utca és Dembinszky utca közvilágítás bővítés</t>
  </si>
  <si>
    <t>Könyvtári szolgáltatások rovatok közötti módosítása parafával borított falfelület cseréjére</t>
  </si>
  <si>
    <t>Bér rovatok módosítása Anyakönyvi feladatok és Rendészet reprezentációs költségekre</t>
  </si>
  <si>
    <t xml:space="preserve"> -/+</t>
  </si>
  <si>
    <t>Adóügyi feladatok rovatok közötti módosítása postaköltségekre</t>
  </si>
  <si>
    <t>Önkormányzati finanszírozás Idősek nappali ellátása vízdíjára és Gyermekorvosi Rendelő áramdíjára</t>
  </si>
  <si>
    <t>Igazgatás rovatok közötti módosítása felhalmozási célú visszatérítendő támogatás nyújtására munkavállalónak</t>
  </si>
  <si>
    <t>Rendészeten közigazgatási bírság bevételemelés követeléselőírás miatt</t>
  </si>
  <si>
    <t>Közigazgatási bírság</t>
  </si>
  <si>
    <t xml:space="preserve">092                          Innovatív fejlesztések </t>
  </si>
  <si>
    <t>558.</t>
  </si>
  <si>
    <t>Energiaárak emelkedése miatti tartalékból átcsoportosítás Dunaharaszti Városi Bölcsőde új tagintézmény ideiglenes áramdíjára</t>
  </si>
  <si>
    <t>Dunaharaszti Napsugár Óvoda rovatok közötti módosítása szárítógép és hűtőszekrény beszerzésre</t>
  </si>
  <si>
    <t>Támogatások elszámolásán rovatok közötti módosítás "Márton napra" élelmiszerek beszerzésére</t>
  </si>
  <si>
    <t>NEAK finanszírozás átvezetés szakmai szolgáltatásra</t>
  </si>
  <si>
    <t>559.    560.</t>
  </si>
  <si>
    <t>69/2023. (V.31.) sz. Kt. határozat alapján értékesített 1394/3 hrsz. ingatlan ÁFA befizetési kötelezettség miatti rovatok közötti módosítás</t>
  </si>
  <si>
    <t>561.</t>
  </si>
  <si>
    <t>39/2023. könyvelési tétel helyesbítése 307-es téves részletezőkódról 049-es részletezőkódra (102/2023. (IX.25.) sz. Kt. határozat alapján személygépkocsi vásárlás a Dunaharaszti Polgárőr Egyesület részére)</t>
  </si>
  <si>
    <t>562.</t>
  </si>
  <si>
    <t>Közvilágítás rovatok közötti módosítása karácsonyi fénydekorációhoz rögzítő konzolok gyártására</t>
  </si>
  <si>
    <t>563.</t>
  </si>
  <si>
    <t>Önkormányzati adóbevételek emelése követeléselőírás miatt (kiadás oldal: Biztos bevételek (teljesített) és Bizonytalan bevételek (követelés) tartaléka)</t>
  </si>
  <si>
    <t>564.</t>
  </si>
  <si>
    <t>390/2023. könyvelési tétel helyesbítése 005-ös téves részgazdáról 035-ös részgazdára (DTCS terhelhetőségi vizsgálathoz felszíni víz laboratóriumi vizsgálata)</t>
  </si>
  <si>
    <t>565.</t>
  </si>
  <si>
    <t>566.</t>
  </si>
  <si>
    <t>Gimnáziumi intézményi étkeztetésen túlteljesítés miatt rovatok közötti módosítás vásárolt élelmezésre</t>
  </si>
  <si>
    <t>Dunaharaszti Városi Bölcsőde főintézmény rovatok közötti módosítása telefondíjra</t>
  </si>
  <si>
    <t>Közművelődési tevékenység bér rovatok közötti módosítása "Idősek napjára" ajándékcsomagok készítésére</t>
  </si>
  <si>
    <t>Laffert-kúriával kapcsolatos feladatokon rovatok közötti módosítás továbbképzés díjára</t>
  </si>
  <si>
    <t>Közművelődési tevékenységen bevételemelés követeléselőírás miatt (bérleti díj, gázdíj-jóváírás, betáplált villamosenergia)</t>
  </si>
  <si>
    <t>Támogatások elszámolásán rovatok közötti módosítás gyermek nemzetiségi ruhák beszerzésére</t>
  </si>
  <si>
    <t>567.</t>
  </si>
  <si>
    <t>Áramdíj-jóváírás átvezetés Biztos bevétel tartalékba</t>
  </si>
  <si>
    <t>568.</t>
  </si>
  <si>
    <t>Városgazdálkodás tartalékból átcsoportosítás dunaharaszti lakosoktól 200 tonna zöldhulladék befogadására a komposztáló telepre</t>
  </si>
  <si>
    <t>569.</t>
  </si>
  <si>
    <t>Városgazdálkodás tartalékból átcsoportosítás D280-as víznyomócső M0 autópálya és Lovas utca irányába történő építésének műszaki ellenőrzésére</t>
  </si>
  <si>
    <t>570.</t>
  </si>
  <si>
    <t>Könyvtári állománygyarapítás rovatok közötti módosítása 2024. évi folyóirat-előfizetésre</t>
  </si>
  <si>
    <t>571.</t>
  </si>
  <si>
    <t>2023 október havi állami támogatás (szociális ágazati összevont pótlék) átvezetés Ágazati pótlék, bérkompenzáció, személyi juttatás és járulék tartalékba</t>
  </si>
  <si>
    <t>116/2023. (X.30.) sz. Kt. határozat alapján Energiaárak emelkedése miatti tartalékból átcsoportosítás Piaggio LPG 55L kisteherautó beszerzésre a DV Dunaharaszti Vagyongazdálkodási Kft. részére</t>
  </si>
  <si>
    <t>Magyar Államkincstárnál vezetett TOP_PLUSZ-1.2.1-21-PT1-2022-00013 Dunaharaszti-Taksony kerékpárút pályázathoz kapcsolódó számla tartalékból átcsoportosítás kerékpársáv pályázathoz kapcsolódó szemléletformáló programra</t>
  </si>
  <si>
    <t>465.</t>
  </si>
  <si>
    <t>572.</t>
  </si>
  <si>
    <t>450/2023. könyvelési tétel helyesbítése téves K337-es és K351-es rovatokról K62-es és K67-es rovatokra (Dunaharaszti Városi Bölcsőde új tagintézmény előtti elosztószekrény lesüllyesztése)</t>
  </si>
  <si>
    <t>573.</t>
  </si>
  <si>
    <t>Intézményi ingatlanok különféle karbantartási kerete tartalékból átcsoportosítás Dunaharaszti 341 hrsz. számon elektromos földkábel bemérésére</t>
  </si>
  <si>
    <t>574.</t>
  </si>
  <si>
    <t>Intézményi ingatlanok különféle karbantartási kerete tartalékból átcsoportosítás Dunaharaszti Hunyadi János Általános Iskola konyhájában bejárati ajtó cseréjére</t>
  </si>
  <si>
    <t>Önkormányzati finanszírozás Hunyadi János Általános Iskola konyhájában bejárati ajtó cserére</t>
  </si>
  <si>
    <t>575.</t>
  </si>
  <si>
    <t>Polgármester rendelkezése tartalékból átcsoportosítás Ceglédi Tankerületi Központ támogatására a PMPSZ Szigetszentmiklósi Tagintézmény új telephelyére szakmai és felhalmozási célú eszközök beszerzésére</t>
  </si>
  <si>
    <t>Ceglédi Tankerületi Központ támogatása a PMPSZ Szigetszentmiklósi Tagintézmény új telephelyére tárgyi eszközök beszerzésére</t>
  </si>
  <si>
    <t>Ceglédi Tankerületi Központ támogatása a PMPSZ Szigetszentmiklósi Tagintézmény új telephelyére szakmai eszközök beszerzésére</t>
  </si>
  <si>
    <t>576.</t>
  </si>
  <si>
    <t>Városgazdálkodás tartalékból átcsoportosítás "Házi macska ivartalanítási" programra</t>
  </si>
  <si>
    <t>Energiaárak emelkedése miatti tartalékból átcsoportosítás feljegyzés alapján mobil jégpálya működtetésére</t>
  </si>
  <si>
    <t>578.</t>
  </si>
  <si>
    <t>Építési beruházások tartalékból átcsoportosítás karácsonyi díszkivilágítás felszerelésére</t>
  </si>
  <si>
    <t>097                                Kábítószerügyi Egyeztető Fórum</t>
  </si>
  <si>
    <t>579.</t>
  </si>
  <si>
    <t>Bér rovatok módosítása októberi bérkönyvelés alapján</t>
  </si>
  <si>
    <t>Bér rovatok módosítása október bérkönyvelés alapján</t>
  </si>
  <si>
    <t>24. 25.</t>
  </si>
  <si>
    <t>Gyermekjóléti Szolgáltatás rovatok közötti módosítása számítógép beszerzésre és továbbképzés díjára</t>
  </si>
  <si>
    <t>Finanszírozás módosítás (Dunaharaszti Család- és Gyermekjóléti Szolgálat)</t>
  </si>
  <si>
    <t>581.</t>
  </si>
  <si>
    <t>Energiaárak emelkedése miatti tartalékból átcsoportosítás Dunaharaszti Város applikáció tervezésére és fejlesztésére</t>
  </si>
  <si>
    <t>092</t>
  </si>
  <si>
    <t>Dunaharaszti Város applikáció</t>
  </si>
  <si>
    <t>582.</t>
  </si>
  <si>
    <t>Városgazdálkodás tartalékból átcsoportosítás Sport-szigeti lejáró felújítási munkálataira</t>
  </si>
  <si>
    <t>583.</t>
  </si>
  <si>
    <t>36/2023. (XI.23.) sz. OMS határozat alapján Városi civil sport- és kulturális rendezvények kiadásainak valamint DMTK-n kívüli sportegyesületek kiadásainak finanszírozási kerete tartalékból átcsoportosítás Venus Rúdsport Egyesület támogatására Botka Jázmin Maja és Taschner Flóra Izabella versenyzésének finanszírozására</t>
  </si>
  <si>
    <t>36/2023. (XI.23.) sz. OMS határozat: Venus Rúdsport Egyesület támogatása (Botka Jázmin Maja és Taschner Flóra Izabella versenyzésére)</t>
  </si>
  <si>
    <t>584.</t>
  </si>
  <si>
    <t>37/2023. (XI.23.) sz. OMS határozat alapján Városi civil sport- és kulturális rendezvények kiadásainak valamint DMTK-n kívüli sportegyesületek kiadásainak finanszírozási kerete tartalékból átcsoportosítás Farkasfalka Kerékpáros Sportegyesület támogatására Csiki Gergely versenyzésének finanszírozására</t>
  </si>
  <si>
    <t>37/2023. (XI.23.) sz. OMS határozat alapján Farkasfalka Kerékpáros Sportegyesület támogatása (Csiki Gergely versenyzésére)</t>
  </si>
  <si>
    <t>585.</t>
  </si>
  <si>
    <t>38/2023. (XI.23.) sz. OMS határozat alapján önkormányzati finanszírozás Laffert-kúriával kapcsolatos feladatokra adventi műsor megszervezésére</t>
  </si>
  <si>
    <t>586.</t>
  </si>
  <si>
    <t>38/2023. (XI.23.) sz. OMS határozat alapján Városi civil sport- és kulturális rendezvények kiadásainak valamint DMTK-n kívüli sportegyesületek kiadásainak finanszírozási kerete tartalékból átcsoportosítás Civil szervezetek, egyházak támogatása tartalékra (8. sz. melléklet VI/2.)</t>
  </si>
  <si>
    <t>587.</t>
  </si>
  <si>
    <t>38/2023. (XI.23.) sz. OMS határozat alapján Civil szervezetek, egyházak támogatása (Művészeti, oktatási, kulturális év közben belépő feladatok) tartalékból átcsoportosítás Laffert-kúria támogatására adventi műsor megszervezésére</t>
  </si>
  <si>
    <t>40/2023. (XI.23.) sz. OMS határozat alapján Civil szervezetek, egyházak támogatása (Művészeti, oktatási, kulturális év közben belépő feladatok) tartalékból átcsoportosítás Dunaharaszti Mese Óvoda támogatására</t>
  </si>
  <si>
    <t>40/2023. (XI.23.) sz. OMS határozat alapján önkormányzati finanszírozás Dunaharaszti Mese Óvoda támogatására</t>
  </si>
  <si>
    <t>588.</t>
  </si>
  <si>
    <t>41/2023. (XI.23.) sz. OMS határozat alapján Civil szervezetek, egyházak támogatása (Művészeti, oktatási, kulturális év közben belépő feladatok) tartalékból átcsoportosítás Dunaharaszti Szivárvány Óvoda támogatására</t>
  </si>
  <si>
    <t>41/2023. (XI.23.) sz. OMS határozat alapján önkormányzati finanszírozás Dunaharaszti Szivárvány Óvoda támogatására</t>
  </si>
  <si>
    <t>589.</t>
  </si>
  <si>
    <t>42/2023. (XI.23.) sz. OMS határozat alapján Civil szervezetek, egyházak támogatása (Művészeti, oktatási, kulturális év közben belépő feladatok) tartalékból átcsoportosítás Dunaharaszti Hétszínvirág Óvoda támogatására</t>
  </si>
  <si>
    <t>42/2023. (XI.23.) sz. OMS határozat alapján önkormányzati finanszírozás Dunaharaszti Hétszínvirág Óvoda támogatására</t>
  </si>
  <si>
    <t>590.</t>
  </si>
  <si>
    <t>43/2023. (XI.23.) sz. OMS határozat alapján Civil szervezetek, egyházak támogatása (Művészeti, oktatási, kulturális év közben belépő feladatok) tartalékból átcsoportosítás Kábítószer Egyeztetőügyi Fórum működési kiadásaira</t>
  </si>
  <si>
    <t>Dunaharaszti Városi Bölcsőde főintézmény rovatok közötti módosítása számítógép beszerzésre</t>
  </si>
  <si>
    <t>Finanszírozás módosítás (Dunaharaszti Városi Bölcsőde)</t>
  </si>
  <si>
    <t>592.</t>
  </si>
  <si>
    <t>Dunaharaszti Városi Bölcsőde új tagintézmény építésén pályázatban el nem számolható tételek (kert tervezés, kerítés építés és kerítés építés műszaki ellenőrzése) miatti részgazdák közötti átcsoportosítás</t>
  </si>
  <si>
    <t>593.</t>
  </si>
  <si>
    <t>Külterületi szemét és veszélyes hulladékgyűjtésről átcsoportosítás Szekér utcai játszótéren labdarúgó kapuk cseréjére</t>
  </si>
  <si>
    <t>Szekér utcai játszótéren labdarúgó kapuk cseréje</t>
  </si>
  <si>
    <t>594.</t>
  </si>
  <si>
    <t>Intézményi ingatlanok különféle karbantartási kerete tartalékból átcsoportosítás Dunaharaszti Polgármesteri Hivatal kazáncsere kiegészítő munkálataira</t>
  </si>
  <si>
    <t>595.</t>
  </si>
  <si>
    <t>Intézményi ingatlanok különféle karbantartási kerete tartalékból átcsoportosítás Dunaharaszti Városi Bölcsőde új tagintézmény gázellátással kapcsolatos műszaki ügyintézésre</t>
  </si>
  <si>
    <t>596.</t>
  </si>
  <si>
    <t>Intézményi ingatlanok különféle karbantartási kerete tartalékból átcsoportosítás Dunaharaszti Család- és Gyermekjóléti Szolgálat gáztervére</t>
  </si>
  <si>
    <t>597.</t>
  </si>
  <si>
    <t>Intézményi ingatlanok különféle karbantartási kerete tartalékból átcsoportosítás Dunaharaszti Mese Óvoda gáztervére</t>
  </si>
  <si>
    <t>598.      599.</t>
  </si>
  <si>
    <t>Szelektív hulladékgyűjtésről átcsoportosítás fák pótlására a Hókony szigeten</t>
  </si>
  <si>
    <t>600.</t>
  </si>
  <si>
    <t>Építési beruházások tartalékból átcsoportosítás Paál László utcában közvilágítás kiépítés tervezésére</t>
  </si>
  <si>
    <t>601.</t>
  </si>
  <si>
    <t>125/2023. (XI.27.) sz. Kt. határozat alapján 2023. évi adóbevétel-többlet terhére képzett tartalékból átcsoportosítás 5296. hrsz-ú (Dunaharaszti, Fő út 85.) ingatlanrész megvásárlására</t>
  </si>
  <si>
    <t>125/2023. (XI.27.) sz. Kt. határozat: 5296. hrsz. (Dunaharaszti, Fő út 85.) ingatlanrész vásárlás</t>
  </si>
  <si>
    <t>602.</t>
  </si>
  <si>
    <t>137/2023. (XI.27.) sz. Kt. határozat alapján Dunaharaszti, Batthyány u. 2. szám alatti ingatlan eladástól való elállás miatt a tervezett bevétel visszavonása 2023. évi adóbevétel-többlet terhére képzett tartalék csökkentésével</t>
  </si>
  <si>
    <t>603.</t>
  </si>
  <si>
    <t>Közúti káresemények megtérítésén áfás tétel miatti rovatok közötti módosítás</t>
  </si>
  <si>
    <t>494.</t>
  </si>
  <si>
    <t>604.</t>
  </si>
  <si>
    <t>Lomtalanítás és köztéri szemétgyűjtés rovatok közötti módosítása munkavédelmi eszközök beszerzésére (kesztyű, mellény stb.)</t>
  </si>
  <si>
    <t>495.</t>
  </si>
  <si>
    <t>605.</t>
  </si>
  <si>
    <t>Választott tisztségviselők rovatok közötti módosítása üzemanyagra</t>
  </si>
  <si>
    <t>606.</t>
  </si>
  <si>
    <t>Temető fenntartáson és Temetkezésen bevételemelés túlteljesítés miatt</t>
  </si>
  <si>
    <t>607.</t>
  </si>
  <si>
    <t>MÁV-alsó telekalakítások rovatok közötti módosítása 6010/5 hrsz. ingatlan belterületbe csatolási vázrajzra</t>
  </si>
  <si>
    <t>498.</t>
  </si>
  <si>
    <t>A mikro-, kis- és középvállalkozások 2022. évi iparűzési adókedvezményével kapcsolatos önkormányzati támogatásról szóló 61/2022. (II.28.) Korm. rendelet 5.§ szerint az önkormányzatot megillető kiegészítő támogatás átvezetés 8. számú melléklet VII/14. sorára</t>
  </si>
  <si>
    <t>A mikro-, kis- és középvállalkozások 2022. évi iparűzési adókedvezménnyel kapcsolatos önkormányzati támogatásról szóló 61/2022. (II.28.) Korm. rendelet 5.§ szerint az önkormányzatot megillető kiegészítő támogatás tartaléka</t>
  </si>
  <si>
    <t>II.6.3.k</t>
  </si>
  <si>
    <t>A mikro-, kis- és középvállalkozások 2022. évi iparűzési adókedvezményével kapcsolatos önkormányzati támogatásról szóló 61/2022. (II. 28.) Korm. rendelet 5. § szerint az önkormányzatot megillető kiegészítő támogatás</t>
  </si>
  <si>
    <t>Városi piacon bevételemelés követeléselőírás miatt</t>
  </si>
  <si>
    <t>610.</t>
  </si>
  <si>
    <t>Leselejtezett tárgyi eszközök eladásából származó bevétel átvezetés Biztos bevétel tartalékba</t>
  </si>
  <si>
    <t>577.    580.   591.</t>
  </si>
  <si>
    <t>577.   580.       591.</t>
  </si>
  <si>
    <t>611.</t>
  </si>
  <si>
    <t>Intézményi ingatlanok különféle karbantartási kerete tartalékból átcsoportosítás Dunaharaszti Család- és Gyermekjóléti Szolgálat felújítás utáni vakolatjavításra</t>
  </si>
  <si>
    <t>612.</t>
  </si>
  <si>
    <t>Intézményi ingatlanok különféle karbantartási kerete tartalékból átcsoportosítás Dunaharaszti Városi Bölcsőde új tagintézményben elektromos fogyasztásmérőhely kiépítésére</t>
  </si>
  <si>
    <t>613.</t>
  </si>
  <si>
    <t>Építési beruházásokhoz tartalékból átcsoportosítás Iskola köz 1. előtti területen növények telepítésére</t>
  </si>
  <si>
    <t>Városgazdálkodási kiadásokról átcsoportosítás szennyvíztisztító telep fejlesztéséhez előzetes régészeti dokumentáció készítésére</t>
  </si>
  <si>
    <t>615.638.</t>
  </si>
  <si>
    <t>609. 614.</t>
  </si>
  <si>
    <t>RSD Parti Sáv Önkormányzati Társulás felszámolás miatt visszautalt hozzájárulás és lakossági befizetések átvezetés Befejezett vízi közmű elkülönített számla tartalékba</t>
  </si>
  <si>
    <t>068</t>
  </si>
  <si>
    <t>615.        638.</t>
  </si>
  <si>
    <t>Vízi közmű számla</t>
  </si>
  <si>
    <t>616.</t>
  </si>
  <si>
    <t>Külterületi szemét és veszélyes hulladékgyűjtésről átcsoportosítás csapadékvíz-szippantásra</t>
  </si>
  <si>
    <t>617.</t>
  </si>
  <si>
    <t>Dunaharaszti-Taksony kerékpárút-építés saját forrásból átcsoportosítás a kerékpárút kialakítás miatti közvilágítási hálózat áthelyezésére</t>
  </si>
  <si>
    <t>507.</t>
  </si>
  <si>
    <t>618.</t>
  </si>
  <si>
    <t>Építési beruházásokhoz tartalékból átcsoportosítás Bezerédi játszótéren libikóka elbontásra és telepítésre</t>
  </si>
  <si>
    <t>Bezerédi játszótéren libikóka telepítés</t>
  </si>
  <si>
    <t>619.</t>
  </si>
  <si>
    <t>Intézményi ingatlanok különféle karbantartási kerete tartalékból átcsoportosítás Dunaharaszti Mese Óvodában zajmérésre</t>
  </si>
  <si>
    <t>620.</t>
  </si>
  <si>
    <t xml:space="preserve"> </t>
  </si>
  <si>
    <t>Intézményi ingatlanok különféle karbantartási kerete tartalékból átcsoportosítás Dunaharaszti Hétszínvirág Óvodában kazán keringető szivattyú cseréjére</t>
  </si>
  <si>
    <t>621.</t>
  </si>
  <si>
    <t>Intézményi ingatlanok különféle karbantartási kerete tartalékból átcsoportosítás Dunaharaszti Városi Bölcsőde tagintézményben kazáncsere épületgépészeti tervezésére</t>
  </si>
  <si>
    <t>Dunaharaszti Városi Bölcsőde tagintézményben kazáncsere</t>
  </si>
  <si>
    <t>511.</t>
  </si>
  <si>
    <t>622.</t>
  </si>
  <si>
    <t>Intézményi ingatlanok különféle karbantartási kerete tartalékból átcsoportosítás Dunaharaszti Városi Bölcsőde új tagintézmény konyhatechnológiai kiviteli tervek módosítására</t>
  </si>
  <si>
    <t>623.</t>
  </si>
  <si>
    <t>35/2023. (XI.23.) sz. OMS határozat alapján Civil szervezetek, egyházak támogatása (Művészeti, oktatási, kulturális év közben belépő feladatok) tartalékból átcsoportosítás Halásztelki Református Egyházközség támogatására Dunaharaszti Kisharang Óvoda karácsonyi játékok beszerzésének finanszírozására</t>
  </si>
  <si>
    <t>303</t>
  </si>
  <si>
    <t>IX. Egyházak közösségi és hitéleti tevékenységének támogatása</t>
  </si>
  <si>
    <t>35/2023. (XI.23.) sz. OMS határozat: Halásztelki Református Egyházközség támogatása Dunaharaszti Kisharang Óvoda karácsonyi játékok finanszírozására</t>
  </si>
  <si>
    <t>624.</t>
  </si>
  <si>
    <t>Intézményi ingatlanok különféle karbantartási kerete tartalékból átcsoportosítás Dunaharaszti Városi Bölcsőde új tagintézmény konyhai légtechnikai rendszer felülvizsgálatára</t>
  </si>
  <si>
    <t>625.</t>
  </si>
  <si>
    <t>Biztos bevétel tartalékból átcsoportosítás "Helyi humán fejlesztések" (TOP Plusz-3.1.3-23) tárgyú pályázat beadásához szükséges dokumentációk előkészítésére</t>
  </si>
  <si>
    <t>626.</t>
  </si>
  <si>
    <t>Építési beruházások tartalékból átcsoportosítás Dunaharaszti Mese Óvodában villamosenergia-ellátást biztosító földkábel cseréjére</t>
  </si>
  <si>
    <t>Dunaharaszti Mese Óvoda földkábel-csere</t>
  </si>
  <si>
    <t>627.   628.</t>
  </si>
  <si>
    <t>Intézményi ingatlanok különféle karbantartási kerete tartalékból átcsoportosítás Dunaharaszti Mese Óvodában villamosenergia-ellátást biztosító földkábel-csere szakértői véleményére</t>
  </si>
  <si>
    <t>629.</t>
  </si>
  <si>
    <t>Közvilágítás rovatok közötti módosítása közvilágítás hálózatának karbantartás többletköltségeire</t>
  </si>
  <si>
    <t>630.</t>
  </si>
  <si>
    <t>Kiemelt állami és önkormányzati rendezvények rovatok közötti módosítása virágdekorációra</t>
  </si>
  <si>
    <t>631.</t>
  </si>
  <si>
    <t>Kábítószerügyi Egyeztető Fórum rovatok közötti módosítása vízdíjra és addiktológiai prevenciós előadásra</t>
  </si>
  <si>
    <t>632.</t>
  </si>
  <si>
    <t>Önkormányzati adóbevételek emelése követeléselőírás miatt (kiadás oldal: Bizonytalan bevételek tartaléka)</t>
  </si>
  <si>
    <t>633.      634.</t>
  </si>
  <si>
    <t>522.</t>
  </si>
  <si>
    <t>635.</t>
  </si>
  <si>
    <t>523.</t>
  </si>
  <si>
    <t>636.</t>
  </si>
  <si>
    <t>2023 november havi állami támogatás (szociális ágazati összevont pótlék) átvezetés Ágazati pótlék, bérkompenzáció, személyi juttatás és járulék tartalékba</t>
  </si>
  <si>
    <t>608.      637.</t>
  </si>
  <si>
    <t>608.    637.</t>
  </si>
  <si>
    <t>639.</t>
  </si>
  <si>
    <t>68/2023. (III.10.) korm. rend. alapján megemelt bérintézkedések támogatása átvezetés Ágazati pótlék, bérkompenzáció, személyi juttatás és járulék tartalékba</t>
  </si>
  <si>
    <t>*1.2.1.1</t>
  </si>
  <si>
    <t>*1.2.3.2.1.1.1.</t>
  </si>
  <si>
    <t>640.</t>
  </si>
  <si>
    <t>Városgazdálkodási kiadások rovatok közötti módosítása vagyonbiztosítás díjára</t>
  </si>
  <si>
    <t>641.</t>
  </si>
  <si>
    <t>2023. évi adóbevétel-többlet terhére képzett tartalékból átcsoportosítás Dunaharaszti Városi Bölcsőde új tagintézmény részére konyhai elszívó berendezés beépítésére</t>
  </si>
  <si>
    <t>642.</t>
  </si>
  <si>
    <t>Intézményi ingatlanok különféle karbantartási kerete tartalékból átcsoportosítás Dunaharaszti Városi Bölcsőde új tagintézményben vízmérő beépítésére</t>
  </si>
  <si>
    <t>Igazgatáson áramdíj-jóváírás átvezetés szolgáltatásra</t>
  </si>
  <si>
    <t>Közművelődési tevékenység rovatok közötti módosítása notebook beszerzésre és "Luca napi játszóház" programhoz díszek vásárlására</t>
  </si>
  <si>
    <t xml:space="preserve">Idősek nappali ellátásán, Szociális étkeztetésen, Házi jelzőrendszeren, Felnőtt orvosi rendelőn, Iskolai intézményi étkeztetésen és Gimnáziumi intézményi étkeztetésen bevételemelés követeléselőírás miatt </t>
  </si>
  <si>
    <t>020                                Damjanich u. 32.                                        Orvosi rendelő bérleti díj</t>
  </si>
  <si>
    <t>020                              Damjanich u. 32.                                        Orvosi rendelő bérleti díj</t>
  </si>
  <si>
    <t>Gyermekorvosi rendelő rovatok közötti módosítása aggregátor bérlésre</t>
  </si>
  <si>
    <t>Fizikoterápiás szolgáltatás rovatok közötti módosítása vízdíjra</t>
  </si>
  <si>
    <t>Család- és nővédelem egészségügyi gondozás rovatok közötti módosítása szőnyegbérlés és tisztítószer költségeire</t>
  </si>
  <si>
    <t>Dunaharaszti Napsugár Óvoda rovatok közötti módosítása polcrendszer, öltözőszekrény és kalandpálya játék beszerzésre</t>
  </si>
  <si>
    <t>Dunaharaszti Városi Bölcsőde étkeztetésen, főintézményen és tagintézményen bevételemelés követeléselőírás miatt</t>
  </si>
  <si>
    <t>Laffert-kúriával kapcsolatos feladatokon rovatok közötti módosítás rendezvényszervezésre</t>
  </si>
  <si>
    <t>Laffert-kúriával kapcsolatos feladatokon és Közművelődési tevékenységen bevételemelés követeléselőírás miatt</t>
  </si>
  <si>
    <t>Támogatások elszámolásán rovatok közötti módosítás "Adventi programsorozathoz" dekorációs anyagok beszerzésére</t>
  </si>
  <si>
    <t>Vendéglátás étkeztetés rovatok közötti módosítása bankkártyás tranzakciós jutalékra</t>
  </si>
  <si>
    <t>Dunaharaszti Szivárvány Óvoda rovatok közötti módosítása áramdíjra</t>
  </si>
  <si>
    <t>Idősek nappali ellátása rovatok közötti módosítása kerámia főzőlapos tűzhely beszerzésre</t>
  </si>
  <si>
    <t>Dunaharaszti Hétszínvirág Óvoda és Dunaharaszti Hétszínvirág Óvoda SNI részgazdák közötti átcsoportosítása DIOO Konzol beszerzésre, sajátos nevelésű igényű gyerekek fejlesztésére</t>
  </si>
  <si>
    <r>
      <t>091220</t>
    </r>
    <r>
      <rPr>
        <sz val="10"/>
        <color indexed="8"/>
        <rFont val="Garamond"/>
        <family val="1"/>
        <charset val="238"/>
      </rPr>
      <t xml:space="preserve">                              </t>
    </r>
    <r>
      <rPr>
        <strike/>
        <sz val="10"/>
        <color indexed="8"/>
        <rFont val="Garamond"/>
        <family val="1"/>
        <charset val="238"/>
      </rPr>
      <t xml:space="preserve">Köznevelési intézmények 1-4. évfolyamán tanulók nevelésével, oktatásával összefüggő működtetési feladatok                  </t>
    </r>
    <r>
      <rPr>
        <sz val="10"/>
        <color indexed="8"/>
        <rFont val="Garamond"/>
        <family val="1"/>
        <charset val="238"/>
      </rPr>
      <t>013350                                  Az önkormányzati vagyonnal való gazdálkodással kapcsolatos feladatok</t>
    </r>
  </si>
  <si>
    <r>
      <t xml:space="preserve">092120                                Köznevelési intézmények 5-8. évfolyamán tanulók nevelésével, oktatásával összefüggő működtetési feladatok                        </t>
    </r>
    <r>
      <rPr>
        <sz val="10"/>
        <color indexed="8"/>
        <rFont val="Garamond"/>
        <family val="1"/>
        <charset val="238"/>
      </rPr>
      <t>013350                                  Az önkormányzati vagyonnal való gazdálkodással kapcsolatos feladatok</t>
    </r>
  </si>
  <si>
    <r>
      <t xml:space="preserve">092260                                        Gimnázium és szakközépiskola tanulóinak közismeret és szakmai elméleti oktatásával összefüggő működtetési feladatok                     </t>
    </r>
    <r>
      <rPr>
        <sz val="10"/>
        <color indexed="8"/>
        <rFont val="Garamond"/>
        <family val="1"/>
        <charset val="238"/>
      </rPr>
      <t>013350                                  Az önkormányzati vagyonnal való gazdálkodással kapcsolatos feladatok</t>
    </r>
  </si>
  <si>
    <r>
      <t xml:space="preserve">098022                                  Pedagógiai szakszolgáltató tevékenység működtetési feladatai                         </t>
    </r>
    <r>
      <rPr>
        <sz val="10"/>
        <color indexed="8"/>
        <rFont val="Garamond"/>
        <family val="1"/>
        <charset val="238"/>
      </rPr>
      <t xml:space="preserve"> 013350                                  Az önkormányzati vagyonnal való gazdálkodással kapcsolatos feladatok</t>
    </r>
  </si>
  <si>
    <r>
      <t xml:space="preserve">091250                                     Alapfokú művészetoktatással  összefüggő működtetési feladatok                       </t>
    </r>
    <r>
      <rPr>
        <sz val="10"/>
        <color indexed="8"/>
        <rFont val="Garamond"/>
        <family val="1"/>
        <charset val="238"/>
      </rPr>
      <t>013350                                  Az önkormányzati vagyonnal való gazdálkodással kapcsolatos feladatok</t>
    </r>
  </si>
  <si>
    <t>Dunaharaszti  Város Önkormányzata Képviselő-testületének 5/2023. (III.03.) rendeletének módosítása  2023. december 31-ig</t>
  </si>
  <si>
    <t>Biztos bevétel tartalékból átcsoportosítás csapadékvíz-szippantásra</t>
  </si>
  <si>
    <t>Biztos bevétel tartalékból átcsoportosítás hó- és síkosságmentesítési munkálatokra</t>
  </si>
  <si>
    <t>Intézményi ingatlanok különféle karbantartási kerete tartalékból átcsoportosítás Dunaharaszti Városi Bölcsőde új tagintézmény belsőépítészeti koncepció terv készítésére</t>
  </si>
  <si>
    <t>Intézményi ingatlanok különféle karbantartási kerete tartalékból átcsoportosítás Dunaharaszti Család- és Gyermekjóléti Szolgálat épületében erősáramú hálózat kialakítására</t>
  </si>
  <si>
    <t>Dunaharaszti Család- és Gyermekjóléti Szolgálat épületében erősáramú hálózat kiépítés</t>
  </si>
  <si>
    <t>Biztos bevétel tartalékból átcsoportosítás Hunyadi János Általános Iskolában tetővíz és térburkolat vízelvezetésére</t>
  </si>
  <si>
    <t>Biztos bevétel tartalékból átcsoportosítás közterületi fák ápolására</t>
  </si>
  <si>
    <t>Intézményi ingatlanok különféle karbantartási kerete tartalékból átcsoportosítás Dunaharaszti Mese Óvoda érintésvédelmi felülvizsgálatára</t>
  </si>
  <si>
    <t>Önkormányzati finanszírozás Dunaharaszti Mese Óvoda érintésvédelmi felülvizsgálatára</t>
  </si>
  <si>
    <t>Biztos bevétel tartalékból átcsoportosítás Dunaharaszti Család- és Gyermekjóléti Szolgálat tetőfedés javítására</t>
  </si>
  <si>
    <t>Önkormányzati finanszírozás Dunaharaszti Család- és Gyermekjóléti Szolgálat tetőfedés javítására</t>
  </si>
  <si>
    <t>Energiaárak emelkedése miatti tartalékból átcsoportosítás Bezerédi Sportpark áramdíjára</t>
  </si>
  <si>
    <t>10.       14.</t>
  </si>
  <si>
    <t>Közterületi feladatok rovatok közötti módosítása térfigyelő szerver bővítésére</t>
  </si>
  <si>
    <t>Közterületi kamerák beszerzése (szerver bővítés is)</t>
  </si>
  <si>
    <t>2023. évi adóbevétel-többlet terhére képzett tartalékból átcsoportosítás áramfejlesztő és az ehhez szükséges csatlakozókábel beszerzésre</t>
  </si>
  <si>
    <t>Áramfejlesztő és az ehhez szükséges csatlakozókábel beszerzés</t>
  </si>
  <si>
    <t>Intézményi ingatlanok különféle karbantartási kerete tartalékból átcsoportosítás Dunaharaszti Városi Bölcsőde új tagintézmény kertjében talajvízkutak létesítésére</t>
  </si>
  <si>
    <t>Bér rovatok módosítása novemberi bérkönyvelés alapján</t>
  </si>
  <si>
    <t>Bér rovatok közötti módosítás novemberi bérkönyvelés alapján</t>
  </si>
  <si>
    <t>Ágazati pótlék, bérkompenzáció, személyi juttatás és járulék tartalékból átcsoportosítás Dunaharaszti József Attila Művelődési Ház novemberi bérei céljára</t>
  </si>
  <si>
    <t>Önkormányzati finanszírozás Dunaharaszti József Attila Művelődési Ház novemberi bérei céljára</t>
  </si>
  <si>
    <t>118/2023. (XII.14.) sz. Szociális és Egészségügyi Bizottság határozata alapján a Dunaharaszti Vöröskereszt és Dunaharaszti Család- és Gyermekjóléti Szolgálat karácsonyi csomag összeállításához a Települési támogatás sorról átcsoportosítás Időskorúak és rászorulók karácsonyi csomagja sorra</t>
  </si>
  <si>
    <t>202</t>
  </si>
  <si>
    <t>217</t>
  </si>
  <si>
    <t>17.   18.</t>
  </si>
  <si>
    <t>119/2023. (XII.14.) sz. Szociális és Egészségügyi Bizottság határozata alapján a Települési támogatás sorról átcsoportosítás Időskorúak és rászorulók karácsonyi csomagja sorra</t>
  </si>
  <si>
    <t>Intézményi ingatlanok különféle karbantartási kerete tartalékból átcsoportosítás Dunaharaszti Polgármesteri Hivatal Műszaki Iroda épületében irattár átalakítására</t>
  </si>
  <si>
    <t>Önkormányzati finanszírozás Dunaharaszti Polgármesteri Hivatal Műszaki Iroda épületében irattár átalakítására</t>
  </si>
  <si>
    <t>Biztos bevétel tartalékból átcsoportosítás II. Rákóczi Ferenc Általános Iskola kert átalakítására</t>
  </si>
  <si>
    <t>II. Rákóczi Ferenc Általános Iskola kertátalakítás</t>
  </si>
  <si>
    <t>21.     22.</t>
  </si>
  <si>
    <t>Városgazdálkodás tartalékból átcsoportosítás külterületi hulladék gyűjtésére</t>
  </si>
  <si>
    <t>Biztos bevétel tartalékból átcsoportosítás leselejtezett tárgyi eszközök elszállítására</t>
  </si>
  <si>
    <t>24.      25.</t>
  </si>
  <si>
    <t>Önkormányzati gondnokság rovatok közötti módosítása gondnok kerékpár javítására</t>
  </si>
  <si>
    <t>OTP Bank Nyrt.-től Dunaharaszti Karácsonyi Vásár szervezésére kapott támogatás átvezetés Kiemelt állami és önkormányzati rendezvények keretre</t>
  </si>
  <si>
    <t>2023. évi adóbevétel-többlet terhére képzett tartalékból átcsoportosítás Dunaharaszti Hősök tere területén telepített korcsolyapálya őrzése, takarítása, üzemeltetése céljára</t>
  </si>
  <si>
    <t>Dunaharaszti Városi Bölcsőde új tagintézmény építésre kapott többlettámogatás átvezetés részletezőkódra</t>
  </si>
  <si>
    <t xml:space="preserve">Dunaharaszti Városi Bölcsőde új tagintézmény építésre kapott többlettámogatás </t>
  </si>
  <si>
    <t>2.   3.</t>
  </si>
  <si>
    <t>Idősek nappali ellátása, Szociális étkeztetés, Óvodai és Gimnáziumi intézményi étkeztetés rovatok közötti módosítása vásárolt élelmezés többletköltségeire</t>
  </si>
  <si>
    <t>Közterület-használaton bevételemelés követeléselőírás miatt</t>
  </si>
  <si>
    <t>Temetkezésen bevételemelés túlteljesítés miatt</t>
  </si>
  <si>
    <t>Energiaárak emelkedése miatti tartalékból átcsoportosítás közvilágítás áramdíjára</t>
  </si>
  <si>
    <t>Megelőlegezési hitel (nulladik havi) technikai átvezetése Normatíva felülvizsgálat tartalékba</t>
  </si>
  <si>
    <t>Fizikoterápiás szolgáltatás rovatok közötti módosítása irodaszék beszerzésre</t>
  </si>
  <si>
    <t>Önkormányzati igazgatás rovatok közötti módosítása adótartozás behajtásához igazgatási szolgáltatási díjra</t>
  </si>
  <si>
    <t>Könyvtári állománygyarapítás rovatok közötti módosítása könyvbeszerzés többletköltségeire</t>
  </si>
  <si>
    <t>Laffert-kúriával kapcsolatos feladatokon és Közművelődési tevékenységen rovatok közötti módosítás reklám- és propagandakiadásokra</t>
  </si>
  <si>
    <t>559.</t>
  </si>
  <si>
    <t>2023 december havi állami támogatás (szociális ágazati összevont pótlék) átvezetés Ágazati pótlék, bérkompenzáció, személyi juttatás és járulék tartalékba</t>
  </si>
  <si>
    <t>560.</t>
  </si>
  <si>
    <t>ÉDV Zrt. által 2023. évi szennyvíz bérleti díj el nem számolt összege miatt a korábban ebből a forrásból megelőlegezett munkálatok  (510-es út DTCS-től délre eső szakaszon gravitációs és nyomott szennyvízvezeték építés) összegének a 2023. évi adóbevétel-többlet terhére képzett tartalékból visszacsoportosítás</t>
  </si>
  <si>
    <t>ÉDV Zrt. által 2023. évi Szennyvíz bérleti díj (szennyvíz és ivóvíz) el nem számolt összege miatti bevételcsökkentés</t>
  </si>
  <si>
    <t>Intézményi ingatlanok különféle karbantartási kerete tartalékból átcsoportosítás Dunaharaszti Városi Bölcsőde tagintézményben kazáncserére</t>
  </si>
  <si>
    <t>2023. évi adóbevétel-többlet terhére képzett tartalékból átcsoportosítás csapadékvíz-szippantásra</t>
  </si>
  <si>
    <t>2023. évi adóbevétel-többlet terhére képzett tartalékból átcsoportosítás szennyvíztisztító telep agglomerációs átsorolási dokumentáció elkészítésére</t>
  </si>
  <si>
    <t>2023. évi adóbevétel-többlet terhére képzett tartalékból átcsoportosítás Sport-szigeti műfüves sportpálya világításának árnyékolására</t>
  </si>
  <si>
    <t>Sport-szigeti műfüves sportpálya világításának árnyékolása</t>
  </si>
  <si>
    <t>Intézményi ingatlanok különféle karbantartási kerete tartalékból átcsoportosítás Dunaharaszti Városi Bölcsőde új tagintézmény építéshez projekttábla készítési kötelezettségre</t>
  </si>
  <si>
    <t>45.      46.</t>
  </si>
  <si>
    <t>Feljegyzés alapján Kiemelt állami és önkormányzati rendezvényeken reprezentációs költségek rovatról átcsoportosítás Dunaharaszti Karácsonyi Vásár kiadásaira</t>
  </si>
  <si>
    <t>Dunaharaszti Hétszínvirág Óvoda rovatok közötti módosítása mikro beszerzésre</t>
  </si>
  <si>
    <t>Biztos bevétel tartalékból átcsoportosítás 7844/4 hrsz-ú terület tereprendezési munkálataira</t>
  </si>
  <si>
    <t>Megelőlegezési hitel elszámolás alapján (december havi)</t>
  </si>
  <si>
    <t>Nem lakáscélú önkormányzati ingatlanokon rovatok közötti módosítás Dunaharaszti Polgármesteri Hivatalban klímák karbantartására és DMTK sportpálya mellékhelyiség ajtajának javítására</t>
  </si>
  <si>
    <t>Városi Sportcsarnok rovatok közötti módosítása szalagos kordonoszlop beszerzésre</t>
  </si>
  <si>
    <t>082063                                   Múzeumi kiállítási tevékenység</t>
  </si>
  <si>
    <t>Kábítószerügyi Egyeztető Fórum rovatok közötti módosítása reprezentációs költségre, élelmiszerre és infra főzőlap beszerzésre</t>
  </si>
  <si>
    <t>577.</t>
  </si>
  <si>
    <t>Idősek nappali ellátásán, Szociális étkeztetésen, Házi segítségnyújtáson,  Házi jelzőrendszeren és Felnőtt orvosi rendelőn bevételemelés követeléselőírás miatt</t>
  </si>
  <si>
    <t>Dunaharaszti Szivárvány Óvoda rovatok közötti módosítása karácsonyi játékok beszerzésére</t>
  </si>
  <si>
    <t>Dunaharaszti Napsugár Óvoda bér rovatok módosítása reprezentációs költségekre</t>
  </si>
  <si>
    <t>Dunaharaszti Városi Bölcsőde főintézmény rovatok közötti módosítása bölcsődevezetők kézikönyve beszerzésre</t>
  </si>
  <si>
    <t>Dunaharaszti Városi Bölcsőde tagintézmény rovatok közötti módosítása számítógép beszerzésre</t>
  </si>
  <si>
    <t>Városi Sportcsarnok rovatok közötti módosítása nyomtató beszerzésre</t>
  </si>
  <si>
    <t>Biztos bevétel tartalékból átcsoportosítás Tass vezér utcában közvilágítási lámpa felszerelésére</t>
  </si>
  <si>
    <t>Tass vezér utcában közvilágítási lámpa felszerelése</t>
  </si>
  <si>
    <t>2023. évi októberi állami felmérés eredményének átvezetése Normatíva felülvizsgálat tartalékba</t>
  </si>
  <si>
    <t>Dunaharaszti Városi Bölcsőde tagintézményen bevételemelés követeléselőírás miatt</t>
  </si>
  <si>
    <t>Adóügyi feladatok rovatok közötti módosítása postaköltségekre és IPS-2 változóadat nyomtatási szoftverre</t>
  </si>
  <si>
    <t>Támogatások elszámolásán rovatok közötti módosítás mikuláscsomag beszerzésre</t>
  </si>
  <si>
    <t>Könyvtári elkülönített SZJA 1%-os alszámla rovatok közötti módosítása asztal beszerzésre</t>
  </si>
  <si>
    <t>Finanszírozás módosítás (Dunaharaszti Városi Könyvtár)</t>
  </si>
  <si>
    <t>580.</t>
  </si>
  <si>
    <t>Dunaharaszti Judo Club Sportegyesület korábbi támogatásának módosítása alapján működésről átcsoportosítás felhalmozásra edzőgép beszerzésre</t>
  </si>
  <si>
    <t>Dunaharaszti Judo Club Sportegyesület támogatása edzőgép beszerzésre</t>
  </si>
  <si>
    <t>Laffert-kúriával kapcsolatos feladatokon rovatok közötti módosítás művészeti tevékenységre és számítógép monitor beszerzésre</t>
  </si>
  <si>
    <t xml:space="preserve">Közművelődési tevékenységen bevételemelés követeléselőírás miatt </t>
  </si>
  <si>
    <t>Dunaharaszti kerékpárforgalmi hálózati terv és annak felülvizsgálata rovatok közötti technikai helyesbítése</t>
  </si>
  <si>
    <t xml:space="preserve">Dunaharaszti-Taksony kerékpárút építése (TOP_PLUSZ-1.2.1-21-PT1-2022-00013 támogatás: 49.565.206,- Ft, ebből 2023. évre áthozott: 34.976.162,- Ft (8. sz. Tartalékban - ebből dologira átcsoportosított: 5.407.476,- Ft) (önrész: 50.000.000,- Ft) </t>
  </si>
  <si>
    <t>Támogatások elszámolásán rovatok közötti módosítás karácsonyra játékok beszerzésére</t>
  </si>
  <si>
    <t>2023. évi adóbevétel-többlet terhére képzett tartalékból átcsoportosítás Dunaharaszti Városi Bölcsőde új tagintézmény kert, játszóudvar kialakításához kapcsolódó műszaki ellenőri feladatokra</t>
  </si>
  <si>
    <t>2023. évi adóbevétel-többlet terhére képzett tartalékból átcsoportosítás Sport-szigeti turizmusfejlesztéshez kapcsolódó előzetes vizsgálati dokumentáció és Natura 2000 hatásbecslési dokumentáció céljára</t>
  </si>
  <si>
    <t>2023. évi adóbevétel-többlet terhére képzett tartalékból átcsoportosítás Dunaharaszti Városi Bölcsőde új tagintézmény eszközbeszerzéshez eszközkiírási terv és bútorozási terv céljára</t>
  </si>
  <si>
    <t>Bér rovatok módosítása 13. havi bérkönyvelés alapján</t>
  </si>
  <si>
    <t>7.     8.</t>
  </si>
  <si>
    <t>RSD Viziközmű Társulat érdekeltségi hozzájárulás előírt követelések átvezetés Bizonytalan bevételek tartalékba</t>
  </si>
  <si>
    <t>D280-as KPE víznyomócső építése az M0 illetve a Lovas utca irányába beruházáson részletezőkód technikai helyesbítése</t>
  </si>
  <si>
    <t>65.    66.</t>
  </si>
  <si>
    <t>Dunaharaszti Északnyugati Iparterület vízellátás beruházás műszaki ellenőrzésén részletezőkódok közötti technikai helyesbítés</t>
  </si>
  <si>
    <t>510-es út DTCS-től délre eső szakaszon szennyvízelvezető-hálózat beruházáson részletezőkódok közötti technikai helyesbítés</t>
  </si>
  <si>
    <t>68.     69.</t>
  </si>
  <si>
    <t>Városi Piac rovatok közötti módosítása nem lakossági vízmérő beépítésre</t>
  </si>
  <si>
    <t>591.</t>
  </si>
  <si>
    <t>Városi Piacon bevételek év végi rendezése</t>
  </si>
  <si>
    <t>Tárgyi eszköz értékesítésen bevételek év végi rendezése</t>
  </si>
  <si>
    <t>Közterület-használaton bevételek év végi rendezése</t>
  </si>
  <si>
    <t>Nem lakáscélú önkormányzati ingatlanokon bevételek év végi rendezése</t>
  </si>
  <si>
    <t>Temetkezésen és Temető fenntartáson bevételek év végi rendezése</t>
  </si>
  <si>
    <t>Dunaharaszti Hírek és információs kiadványok feladaton bevételek év végi rendezése</t>
  </si>
  <si>
    <t>Továbbszámlázáson, Egyéb bevételeken, Önkormányzati adókon bevételek év végi rendezése</t>
  </si>
  <si>
    <t>Bevételek év végi rendezése</t>
  </si>
  <si>
    <t>4.     5.</t>
  </si>
  <si>
    <t>6.    7.</t>
  </si>
  <si>
    <t>Gyermekjóléti Szolgáltatás rovatok közötti módosítása üzemeltetési anyagok beszerzésére (szalvéta, tároló doboz, mosószer, irodaszer stb.)</t>
  </si>
  <si>
    <t>510-es út menti területek viziközmű rendszerének áttervezése, DMPV Zrt. átal üzemeltetett hálózatról leválás</t>
  </si>
  <si>
    <t>RSD Viziközmű Társulat érdekeltségi hozzájárulás előírt követelések átvezetése Bizonytalan bevételek tartalékba</t>
  </si>
  <si>
    <t>Előirányzat módosítás</t>
  </si>
  <si>
    <t>Korrekciós tétel</t>
  </si>
  <si>
    <t>Ennyi a pénzkészlet</t>
  </si>
  <si>
    <t>2022. évi pénzmaradvány</t>
  </si>
  <si>
    <t>2023. évi bizonyos 36-os számlák forgalma</t>
  </si>
  <si>
    <t>2023. egyenleg</t>
  </si>
  <si>
    <t>FORGALOM</t>
  </si>
  <si>
    <t>egyenleg</t>
  </si>
  <si>
    <t>forgalom</t>
  </si>
  <si>
    <t>korrigált pénzmaradvány</t>
  </si>
  <si>
    <t>előző évi nyitó</t>
  </si>
  <si>
    <t>előző évi korrekciós tételt</t>
  </si>
  <si>
    <t>2023. évig befolyt támogatási összeg</t>
  </si>
  <si>
    <t>MÁK tám</t>
  </si>
  <si>
    <t>Mák alszla egyenlege 2023.12.31</t>
  </si>
  <si>
    <t>2023.12.31-ig felhasznált tám</t>
  </si>
  <si>
    <t>Összes kiadás 2024</t>
  </si>
  <si>
    <t>önerő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</si>
</sst>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0\ &quot;Ft&quot;;\-#,##0\ &quot;Ft&quot;"/>
    <numFmt numFmtId="44" formatCode="_-* #,##0.00\ &quot;Ft&quot;_-;\-* #,##0.00\ &quot;Ft&quot;_-;_-* &quot;-&quot;??\ &quot;Ft&quot;_-;_-@_-"/>
    <numFmt numFmtId="43" formatCode="_-* #,##0.00_-;\-* #,##0.00_-;_-* &quot;-&quot;??_-;_-@_-"/>
    <numFmt numFmtId="164" formatCode="_-* #,##0.00\ _F_t_-;\-* #,##0.00\ _F_t_-;_-* &quot;-&quot;??\ _F_t_-;_-@_-"/>
    <numFmt numFmtId="165" formatCode="00"/>
    <numFmt numFmtId="166" formatCode="\ ##########"/>
    <numFmt numFmtId="167" formatCode="_-* #,##0\ _F_t_-;\-* #,##0\ _F_t_-;_-* \-??\ _F_t_-;_-@_-"/>
    <numFmt numFmtId="168" formatCode="_-* #,##0\ _F_t_-;\-* #,##0\ _F_t_-;_-* &quot;-&quot;??\ _F_t_-;_-@_-"/>
    <numFmt numFmtId="169" formatCode="_-* #,##0.0\ _F_t_-;\-* #,##0.0\ _F_t_-;_-* &quot;-&quot;??\ _F_t_-;_-@_-"/>
    <numFmt numFmtId="170" formatCode="#,##0\ &quot;Ft&quot;"/>
    <numFmt numFmtId="171" formatCode="_-* #,##0\ &quot;Ft&quot;_-;\-* #,##0\ &quot;Ft&quot;_-;_-* &quot;-&quot;??\ &quot;Ft&quot;_-;_-@_-"/>
    <numFmt numFmtId="172" formatCode="#,##0.00_ ;\-#,##0.00\ "/>
    <numFmt numFmtId="173" formatCode="#,##0.0_ ;\-#,##0.0\ "/>
    <numFmt numFmtId="174" formatCode="#,###"/>
    <numFmt numFmtId="175" formatCode="_-* #,##0\ _F_t_-;\-* #,##0\ _F_t_-;_-* &quot;-&quot;?\ _F_t_-;_-@_-"/>
    <numFmt numFmtId="176" formatCode="#,##0\ _F_t"/>
    <numFmt numFmtId="177" formatCode="#,##0_ ;\-#,##0\ "/>
  </numFmts>
  <fonts count="112" x14ac:knownFonts="1">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charset val="238"/>
    </font>
    <font>
      <sz val="10"/>
      <name val="Arial"/>
      <family val="2"/>
      <charset val="238"/>
    </font>
    <font>
      <sz val="12"/>
      <name val="Arial CE"/>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sz val="10"/>
      <name val="Arial"/>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0"/>
      <name val="Arial CE"/>
      <charset val="238"/>
    </font>
    <font>
      <sz val="12"/>
      <color indexed="8"/>
      <name val="Garamond"/>
      <family val="1"/>
      <charset val="238"/>
    </font>
    <font>
      <b/>
      <sz val="12"/>
      <color indexed="8"/>
      <name val="Garamond"/>
      <family val="1"/>
      <charset val="238"/>
    </font>
    <font>
      <sz val="12"/>
      <name val="Garamond"/>
      <family val="1"/>
      <charset val="238"/>
    </font>
    <font>
      <b/>
      <sz val="12"/>
      <name val="Garamond"/>
      <family val="1"/>
      <charset val="238"/>
    </font>
    <font>
      <sz val="10"/>
      <name val="Garamond"/>
      <family val="1"/>
      <charset val="238"/>
    </font>
    <font>
      <b/>
      <sz val="10"/>
      <name val="Garamond"/>
      <family val="1"/>
      <charset val="238"/>
    </font>
    <font>
      <b/>
      <sz val="11"/>
      <name val="Garamond"/>
      <family val="1"/>
      <charset val="238"/>
    </font>
    <font>
      <sz val="11"/>
      <name val="Garamond"/>
      <family val="1"/>
      <charset val="238"/>
    </font>
    <font>
      <b/>
      <sz val="14"/>
      <name val="Garamond"/>
      <family val="1"/>
      <charset val="238"/>
    </font>
    <font>
      <b/>
      <i/>
      <sz val="12"/>
      <color indexed="8"/>
      <name val="Garamond"/>
      <family val="1"/>
      <charset val="238"/>
    </font>
    <font>
      <i/>
      <sz val="12"/>
      <color indexed="8"/>
      <name val="Garamond"/>
      <family val="1"/>
      <charset val="238"/>
    </font>
    <font>
      <b/>
      <i/>
      <sz val="12"/>
      <name val="Garamond"/>
      <family val="1"/>
      <charset val="238"/>
    </font>
    <font>
      <sz val="10"/>
      <name val="Arial"/>
      <family val="2"/>
      <charset val="238"/>
    </font>
    <font>
      <b/>
      <sz val="10"/>
      <name val="Arial"/>
      <family val="2"/>
      <charset val="238"/>
    </font>
    <font>
      <sz val="8"/>
      <color indexed="8"/>
      <name val="Arial"/>
      <family val="2"/>
      <charset val="238"/>
    </font>
    <font>
      <b/>
      <sz val="10"/>
      <name val="Arial"/>
      <family val="2"/>
      <charset val="238"/>
    </font>
    <font>
      <sz val="11"/>
      <color indexed="8"/>
      <name val="Garamond"/>
      <family val="1"/>
      <charset val="238"/>
    </font>
    <font>
      <b/>
      <sz val="11"/>
      <color indexed="8"/>
      <name val="Garamond"/>
      <family val="1"/>
      <charset val="238"/>
    </font>
    <font>
      <sz val="8"/>
      <name val="Arial CE"/>
      <charset val="238"/>
    </font>
    <font>
      <sz val="12"/>
      <name val="Arial CE"/>
      <charset val="238"/>
    </font>
    <font>
      <sz val="11"/>
      <color indexed="8"/>
      <name val="Calibri"/>
      <family val="2"/>
      <charset val="238"/>
    </font>
    <font>
      <sz val="12"/>
      <color indexed="53"/>
      <name val="Garamond"/>
      <family val="1"/>
      <charset val="238"/>
    </font>
    <font>
      <b/>
      <sz val="13"/>
      <name val="Garamond"/>
      <family val="1"/>
      <charset val="238"/>
    </font>
    <font>
      <b/>
      <sz val="10"/>
      <name val="Arial CE"/>
      <charset val="238"/>
    </font>
    <font>
      <sz val="12"/>
      <color indexed="17"/>
      <name val="Garamond"/>
      <family val="1"/>
      <charset val="238"/>
    </font>
    <font>
      <sz val="12"/>
      <color indexed="10"/>
      <name val="Garamond"/>
      <family val="1"/>
      <charset val="238"/>
    </font>
    <font>
      <sz val="10"/>
      <name val="Times New Roman CE"/>
      <charset val="238"/>
    </font>
    <font>
      <sz val="10"/>
      <color indexed="8"/>
      <name val="Garamond"/>
      <family val="1"/>
      <charset val="238"/>
    </font>
    <font>
      <b/>
      <sz val="10"/>
      <color indexed="8"/>
      <name val="Garamond"/>
      <family val="1"/>
      <charset val="238"/>
    </font>
    <font>
      <b/>
      <i/>
      <sz val="10"/>
      <name val="Garamond"/>
      <family val="1"/>
      <charset val="238"/>
    </font>
    <font>
      <i/>
      <sz val="10"/>
      <name val="Garamond"/>
      <family val="1"/>
      <charset val="238"/>
    </font>
    <font>
      <b/>
      <sz val="14"/>
      <color indexed="8"/>
      <name val="Garamond"/>
      <family val="1"/>
      <charset val="238"/>
    </font>
    <font>
      <b/>
      <i/>
      <sz val="11"/>
      <color indexed="8"/>
      <name val="Garamond"/>
      <family val="1"/>
      <charset val="238"/>
    </font>
    <font>
      <i/>
      <sz val="11"/>
      <color indexed="8"/>
      <name val="Garamond"/>
      <family val="1"/>
      <charset val="238"/>
    </font>
    <font>
      <sz val="14"/>
      <color indexed="8"/>
      <name val="Garamond"/>
      <family val="1"/>
      <charset val="238"/>
    </font>
    <font>
      <sz val="14"/>
      <name val="Garamond"/>
      <family val="1"/>
      <charset val="238"/>
    </font>
    <font>
      <sz val="14"/>
      <name val="Arial CE"/>
      <charset val="238"/>
    </font>
    <font>
      <b/>
      <sz val="9"/>
      <name val="Garamond"/>
      <family val="1"/>
      <charset val="238"/>
    </font>
    <font>
      <i/>
      <sz val="12"/>
      <name val="Garamond"/>
      <family val="1"/>
      <charset val="238"/>
    </font>
    <font>
      <i/>
      <sz val="10"/>
      <name val="Arial CE"/>
      <charset val="238"/>
    </font>
    <font>
      <b/>
      <i/>
      <sz val="10"/>
      <name val="Times New Roman CE"/>
      <family val="1"/>
      <charset val="238"/>
    </font>
    <font>
      <b/>
      <sz val="11"/>
      <name val="Arial CE"/>
      <family val="2"/>
      <charset val="238"/>
    </font>
    <font>
      <sz val="8"/>
      <name val="Arial CE"/>
      <family val="2"/>
      <charset val="238"/>
    </font>
    <font>
      <sz val="9"/>
      <name val="Arial CE"/>
      <family val="2"/>
      <charset val="238"/>
    </font>
    <font>
      <b/>
      <sz val="8"/>
      <name val="Arial CE"/>
      <family val="2"/>
      <charset val="238"/>
    </font>
    <font>
      <sz val="10"/>
      <name val="Arial CE"/>
      <family val="2"/>
      <charset val="238"/>
    </font>
    <font>
      <sz val="7"/>
      <name val="Arial CE"/>
      <family val="2"/>
      <charset val="238"/>
    </font>
    <font>
      <sz val="6"/>
      <name val="Arial CE"/>
      <family val="2"/>
      <charset val="238"/>
    </font>
    <font>
      <b/>
      <i/>
      <sz val="7"/>
      <name val="Arial CE"/>
      <charset val="238"/>
    </font>
    <font>
      <b/>
      <i/>
      <sz val="9"/>
      <name val="Arial CE"/>
      <charset val="238"/>
    </font>
    <font>
      <b/>
      <i/>
      <sz val="8"/>
      <name val="Arial CE"/>
      <charset val="238"/>
    </font>
    <font>
      <b/>
      <sz val="11"/>
      <color indexed="10"/>
      <name val="Garamond"/>
      <family val="1"/>
      <charset val="238"/>
    </font>
    <font>
      <b/>
      <sz val="8"/>
      <color indexed="8"/>
      <name val="Garamond"/>
      <family val="1"/>
      <charset val="238"/>
    </font>
    <font>
      <sz val="8"/>
      <color indexed="8"/>
      <name val="Garamond"/>
      <family val="1"/>
      <charset val="238"/>
    </font>
    <font>
      <sz val="11"/>
      <color theme="1"/>
      <name val="Calibri"/>
      <family val="2"/>
      <charset val="238"/>
      <scheme val="minor"/>
    </font>
    <font>
      <sz val="11"/>
      <color theme="1"/>
      <name val="Calibri"/>
      <family val="2"/>
      <scheme val="minor"/>
    </font>
    <font>
      <b/>
      <sz val="10"/>
      <color theme="1"/>
      <name val="Garamond"/>
      <family val="1"/>
      <charset val="238"/>
    </font>
    <font>
      <sz val="10"/>
      <color theme="1"/>
      <name val="Garamond"/>
      <family val="1"/>
      <charset val="238"/>
    </font>
    <font>
      <b/>
      <sz val="14"/>
      <color rgb="FFFF0000"/>
      <name val="Garamond"/>
      <family val="1"/>
      <charset val="238"/>
    </font>
    <font>
      <b/>
      <sz val="12"/>
      <color theme="1"/>
      <name val="Garamond"/>
      <family val="1"/>
      <charset val="238"/>
    </font>
    <font>
      <sz val="10"/>
      <color rgb="FFFF0000"/>
      <name val="Arial CE"/>
      <charset val="238"/>
    </font>
    <font>
      <sz val="11"/>
      <color theme="1"/>
      <name val="Garamond"/>
      <family val="1"/>
      <charset val="238"/>
    </font>
    <font>
      <b/>
      <sz val="14"/>
      <color theme="1"/>
      <name val="Garamond"/>
      <family val="1"/>
      <charset val="238"/>
    </font>
    <font>
      <sz val="10"/>
      <color theme="1"/>
      <name val="Calibri"/>
      <family val="2"/>
      <charset val="238"/>
      <scheme val="minor"/>
    </font>
    <font>
      <sz val="8"/>
      <color theme="1"/>
      <name val="Garamond"/>
      <family val="1"/>
      <charset val="238"/>
    </font>
    <font>
      <b/>
      <sz val="11"/>
      <color theme="1"/>
      <name val="Garamond"/>
      <family val="1"/>
      <charset val="238"/>
    </font>
    <font>
      <b/>
      <sz val="16"/>
      <name val="Garamond"/>
      <family val="1"/>
      <charset val="238"/>
    </font>
    <font>
      <b/>
      <sz val="16"/>
      <color indexed="8"/>
      <name val="Garamond"/>
      <family val="1"/>
      <charset val="238"/>
    </font>
    <font>
      <b/>
      <sz val="8"/>
      <name val="Arial CE"/>
      <charset val="238"/>
    </font>
    <font>
      <sz val="12"/>
      <color rgb="FFFF0000"/>
      <name val="Garamond"/>
      <family val="1"/>
      <charset val="238"/>
    </font>
    <font>
      <b/>
      <sz val="10"/>
      <color rgb="FFFF0000"/>
      <name val="Arial CE"/>
      <charset val="238"/>
    </font>
    <font>
      <b/>
      <i/>
      <sz val="14"/>
      <color theme="1"/>
      <name val="Garamond"/>
      <family val="1"/>
      <charset val="238"/>
    </font>
    <font>
      <b/>
      <i/>
      <sz val="12"/>
      <color theme="1"/>
      <name val="Garamond"/>
      <family val="1"/>
      <charset val="238"/>
    </font>
    <font>
      <b/>
      <i/>
      <sz val="11"/>
      <name val="Garamond"/>
      <family val="1"/>
      <charset val="238"/>
    </font>
    <font>
      <b/>
      <i/>
      <sz val="11"/>
      <color theme="1"/>
      <name val="Garamond"/>
      <family val="1"/>
      <charset val="238"/>
    </font>
    <font>
      <sz val="14"/>
      <color rgb="FFFF0000"/>
      <name val="Garamond"/>
      <family val="1"/>
      <charset val="238"/>
    </font>
    <font>
      <b/>
      <i/>
      <sz val="14"/>
      <color indexed="8"/>
      <name val="Garamond"/>
      <family val="1"/>
      <charset val="238"/>
    </font>
    <font>
      <b/>
      <sz val="12"/>
      <color rgb="FFFF0000"/>
      <name val="Garamond"/>
      <family val="1"/>
      <charset val="238"/>
    </font>
    <font>
      <strike/>
      <sz val="12"/>
      <name val="Garamond"/>
      <family val="1"/>
      <charset val="238"/>
    </font>
    <font>
      <strike/>
      <sz val="10"/>
      <color indexed="8"/>
      <name val="Garamond"/>
      <family val="1"/>
      <charset val="238"/>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7030A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hair">
        <color indexed="64"/>
      </right>
      <top style="thin">
        <color indexed="64"/>
      </top>
      <bottom style="hair">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right style="hair">
        <color indexed="64"/>
      </right>
      <top/>
      <bottom/>
      <diagonal/>
    </border>
    <border>
      <left style="medium">
        <color indexed="64"/>
      </left>
      <right style="medium">
        <color indexed="64"/>
      </right>
      <top style="medium">
        <color indexed="64"/>
      </top>
      <bottom style="medium">
        <color indexed="64"/>
      </bottom>
      <diagonal/>
    </border>
    <border>
      <left style="hair">
        <color indexed="64"/>
      </left>
      <right/>
      <top style="hair">
        <color indexed="64"/>
      </top>
      <bottom/>
      <diagonal/>
    </border>
    <border>
      <left/>
      <right style="hair">
        <color indexed="64"/>
      </right>
      <top/>
      <bottom style="hair">
        <color indexed="64"/>
      </bottom>
      <diagonal/>
    </border>
    <border>
      <left/>
      <right style="hair">
        <color indexed="64"/>
      </right>
      <top style="thin">
        <color indexed="64"/>
      </top>
      <bottom style="thin">
        <color indexed="64"/>
      </bottom>
      <diagonal/>
    </border>
    <border>
      <left style="thin">
        <color indexed="8"/>
      </left>
      <right style="thin">
        <color indexed="64"/>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64"/>
      </bottom>
      <diagonal/>
    </border>
    <border>
      <left/>
      <right/>
      <top style="thin">
        <color indexed="64"/>
      </top>
      <bottom style="hair">
        <color indexed="64"/>
      </bottom>
      <diagonal/>
    </border>
    <border>
      <left style="thin">
        <color indexed="8"/>
      </left>
      <right/>
      <top/>
      <bottom/>
      <diagonal/>
    </border>
    <border>
      <left style="thin">
        <color indexed="64"/>
      </left>
      <right style="thin">
        <color indexed="64"/>
      </right>
      <top style="thin">
        <color indexed="8"/>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style="hair">
        <color indexed="64"/>
      </left>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right style="hair">
        <color indexed="64"/>
      </right>
      <top style="thin">
        <color indexed="64"/>
      </top>
      <bottom/>
      <diagonal/>
    </border>
    <border>
      <left style="thin">
        <color indexed="8"/>
      </left>
      <right style="thin">
        <color indexed="8"/>
      </right>
      <top style="thin">
        <color indexed="64"/>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64"/>
      </right>
      <top style="hair">
        <color indexed="8"/>
      </top>
      <bottom style="hair">
        <color indexed="8"/>
      </bottom>
      <diagonal/>
    </border>
    <border>
      <left style="thin">
        <color indexed="8"/>
      </left>
      <right style="thin">
        <color indexed="8"/>
      </right>
      <top style="hair">
        <color indexed="8"/>
      </top>
      <bottom style="thin">
        <color indexed="64"/>
      </bottom>
      <diagonal/>
    </border>
    <border>
      <left style="thin">
        <color indexed="64"/>
      </left>
      <right style="thin">
        <color indexed="64"/>
      </right>
      <top style="hair">
        <color indexed="64"/>
      </top>
      <bottom style="hair">
        <color indexed="64"/>
      </bottom>
      <diagonal/>
    </border>
    <border>
      <left style="thin">
        <color indexed="8"/>
      </left>
      <right style="thin">
        <color indexed="64"/>
      </right>
      <top style="thin">
        <color indexed="8"/>
      </top>
      <bottom style="hair">
        <color indexed="8"/>
      </bottom>
      <diagonal/>
    </border>
    <border>
      <left style="thin">
        <color indexed="8"/>
      </left>
      <right style="thin">
        <color indexed="64"/>
      </right>
      <top style="hair">
        <color indexed="8"/>
      </top>
      <bottom style="thin">
        <color indexed="8"/>
      </bottom>
      <diagonal/>
    </border>
    <border>
      <left/>
      <right style="hair">
        <color indexed="64"/>
      </right>
      <top style="hair">
        <color indexed="64"/>
      </top>
      <bottom/>
      <diagonal/>
    </border>
    <border>
      <left style="hair">
        <color indexed="64"/>
      </left>
      <right/>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right/>
      <top style="hair">
        <color indexed="64"/>
      </top>
      <bottom style="hair">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8"/>
      </right>
      <top style="thin">
        <color indexed="8"/>
      </top>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n">
        <color indexed="8"/>
      </right>
      <top style="hair">
        <color indexed="8"/>
      </top>
      <bottom style="hair">
        <color indexed="8"/>
      </bottom>
      <diagonal/>
    </border>
    <border>
      <left style="medium">
        <color indexed="64"/>
      </left>
      <right style="thin">
        <color indexed="8"/>
      </right>
      <top style="thin">
        <color indexed="64"/>
      </top>
      <bottom style="double">
        <color indexed="64"/>
      </bottom>
      <diagonal/>
    </border>
    <border>
      <left style="thin">
        <color indexed="8"/>
      </left>
      <right style="thin">
        <color indexed="8"/>
      </right>
      <top style="thin">
        <color indexed="64"/>
      </top>
      <bottom/>
      <diagonal/>
    </border>
    <border>
      <left style="double">
        <color indexed="64"/>
      </left>
      <right style="thin">
        <color indexed="64"/>
      </right>
      <top style="double">
        <color indexed="64"/>
      </top>
      <bottom style="double">
        <color indexed="64"/>
      </bottom>
      <diagonal/>
    </border>
    <border>
      <left/>
      <right/>
      <top style="double">
        <color indexed="64"/>
      </top>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hair">
        <color indexed="64"/>
      </right>
      <top style="hair">
        <color indexed="64"/>
      </top>
      <bottom style="thin">
        <color indexed="64"/>
      </bottom>
      <diagonal/>
    </border>
    <border>
      <left/>
      <right/>
      <top style="thin">
        <color indexed="8"/>
      </top>
      <bottom style="thin">
        <color indexed="8"/>
      </bottom>
      <diagonal/>
    </border>
    <border>
      <left/>
      <right style="hair">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64"/>
      </top>
      <bottom style="thin">
        <color indexed="8"/>
      </bottom>
      <diagonal/>
    </border>
    <border>
      <left style="thin">
        <color indexed="8"/>
      </left>
      <right style="thin">
        <color indexed="64"/>
      </right>
      <top style="thin">
        <color indexed="64"/>
      </top>
      <bottom style="thin">
        <color indexed="64"/>
      </bottom>
      <diagonal/>
    </border>
    <border>
      <left/>
      <right/>
      <top style="thin">
        <color indexed="8"/>
      </top>
      <bottom style="hair">
        <color indexed="64"/>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64"/>
      </top>
      <bottom style="thin">
        <color indexed="8"/>
      </bottom>
      <diagonal/>
    </border>
    <border>
      <left style="thin">
        <color indexed="64"/>
      </left>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8"/>
      </right>
      <top style="thin">
        <color indexed="64"/>
      </top>
      <bottom style="double">
        <color indexed="64"/>
      </bottom>
      <diagonal/>
    </border>
    <border>
      <left style="thin">
        <color indexed="8"/>
      </left>
      <right style="thin">
        <color indexed="64"/>
      </right>
      <top style="thin">
        <color indexed="64"/>
      </top>
      <bottom/>
      <diagonal/>
    </border>
    <border>
      <left style="thin">
        <color indexed="64"/>
      </left>
      <right/>
      <top/>
      <bottom style="double">
        <color indexed="64"/>
      </bottom>
      <diagonal/>
    </border>
    <border>
      <left/>
      <right style="medium">
        <color indexed="64"/>
      </right>
      <top/>
      <bottom/>
      <diagonal/>
    </border>
    <border>
      <left style="thin">
        <color indexed="64"/>
      </left>
      <right/>
      <top style="hair">
        <color indexed="64"/>
      </top>
      <bottom/>
      <diagonal/>
    </border>
    <border>
      <left/>
      <right style="thin">
        <color indexed="8"/>
      </right>
      <top style="thin">
        <color indexed="8"/>
      </top>
      <bottom style="hair">
        <color indexed="8"/>
      </bottom>
      <diagonal/>
    </border>
    <border>
      <left/>
      <right style="thin">
        <color indexed="8"/>
      </right>
      <top style="hair">
        <color indexed="8"/>
      </top>
      <bottom style="hair">
        <color indexed="8"/>
      </bottom>
      <diagonal/>
    </border>
    <border>
      <left/>
      <right style="thin">
        <color indexed="8"/>
      </right>
      <top style="hair">
        <color indexed="8"/>
      </top>
      <bottom style="thin">
        <color indexed="64"/>
      </bottom>
      <diagonal/>
    </border>
    <border>
      <left style="thin">
        <color indexed="8"/>
      </left>
      <right style="thin">
        <color indexed="64"/>
      </right>
      <top style="hair">
        <color indexed="8"/>
      </top>
      <bottom style="thin">
        <color indexed="64"/>
      </bottom>
      <diagonal/>
    </border>
    <border>
      <left style="thin">
        <color indexed="8"/>
      </left>
      <right style="thin">
        <color indexed="64"/>
      </right>
      <top style="thin">
        <color indexed="64"/>
      </top>
      <bottom style="thin">
        <color indexed="8"/>
      </bottom>
      <diagonal/>
    </border>
    <border>
      <left/>
      <right style="thin">
        <color indexed="64"/>
      </right>
      <top style="thin">
        <color indexed="8"/>
      </top>
      <bottom style="thin">
        <color indexed="64"/>
      </bottom>
      <diagonal/>
    </border>
    <border>
      <left/>
      <right style="thin">
        <color indexed="8"/>
      </right>
      <top style="thin">
        <color indexed="64"/>
      </top>
      <bottom style="hair">
        <color indexed="8"/>
      </bottom>
      <diagonal/>
    </border>
    <border>
      <left style="thin">
        <color indexed="8"/>
      </left>
      <right style="thin">
        <color indexed="64"/>
      </right>
      <top style="thin">
        <color indexed="64"/>
      </top>
      <bottom style="hair">
        <color indexed="8"/>
      </bottom>
      <diagonal/>
    </border>
    <border>
      <left/>
      <right style="hair">
        <color indexed="64"/>
      </right>
      <top/>
      <bottom style="thin">
        <color indexed="64"/>
      </bottom>
      <diagonal/>
    </border>
    <border>
      <left style="thin">
        <color indexed="64"/>
      </left>
      <right/>
      <top style="thin">
        <color indexed="64"/>
      </top>
      <bottom style="hair">
        <color indexed="64"/>
      </bottom>
      <diagonal/>
    </border>
    <border>
      <left style="hair">
        <color indexed="64"/>
      </left>
      <right/>
      <top/>
      <bottom style="thin">
        <color indexed="64"/>
      </bottom>
      <diagonal/>
    </border>
    <border>
      <left/>
      <right/>
      <top/>
      <bottom style="hair">
        <color indexed="64"/>
      </bottom>
      <diagonal/>
    </border>
  </borders>
  <cellStyleXfs count="114">
    <xf numFmtId="0" fontId="0" fillId="0" borderId="0"/>
    <xf numFmtId="0" fontId="13" fillId="2" borderId="0" applyNumberFormat="0" applyBorder="0" applyAlignment="0" applyProtection="0"/>
    <xf numFmtId="0" fontId="10" fillId="2" borderId="0" applyNumberFormat="0" applyBorder="0" applyAlignment="0" applyProtection="0"/>
    <xf numFmtId="0" fontId="13" fillId="3" borderId="0" applyNumberFormat="0" applyBorder="0" applyAlignment="0" applyProtection="0"/>
    <xf numFmtId="0" fontId="10" fillId="3" borderId="0" applyNumberFormat="0" applyBorder="0" applyAlignment="0" applyProtection="0"/>
    <xf numFmtId="0" fontId="13" fillId="4" borderId="0" applyNumberFormat="0" applyBorder="0" applyAlignment="0" applyProtection="0"/>
    <xf numFmtId="0" fontId="10" fillId="4" borderId="0" applyNumberFormat="0" applyBorder="0" applyAlignment="0" applyProtection="0"/>
    <xf numFmtId="0" fontId="13" fillId="5" borderId="0" applyNumberFormat="0" applyBorder="0" applyAlignment="0" applyProtection="0"/>
    <xf numFmtId="0" fontId="10" fillId="5" borderId="0" applyNumberFormat="0" applyBorder="0" applyAlignment="0" applyProtection="0"/>
    <xf numFmtId="0" fontId="13" fillId="6" borderId="0" applyNumberFormat="0" applyBorder="0" applyAlignment="0" applyProtection="0"/>
    <xf numFmtId="0" fontId="10" fillId="6" borderId="0" applyNumberFormat="0" applyBorder="0" applyAlignment="0" applyProtection="0"/>
    <xf numFmtId="0" fontId="13" fillId="7" borderId="0" applyNumberFormat="0" applyBorder="0" applyAlignment="0" applyProtection="0"/>
    <xf numFmtId="0" fontId="10" fillId="7" borderId="0" applyNumberFormat="0" applyBorder="0" applyAlignment="0" applyProtection="0"/>
    <xf numFmtId="0" fontId="13" fillId="8" borderId="0" applyNumberFormat="0" applyBorder="0" applyAlignment="0" applyProtection="0"/>
    <xf numFmtId="0" fontId="10" fillId="8" borderId="0" applyNumberFormat="0" applyBorder="0" applyAlignment="0" applyProtection="0"/>
    <xf numFmtId="0" fontId="13" fillId="9" borderId="0" applyNumberFormat="0" applyBorder="0" applyAlignment="0" applyProtection="0"/>
    <xf numFmtId="0" fontId="10" fillId="9" borderId="0" applyNumberFormat="0" applyBorder="0" applyAlignment="0" applyProtection="0"/>
    <xf numFmtId="0" fontId="13" fillId="10" borderId="0" applyNumberFormat="0" applyBorder="0" applyAlignment="0" applyProtection="0"/>
    <xf numFmtId="0" fontId="10" fillId="10" borderId="0" applyNumberFormat="0" applyBorder="0" applyAlignment="0" applyProtection="0"/>
    <xf numFmtId="0" fontId="13" fillId="5" borderId="0" applyNumberFormat="0" applyBorder="0" applyAlignment="0" applyProtection="0"/>
    <xf numFmtId="0" fontId="10" fillId="5" borderId="0" applyNumberFormat="0" applyBorder="0" applyAlignment="0" applyProtection="0"/>
    <xf numFmtId="0" fontId="13" fillId="8" borderId="0" applyNumberFormat="0" applyBorder="0" applyAlignment="0" applyProtection="0"/>
    <xf numFmtId="0" fontId="10" fillId="8" borderId="0" applyNumberFormat="0" applyBorder="0" applyAlignment="0" applyProtection="0"/>
    <xf numFmtId="0" fontId="13" fillId="11" borderId="0" applyNumberFormat="0" applyBorder="0" applyAlignment="0" applyProtection="0"/>
    <xf numFmtId="0" fontId="10"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7" fillId="21" borderId="2" applyNumberFormat="0" applyAlignment="0" applyProtection="0"/>
    <xf numFmtId="0" fontId="18" fillId="0" borderId="0" applyNumberFormat="0" applyFill="0" applyBorder="0" applyAlignment="0" applyProtection="0"/>
    <xf numFmtId="164" fontId="31" fillId="0" borderId="0" applyFont="0" applyFill="0" applyBorder="0" applyAlignment="0" applyProtection="0"/>
    <xf numFmtId="164" fontId="13" fillId="0" borderId="0" applyFont="0" applyFill="0" applyBorder="0" applyAlignment="0" applyProtection="0"/>
    <xf numFmtId="164" fontId="10" fillId="0" borderId="0" applyFont="0" applyFill="0" applyBorder="0" applyAlignment="0" applyProtection="0"/>
    <xf numFmtId="167" fontId="12" fillId="0" borderId="0" applyFill="0" applyAlignment="0" applyProtection="0"/>
    <xf numFmtId="40"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8" fontId="12" fillId="0" borderId="0" applyFill="0" applyBorder="0" applyAlignment="0" applyProtection="0"/>
    <xf numFmtId="164" fontId="44"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1" fillId="0" borderId="0" applyFont="0" applyFill="0" applyBorder="0" applyAlignment="0" applyProtection="0"/>
    <xf numFmtId="0" fontId="19" fillId="4" borderId="0" applyNumberFormat="0" applyBorder="0" applyAlignment="0" applyProtection="0"/>
    <xf numFmtId="0" fontId="20" fillId="0" borderId="3"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3" fillId="7" borderId="1" applyNumberFormat="0" applyAlignment="0" applyProtection="0"/>
    <xf numFmtId="0" fontId="24" fillId="0" borderId="6" applyNumberFormat="0" applyFill="0" applyAlignment="0" applyProtection="0"/>
    <xf numFmtId="0" fontId="25" fillId="23" borderId="0" applyNumberFormat="0" applyBorder="0" applyAlignment="0" applyProtection="0"/>
    <xf numFmtId="0" fontId="12" fillId="0" borderId="0"/>
    <xf numFmtId="0" fontId="11" fillId="0" borderId="0"/>
    <xf numFmtId="0" fontId="86" fillId="0" borderId="0"/>
    <xf numFmtId="0" fontId="31" fillId="0" borderId="0"/>
    <xf numFmtId="0" fontId="13" fillId="0" borderId="0"/>
    <xf numFmtId="0" fontId="86" fillId="0" borderId="0"/>
    <xf numFmtId="0" fontId="86" fillId="0" borderId="0"/>
    <xf numFmtId="0" fontId="86" fillId="0" borderId="0"/>
    <xf numFmtId="0" fontId="12" fillId="0" borderId="0"/>
    <xf numFmtId="0" fontId="31" fillId="0" borderId="0"/>
    <xf numFmtId="0" fontId="44" fillId="0" borderId="0"/>
    <xf numFmtId="0" fontId="11" fillId="0" borderId="0"/>
    <xf numFmtId="0" fontId="87" fillId="0" borderId="0"/>
    <xf numFmtId="0" fontId="58" fillId="0" borderId="0"/>
    <xf numFmtId="0" fontId="11" fillId="0" borderId="0"/>
    <xf numFmtId="0" fontId="26" fillId="22" borderId="7" applyNumberFormat="0" applyFont="0" applyAlignment="0" applyProtection="0"/>
    <xf numFmtId="0" fontId="11" fillId="22" borderId="7" applyNumberFormat="0" applyFont="0" applyAlignment="0" applyProtection="0"/>
    <xf numFmtId="0" fontId="27" fillId="20" borderId="8" applyNumberFormat="0" applyAlignment="0" applyProtection="0"/>
    <xf numFmtId="44" fontId="31"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9" fontId="31" fillId="0" borderId="0" applyFont="0" applyFill="0" applyBorder="0" applyAlignment="0" applyProtection="0"/>
    <xf numFmtId="9" fontId="12" fillId="0" borderId="0" applyFill="0" applyBorder="0" applyAlignment="0" applyProtection="0"/>
    <xf numFmtId="9" fontId="52" fillId="0" borderId="0" applyFont="0" applyFill="0" applyBorder="0" applyAlignment="0" applyProtection="0"/>
    <xf numFmtId="9" fontId="10" fillId="0" borderId="0" applyFont="0" applyFill="0" applyBorder="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0" borderId="0" applyNumberFormat="0" applyFill="0" applyBorder="0" applyAlignment="0" applyProtection="0"/>
    <xf numFmtId="0" fontId="9" fillId="0" borderId="0"/>
    <xf numFmtId="0" fontId="8" fillId="0" borderId="0"/>
    <xf numFmtId="164" fontId="8"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6" fillId="0" borderId="0"/>
    <xf numFmtId="0" fontId="5" fillId="0" borderId="0"/>
    <xf numFmtId="0" fontId="4" fillId="0" borderId="0"/>
    <xf numFmtId="0" fontId="4" fillId="0" borderId="0"/>
    <xf numFmtId="0" fontId="4" fillId="0" borderId="0"/>
    <xf numFmtId="0" fontId="4" fillId="0" borderId="0"/>
    <xf numFmtId="44" fontId="3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4" fillId="0" borderId="0"/>
    <xf numFmtId="0" fontId="4" fillId="0" borderId="0"/>
    <xf numFmtId="0" fontId="3" fillId="0" borderId="0"/>
    <xf numFmtId="0" fontId="2" fillId="0" borderId="0"/>
    <xf numFmtId="0" fontId="1" fillId="0" borderId="0"/>
    <xf numFmtId="44" fontId="1" fillId="0" borderId="0" applyFont="0" applyFill="0" applyBorder="0" applyAlignment="0" applyProtection="0"/>
  </cellStyleXfs>
  <cellXfs count="2243">
    <xf numFmtId="0" fontId="0" fillId="0" borderId="0" xfId="0"/>
    <xf numFmtId="166" fontId="33" fillId="24" borderId="10" xfId="0" applyNumberFormat="1" applyFont="1" applyFill="1" applyBorder="1" applyAlignment="1">
      <alignment vertical="center"/>
    </xf>
    <xf numFmtId="0" fontId="33" fillId="24" borderId="0" xfId="0" applyFont="1" applyFill="1"/>
    <xf numFmtId="0" fontId="34" fillId="24" borderId="0" xfId="0" applyFont="1" applyFill="1"/>
    <xf numFmtId="0" fontId="32" fillId="24" borderId="0" xfId="0" applyFont="1" applyFill="1"/>
    <xf numFmtId="0" fontId="34" fillId="24" borderId="11" xfId="0" applyFont="1" applyFill="1" applyBorder="1"/>
    <xf numFmtId="165" fontId="32" fillId="24" borderId="0" xfId="0" applyNumberFormat="1" applyFont="1" applyFill="1"/>
    <xf numFmtId="168" fontId="32" fillId="24" borderId="10" xfId="41" applyNumberFormat="1" applyFont="1" applyFill="1" applyBorder="1"/>
    <xf numFmtId="168" fontId="33" fillId="24" borderId="10" xfId="41" applyNumberFormat="1" applyFont="1" applyFill="1" applyBorder="1"/>
    <xf numFmtId="165" fontId="33" fillId="24" borderId="10" xfId="0" quotePrefix="1" applyNumberFormat="1" applyFont="1" applyFill="1" applyBorder="1" applyAlignment="1">
      <alignment horizontal="center" vertical="center"/>
    </xf>
    <xf numFmtId="0" fontId="36" fillId="0" borderId="0" xfId="0" applyFont="1"/>
    <xf numFmtId="0" fontId="37" fillId="0" borderId="0" xfId="0" applyFont="1"/>
    <xf numFmtId="0" fontId="35" fillId="0" borderId="0" xfId="0" applyFont="1"/>
    <xf numFmtId="0" fontId="36" fillId="0" borderId="12" xfId="0" applyFont="1" applyBorder="1" applyAlignment="1">
      <alignment horizontal="center" vertical="center"/>
    </xf>
    <xf numFmtId="168" fontId="32" fillId="24" borderId="0" xfId="0" applyNumberFormat="1" applyFont="1" applyFill="1"/>
    <xf numFmtId="168" fontId="36" fillId="0" borderId="0" xfId="0" applyNumberFormat="1" applyFont="1"/>
    <xf numFmtId="166" fontId="41" fillId="24" borderId="10" xfId="0" applyNumberFormat="1" applyFont="1" applyFill="1" applyBorder="1" applyAlignment="1">
      <alignment vertical="center"/>
    </xf>
    <xf numFmtId="0" fontId="41" fillId="24" borderId="0" xfId="0" applyFont="1" applyFill="1"/>
    <xf numFmtId="0" fontId="42" fillId="24" borderId="0" xfId="0" applyFont="1" applyFill="1"/>
    <xf numFmtId="0" fontId="36" fillId="0" borderId="0" xfId="0" applyFont="1" applyAlignment="1">
      <alignment wrapText="1"/>
    </xf>
    <xf numFmtId="168" fontId="32" fillId="24" borderId="0" xfId="41" applyNumberFormat="1" applyFont="1" applyFill="1" applyBorder="1"/>
    <xf numFmtId="0" fontId="36" fillId="24" borderId="0" xfId="0" applyFont="1" applyFill="1"/>
    <xf numFmtId="0" fontId="36" fillId="24" borderId="13" xfId="0" applyFont="1" applyFill="1" applyBorder="1" applyAlignment="1">
      <alignment horizontal="center" vertical="center"/>
    </xf>
    <xf numFmtId="0" fontId="44" fillId="24" borderId="0" xfId="71" applyFill="1"/>
    <xf numFmtId="168" fontId="31" fillId="24" borderId="0" xfId="49" applyNumberFormat="1" applyFont="1" applyFill="1"/>
    <xf numFmtId="168" fontId="46" fillId="24" borderId="10" xfId="49" applyNumberFormat="1" applyFont="1" applyFill="1" applyBorder="1" applyAlignment="1">
      <alignment horizontal="center" vertical="center" wrapText="1"/>
    </xf>
    <xf numFmtId="0" fontId="33" fillId="24" borderId="10" xfId="71" applyFont="1" applyFill="1" applyBorder="1" applyAlignment="1">
      <alignment vertical="center" wrapText="1"/>
    </xf>
    <xf numFmtId="1" fontId="32" fillId="24" borderId="10" xfId="71" applyNumberFormat="1" applyFont="1" applyFill="1" applyBorder="1" applyAlignment="1">
      <alignment horizontal="center" vertical="center"/>
    </xf>
    <xf numFmtId="0" fontId="32" fillId="24" borderId="10" xfId="71" applyFont="1" applyFill="1" applyBorder="1" applyAlignment="1">
      <alignment horizontal="center" vertical="center"/>
    </xf>
    <xf numFmtId="165" fontId="33" fillId="24" borderId="10" xfId="71" quotePrefix="1" applyNumberFormat="1" applyFont="1" applyFill="1" applyBorder="1" applyAlignment="1">
      <alignment horizontal="center" vertical="center"/>
    </xf>
    <xf numFmtId="166" fontId="33" fillId="24" borderId="10" xfId="71" applyNumberFormat="1" applyFont="1" applyFill="1" applyBorder="1" applyAlignment="1">
      <alignment vertical="center"/>
    </xf>
    <xf numFmtId="0" fontId="33" fillId="24" borderId="10" xfId="71" applyFont="1" applyFill="1" applyBorder="1" applyAlignment="1">
      <alignment horizontal="left" vertical="center" wrapText="1"/>
    </xf>
    <xf numFmtId="0" fontId="35" fillId="24" borderId="10" xfId="71" applyFont="1" applyFill="1" applyBorder="1" applyAlignment="1">
      <alignment horizontal="left" vertical="center" wrapText="1"/>
    </xf>
    <xf numFmtId="0" fontId="43" fillId="24" borderId="10" xfId="71" applyFont="1" applyFill="1" applyBorder="1" applyAlignment="1">
      <alignment horizontal="left" vertical="center" wrapText="1"/>
    </xf>
    <xf numFmtId="166" fontId="41" fillId="24" borderId="10" xfId="71" applyNumberFormat="1" applyFont="1" applyFill="1" applyBorder="1" applyAlignment="1">
      <alignment vertical="center"/>
    </xf>
    <xf numFmtId="0" fontId="33" fillId="24" borderId="10" xfId="71" applyFont="1" applyFill="1" applyBorder="1" applyAlignment="1">
      <alignment horizontal="left" vertical="center"/>
    </xf>
    <xf numFmtId="0" fontId="41" fillId="24" borderId="10" xfId="71" applyFont="1" applyFill="1" applyBorder="1" applyAlignment="1">
      <alignment horizontal="left" vertical="center"/>
    </xf>
    <xf numFmtId="0" fontId="33" fillId="24" borderId="10" xfId="71" applyFont="1" applyFill="1" applyBorder="1" applyAlignment="1">
      <alignment horizontal="right" vertical="center"/>
    </xf>
    <xf numFmtId="0" fontId="47" fillId="24" borderId="0" xfId="71" applyFont="1" applyFill="1"/>
    <xf numFmtId="0" fontId="45" fillId="24" borderId="0" xfId="71" applyFont="1" applyFill="1"/>
    <xf numFmtId="0" fontId="36" fillId="0" borderId="14" xfId="0" applyFont="1" applyBorder="1" applyAlignment="1">
      <alignment horizontal="center" vertical="center" wrapText="1"/>
    </xf>
    <xf numFmtId="0" fontId="32" fillId="24" borderId="0" xfId="0" applyFont="1" applyFill="1" applyAlignment="1">
      <alignment horizontal="right"/>
    </xf>
    <xf numFmtId="0" fontId="36" fillId="24" borderId="0" xfId="0" applyFont="1" applyFill="1" applyAlignment="1">
      <alignment horizontal="center"/>
    </xf>
    <xf numFmtId="0" fontId="37" fillId="24" borderId="0" xfId="0" applyFont="1" applyFill="1"/>
    <xf numFmtId="168" fontId="36" fillId="24" borderId="0" xfId="41" applyNumberFormat="1" applyFont="1" applyFill="1"/>
    <xf numFmtId="0" fontId="36" fillId="24" borderId="0" xfId="0" applyFont="1" applyFill="1" applyAlignment="1">
      <alignment horizontal="right"/>
    </xf>
    <xf numFmtId="0" fontId="36" fillId="24" borderId="14" xfId="0" applyFont="1" applyFill="1" applyBorder="1" applyAlignment="1">
      <alignment horizontal="center" vertical="center"/>
    </xf>
    <xf numFmtId="168" fontId="37" fillId="24" borderId="17" xfId="41" applyNumberFormat="1" applyFont="1" applyFill="1" applyBorder="1" applyAlignment="1">
      <alignment horizontal="center" vertical="center" wrapText="1"/>
    </xf>
    <xf numFmtId="168" fontId="37" fillId="24" borderId="18" xfId="41" applyNumberFormat="1" applyFont="1" applyFill="1" applyBorder="1" applyAlignment="1">
      <alignment horizontal="center" vertical="center" wrapText="1"/>
    </xf>
    <xf numFmtId="168" fontId="37" fillId="24" borderId="0" xfId="41" applyNumberFormat="1" applyFont="1" applyFill="1"/>
    <xf numFmtId="0" fontId="36" fillId="24" borderId="19" xfId="0" applyFont="1" applyFill="1" applyBorder="1" applyAlignment="1">
      <alignment horizontal="center" vertical="center"/>
    </xf>
    <xf numFmtId="0" fontId="36" fillId="24" borderId="20" xfId="0" applyFont="1" applyFill="1" applyBorder="1" applyAlignment="1">
      <alignment horizontal="center" vertical="center"/>
    </xf>
    <xf numFmtId="0" fontId="36" fillId="24" borderId="21" xfId="0" applyFont="1" applyFill="1" applyBorder="1" applyAlignment="1">
      <alignment horizontal="center" vertical="center"/>
    </xf>
    <xf numFmtId="168" fontId="39" fillId="24" borderId="0" xfId="41" applyNumberFormat="1" applyFont="1" applyFill="1"/>
    <xf numFmtId="0" fontId="39" fillId="24" borderId="0" xfId="0" applyFont="1" applyFill="1"/>
    <xf numFmtId="0" fontId="33" fillId="24" borderId="10" xfId="0" applyFont="1" applyFill="1" applyBorder="1" applyAlignment="1">
      <alignment horizontal="right" vertical="center"/>
    </xf>
    <xf numFmtId="168" fontId="36" fillId="24" borderId="0" xfId="0" applyNumberFormat="1" applyFont="1" applyFill="1"/>
    <xf numFmtId="0" fontId="36" fillId="24" borderId="22" xfId="0" applyFont="1" applyFill="1" applyBorder="1"/>
    <xf numFmtId="168" fontId="36" fillId="24" borderId="22" xfId="41" applyNumberFormat="1" applyFont="1" applyFill="1" applyBorder="1"/>
    <xf numFmtId="0" fontId="36" fillId="24" borderId="22" xfId="0" applyFont="1" applyFill="1" applyBorder="1" applyAlignment="1">
      <alignment horizontal="center"/>
    </xf>
    <xf numFmtId="0" fontId="36" fillId="24" borderId="23" xfId="0" applyFont="1" applyFill="1" applyBorder="1" applyAlignment="1">
      <alignment horizontal="center"/>
    </xf>
    <xf numFmtId="168" fontId="36" fillId="24" borderId="0" xfId="41" applyNumberFormat="1" applyFont="1" applyFill="1" applyBorder="1"/>
    <xf numFmtId="0" fontId="36" fillId="24" borderId="24" xfId="0" applyFont="1" applyFill="1" applyBorder="1" applyAlignment="1">
      <alignment horizontal="center"/>
    </xf>
    <xf numFmtId="0" fontId="36" fillId="0" borderId="25" xfId="0" applyFont="1" applyBorder="1" applyAlignment="1">
      <alignment horizontal="center" vertical="center"/>
    </xf>
    <xf numFmtId="0" fontId="36" fillId="0" borderId="20" xfId="0" applyFont="1" applyBorder="1" applyAlignment="1">
      <alignment horizontal="center" vertical="center"/>
    </xf>
    <xf numFmtId="0" fontId="36" fillId="24" borderId="26" xfId="0" applyFont="1" applyFill="1" applyBorder="1" applyAlignment="1">
      <alignment horizontal="center"/>
    </xf>
    <xf numFmtId="0" fontId="36" fillId="24" borderId="0" xfId="0" applyFont="1" applyFill="1" applyAlignment="1">
      <alignment horizontal="left" vertical="center" wrapText="1"/>
    </xf>
    <xf numFmtId="0" fontId="36" fillId="24" borderId="0" xfId="0" applyFont="1" applyFill="1" applyAlignment="1">
      <alignment horizontal="center" vertical="center" wrapText="1"/>
    </xf>
    <xf numFmtId="165" fontId="33" fillId="24" borderId="27" xfId="71" quotePrefix="1" applyNumberFormat="1" applyFont="1" applyFill="1" applyBorder="1" applyAlignment="1">
      <alignment horizontal="center" vertical="center"/>
    </xf>
    <xf numFmtId="0" fontId="36" fillId="24" borderId="28" xfId="0" applyFont="1" applyFill="1" applyBorder="1" applyAlignment="1">
      <alignment horizontal="center"/>
    </xf>
    <xf numFmtId="49" fontId="32" fillId="0" borderId="10" xfId="0" applyNumberFormat="1" applyFont="1" applyBorder="1" applyAlignment="1">
      <alignment horizontal="center" vertical="center" wrapText="1"/>
    </xf>
    <xf numFmtId="0" fontId="36" fillId="0" borderId="13" xfId="0" applyFont="1" applyBorder="1" applyAlignment="1">
      <alignment horizontal="left" vertical="center" wrapText="1"/>
    </xf>
    <xf numFmtId="168" fontId="37" fillId="24" borderId="17" xfId="41" applyNumberFormat="1" applyFont="1" applyFill="1" applyBorder="1" applyAlignment="1">
      <alignment vertical="center"/>
    </xf>
    <xf numFmtId="168" fontId="36" fillId="24" borderId="19" xfId="41" applyNumberFormat="1" applyFont="1" applyFill="1" applyBorder="1" applyAlignment="1">
      <alignment horizontal="center" vertical="center"/>
    </xf>
    <xf numFmtId="0" fontId="36" fillId="0" borderId="19" xfId="0" applyFont="1" applyBorder="1" applyAlignment="1">
      <alignment horizontal="left" vertical="center" wrapText="1"/>
    </xf>
    <xf numFmtId="0" fontId="36" fillId="0" borderId="19" xfId="0" applyFont="1" applyBorder="1" applyAlignment="1">
      <alignment vertical="center" wrapText="1"/>
    </xf>
    <xf numFmtId="168" fontId="36" fillId="0" borderId="30" xfId="41" applyNumberFormat="1" applyFont="1" applyFill="1" applyBorder="1" applyAlignment="1">
      <alignment horizontal="center" vertical="center"/>
    </xf>
    <xf numFmtId="168" fontId="36" fillId="0" borderId="31" xfId="41" applyNumberFormat="1" applyFont="1" applyFill="1" applyBorder="1" applyAlignment="1">
      <alignment horizontal="center" vertical="center"/>
    </xf>
    <xf numFmtId="168" fontId="36" fillId="0" borderId="32" xfId="41" applyNumberFormat="1" applyFont="1" applyFill="1" applyBorder="1" applyAlignment="1">
      <alignment horizontal="center" vertical="center"/>
    </xf>
    <xf numFmtId="0" fontId="36" fillId="24" borderId="25" xfId="0" applyFont="1" applyFill="1" applyBorder="1" applyAlignment="1">
      <alignment horizontal="center" vertical="center"/>
    </xf>
    <xf numFmtId="168" fontId="36" fillId="0" borderId="32" xfId="41" applyNumberFormat="1" applyFont="1" applyFill="1" applyBorder="1" applyAlignment="1">
      <alignment horizontal="center" vertical="center" wrapText="1"/>
    </xf>
    <xf numFmtId="0" fontId="36" fillId="24" borderId="32" xfId="0" applyFont="1" applyFill="1" applyBorder="1" applyAlignment="1">
      <alignment horizontal="center" vertical="center"/>
    </xf>
    <xf numFmtId="168" fontId="36" fillId="24" borderId="14" xfId="41" applyNumberFormat="1" applyFont="1" applyFill="1" applyBorder="1" applyAlignment="1">
      <alignment horizontal="center" vertical="center"/>
    </xf>
    <xf numFmtId="0" fontId="36" fillId="0" borderId="19" xfId="0" applyFont="1" applyBorder="1" applyAlignment="1">
      <alignment vertical="center"/>
    </xf>
    <xf numFmtId="0" fontId="36" fillId="0" borderId="16" xfId="0" applyFont="1" applyBorder="1" applyAlignment="1">
      <alignment vertical="center"/>
    </xf>
    <xf numFmtId="0" fontId="36" fillId="0" borderId="14" xfId="0" applyFont="1" applyBorder="1" applyAlignment="1">
      <alignment vertical="center"/>
    </xf>
    <xf numFmtId="168" fontId="36" fillId="0" borderId="14" xfId="41" applyNumberFormat="1" applyFont="1" applyBorder="1" applyAlignment="1">
      <alignment vertical="center"/>
    </xf>
    <xf numFmtId="168" fontId="36" fillId="0" borderId="19" xfId="41" applyNumberFormat="1" applyFont="1" applyBorder="1" applyAlignment="1">
      <alignment vertical="center"/>
    </xf>
    <xf numFmtId="168" fontId="36" fillId="0" borderId="16" xfId="41" applyNumberFormat="1" applyFont="1" applyBorder="1" applyAlignment="1">
      <alignment vertical="center"/>
    </xf>
    <xf numFmtId="0" fontId="36" fillId="0" borderId="35" xfId="0" applyFont="1" applyBorder="1" applyAlignment="1">
      <alignment horizontal="center" vertical="center"/>
    </xf>
    <xf numFmtId="0" fontId="36" fillId="0" borderId="32" xfId="0" applyFont="1" applyBorder="1" applyAlignment="1">
      <alignment horizontal="center" vertical="center"/>
    </xf>
    <xf numFmtId="168" fontId="35" fillId="0" borderId="10" xfId="41" applyNumberFormat="1" applyFont="1" applyBorder="1" applyAlignment="1">
      <alignment vertical="center"/>
    </xf>
    <xf numFmtId="0" fontId="35" fillId="0" borderId="10" xfId="0" applyFont="1" applyBorder="1" applyAlignment="1">
      <alignment vertical="center"/>
    </xf>
    <xf numFmtId="168" fontId="36" fillId="24" borderId="29" xfId="41" applyNumberFormat="1" applyFont="1" applyFill="1" applyBorder="1" applyAlignment="1">
      <alignment vertical="center"/>
    </xf>
    <xf numFmtId="168" fontId="44" fillId="24" borderId="0" xfId="71" applyNumberFormat="1" applyFill="1"/>
    <xf numFmtId="168" fontId="45" fillId="24" borderId="0" xfId="71" applyNumberFormat="1" applyFont="1" applyFill="1"/>
    <xf numFmtId="0" fontId="36" fillId="24" borderId="0" xfId="0" applyFont="1" applyFill="1" applyAlignment="1">
      <alignment horizontal="center" vertical="center"/>
    </xf>
    <xf numFmtId="0" fontId="35" fillId="24" borderId="10" xfId="0" applyFont="1" applyFill="1" applyBorder="1" applyAlignment="1">
      <alignment horizontal="center" vertical="center"/>
    </xf>
    <xf numFmtId="0" fontId="33" fillId="24" borderId="10" xfId="0" applyFont="1" applyFill="1" applyBorder="1" applyAlignment="1">
      <alignment vertical="center" wrapText="1"/>
    </xf>
    <xf numFmtId="1" fontId="32" fillId="24" borderId="10" xfId="0" applyNumberFormat="1" applyFont="1" applyFill="1" applyBorder="1" applyAlignment="1">
      <alignment horizontal="center" vertical="center"/>
    </xf>
    <xf numFmtId="0" fontId="32" fillId="24" borderId="10" xfId="0" applyFont="1" applyFill="1" applyBorder="1" applyAlignment="1">
      <alignment horizontal="center" vertical="center"/>
    </xf>
    <xf numFmtId="0" fontId="33" fillId="24" borderId="10" xfId="0" applyFont="1" applyFill="1" applyBorder="1" applyAlignment="1">
      <alignment horizontal="left" vertical="center" wrapText="1"/>
    </xf>
    <xf numFmtId="0" fontId="35" fillId="24" borderId="10" xfId="0" applyFont="1" applyFill="1" applyBorder="1" applyAlignment="1">
      <alignment horizontal="left" vertical="center" wrapText="1"/>
    </xf>
    <xf numFmtId="0" fontId="43" fillId="24" borderId="10" xfId="0" applyFont="1" applyFill="1" applyBorder="1" applyAlignment="1">
      <alignment horizontal="left" vertical="center" wrapText="1"/>
    </xf>
    <xf numFmtId="0" fontId="33" fillId="24" borderId="10" xfId="0" applyFont="1" applyFill="1" applyBorder="1" applyAlignment="1">
      <alignment horizontal="left" vertical="center"/>
    </xf>
    <xf numFmtId="0" fontId="41" fillId="24" borderId="10" xfId="0" applyFont="1" applyFill="1" applyBorder="1" applyAlignment="1">
      <alignment horizontal="left" vertical="center"/>
    </xf>
    <xf numFmtId="168" fontId="37" fillId="0" borderId="18" xfId="41" applyNumberFormat="1" applyFont="1" applyFill="1" applyBorder="1" applyAlignment="1">
      <alignment horizontal="center" vertical="center"/>
    </xf>
    <xf numFmtId="168" fontId="36" fillId="0" borderId="13" xfId="41" applyNumberFormat="1" applyFont="1" applyFill="1" applyBorder="1" applyAlignment="1">
      <alignment horizontal="center" vertical="center"/>
    </xf>
    <xf numFmtId="168" fontId="36" fillId="0" borderId="13" xfId="41" applyNumberFormat="1" applyFont="1" applyFill="1" applyBorder="1" applyAlignment="1">
      <alignment vertical="center"/>
    </xf>
    <xf numFmtId="0" fontId="37" fillId="24" borderId="36" xfId="0" applyFont="1" applyFill="1" applyBorder="1" applyAlignment="1">
      <alignment vertical="center"/>
    </xf>
    <xf numFmtId="168" fontId="40" fillId="24" borderId="10" xfId="41" applyNumberFormat="1" applyFont="1" applyFill="1" applyBorder="1" applyAlignment="1">
      <alignment horizontal="center" vertical="center"/>
    </xf>
    <xf numFmtId="168" fontId="35" fillId="24" borderId="17" xfId="41" applyNumberFormat="1" applyFont="1" applyFill="1" applyBorder="1" applyAlignment="1">
      <alignment vertical="center"/>
    </xf>
    <xf numFmtId="0" fontId="34" fillId="24" borderId="17" xfId="0" applyFont="1" applyFill="1" applyBorder="1" applyAlignment="1">
      <alignment vertical="center"/>
    </xf>
    <xf numFmtId="0" fontId="34" fillId="24" borderId="18" xfId="0" applyFont="1" applyFill="1" applyBorder="1" applyAlignment="1">
      <alignment vertical="center"/>
    </xf>
    <xf numFmtId="0" fontId="36" fillId="24" borderId="0" xfId="0" applyFont="1" applyFill="1" applyAlignment="1">
      <alignment vertical="center"/>
    </xf>
    <xf numFmtId="168" fontId="36" fillId="24" borderId="0" xfId="41" applyNumberFormat="1" applyFont="1" applyFill="1" applyAlignment="1">
      <alignment vertical="center"/>
    </xf>
    <xf numFmtId="168" fontId="37" fillId="24" borderId="37" xfId="0" applyNumberFormat="1" applyFont="1" applyFill="1" applyBorder="1" applyAlignment="1">
      <alignment vertical="center"/>
    </xf>
    <xf numFmtId="0" fontId="37" fillId="24" borderId="37" xfId="0" applyFont="1" applyFill="1" applyBorder="1" applyAlignment="1">
      <alignment vertical="center"/>
    </xf>
    <xf numFmtId="0" fontId="37" fillId="24" borderId="38" xfId="0" applyFont="1" applyFill="1" applyBorder="1" applyAlignment="1">
      <alignment vertical="center"/>
    </xf>
    <xf numFmtId="168" fontId="37" fillId="24" borderId="22" xfId="0" applyNumberFormat="1" applyFont="1" applyFill="1" applyBorder="1" applyAlignment="1">
      <alignment vertical="center"/>
    </xf>
    <xf numFmtId="0" fontId="37" fillId="24" borderId="22" xfId="0" applyFont="1" applyFill="1" applyBorder="1" applyAlignment="1">
      <alignment vertical="center"/>
    </xf>
    <xf numFmtId="0" fontId="37" fillId="24" borderId="23" xfId="0" applyFont="1" applyFill="1" applyBorder="1" applyAlignment="1">
      <alignment vertical="center"/>
    </xf>
    <xf numFmtId="0" fontId="37" fillId="0" borderId="0" xfId="0" applyFont="1" applyAlignment="1">
      <alignment horizontal="center" vertical="center"/>
    </xf>
    <xf numFmtId="168" fontId="36" fillId="0" borderId="0" xfId="0" applyNumberFormat="1" applyFont="1" applyAlignment="1">
      <alignment horizontal="center" vertical="center"/>
    </xf>
    <xf numFmtId="168" fontId="37" fillId="0" borderId="0" xfId="0" applyNumberFormat="1" applyFont="1" applyAlignment="1">
      <alignment horizontal="center" vertical="center"/>
    </xf>
    <xf numFmtId="168" fontId="36" fillId="0" borderId="19" xfId="41" applyNumberFormat="1" applyFont="1" applyFill="1" applyBorder="1" applyAlignment="1">
      <alignment horizontal="center" vertical="center"/>
    </xf>
    <xf numFmtId="168" fontId="36" fillId="0" borderId="40" xfId="41" applyNumberFormat="1" applyFont="1" applyFill="1" applyBorder="1" applyAlignment="1">
      <alignment horizontal="center" vertical="center"/>
    </xf>
    <xf numFmtId="49" fontId="36" fillId="0" borderId="19" xfId="0" applyNumberFormat="1" applyFont="1" applyBorder="1" applyAlignment="1">
      <alignment horizontal="center" vertical="center"/>
    </xf>
    <xf numFmtId="0" fontId="36" fillId="0" borderId="19" xfId="0" applyFont="1" applyBorder="1" applyAlignment="1">
      <alignment horizontal="center" vertical="center"/>
    </xf>
    <xf numFmtId="0" fontId="55" fillId="0" borderId="0" xfId="0" applyFont="1"/>
    <xf numFmtId="0" fontId="36" fillId="0" borderId="0" xfId="0" applyFont="1" applyAlignment="1">
      <alignment vertical="center"/>
    </xf>
    <xf numFmtId="0" fontId="37" fillId="0" borderId="17" xfId="0" applyFont="1" applyBorder="1" applyAlignment="1">
      <alignment horizontal="center" vertical="center" wrapText="1"/>
    </xf>
    <xf numFmtId="168" fontId="37" fillId="0" borderId="17" xfId="41" applyNumberFormat="1" applyFont="1" applyFill="1" applyBorder="1" applyAlignment="1">
      <alignment horizontal="center" vertical="center" wrapText="1"/>
    </xf>
    <xf numFmtId="168" fontId="36" fillId="0" borderId="18" xfId="41" applyNumberFormat="1" applyFont="1" applyFill="1" applyBorder="1" applyAlignment="1">
      <alignment horizontal="center" vertical="center" wrapText="1"/>
    </xf>
    <xf numFmtId="0" fontId="11" fillId="24" borderId="0" xfId="71" applyFont="1" applyFill="1"/>
    <xf numFmtId="0" fontId="48" fillId="0" borderId="10" xfId="0" applyFont="1" applyBorder="1" applyAlignment="1">
      <alignment horizontal="center" vertical="center" wrapText="1"/>
    </xf>
    <xf numFmtId="0" fontId="49" fillId="0" borderId="10" xfId="0" applyFont="1" applyBorder="1" applyAlignment="1">
      <alignment horizontal="center" vertical="center" wrapText="1"/>
    </xf>
    <xf numFmtId="0" fontId="48" fillId="0" borderId="0" xfId="0" applyFont="1"/>
    <xf numFmtId="0" fontId="49" fillId="0" borderId="0" xfId="0" applyFont="1"/>
    <xf numFmtId="168" fontId="37" fillId="0" borderId="0" xfId="0" applyNumberFormat="1" applyFont="1"/>
    <xf numFmtId="168" fontId="37" fillId="24" borderId="17" xfId="0" applyNumberFormat="1" applyFont="1" applyFill="1" applyBorder="1" applyAlignment="1">
      <alignment vertical="center"/>
    </xf>
    <xf numFmtId="168" fontId="36" fillId="0" borderId="19" xfId="41" applyNumberFormat="1" applyFont="1" applyFill="1" applyBorder="1" applyAlignment="1">
      <alignment vertical="center"/>
    </xf>
    <xf numFmtId="168" fontId="36" fillId="0" borderId="13" xfId="41" applyNumberFormat="1" applyFont="1" applyFill="1" applyBorder="1"/>
    <xf numFmtId="0" fontId="44" fillId="24" borderId="0" xfId="71" applyFill="1" applyAlignment="1">
      <alignment vertical="center"/>
    </xf>
    <xf numFmtId="0" fontId="33" fillId="24" borderId="10" xfId="71" applyFont="1" applyFill="1" applyBorder="1" applyAlignment="1">
      <alignment horizontal="center" vertical="center" wrapText="1"/>
    </xf>
    <xf numFmtId="0" fontId="44" fillId="24" borderId="0" xfId="71" applyFill="1" applyAlignment="1">
      <alignment horizontal="left" vertical="center"/>
    </xf>
    <xf numFmtId="166" fontId="33" fillId="24" borderId="10" xfId="71" applyNumberFormat="1" applyFont="1" applyFill="1" applyBorder="1" applyAlignment="1">
      <alignment horizontal="left" vertical="center"/>
    </xf>
    <xf numFmtId="166" fontId="41" fillId="24" borderId="10" xfId="71" applyNumberFormat="1" applyFont="1" applyFill="1" applyBorder="1" applyAlignment="1">
      <alignment horizontal="left" vertical="center"/>
    </xf>
    <xf numFmtId="0" fontId="36" fillId="0" borderId="41" xfId="0" applyFont="1" applyBorder="1" applyAlignment="1">
      <alignment horizontal="center" vertical="center"/>
    </xf>
    <xf numFmtId="0" fontId="36" fillId="0" borderId="13" xfId="0" applyFont="1" applyBorder="1" applyAlignment="1">
      <alignment vertical="center"/>
    </xf>
    <xf numFmtId="0" fontId="36" fillId="0" borderId="13" xfId="0" applyFont="1" applyBorder="1" applyAlignment="1">
      <alignment horizontal="center" vertical="center"/>
    </xf>
    <xf numFmtId="0" fontId="36" fillId="0" borderId="19" xfId="0" quotePrefix="1" applyFont="1" applyBorder="1" applyAlignment="1">
      <alignment horizontal="center" vertical="center"/>
    </xf>
    <xf numFmtId="0" fontId="36" fillId="0" borderId="40" xfId="0" quotePrefix="1" applyFont="1" applyBorder="1" applyAlignment="1">
      <alignment horizontal="center" vertical="center"/>
    </xf>
    <xf numFmtId="0" fontId="36" fillId="0" borderId="40" xfId="0" applyFont="1" applyBorder="1" applyAlignment="1">
      <alignment vertical="center"/>
    </xf>
    <xf numFmtId="168" fontId="36" fillId="0" borderId="40" xfId="41" applyNumberFormat="1" applyFont="1" applyFill="1" applyBorder="1" applyAlignment="1">
      <alignment vertical="center"/>
    </xf>
    <xf numFmtId="168" fontId="36" fillId="0" borderId="13" xfId="41" applyNumberFormat="1" applyFont="1" applyFill="1" applyBorder="1" applyAlignment="1">
      <alignment horizontal="center" vertical="center" wrapText="1"/>
    </xf>
    <xf numFmtId="168" fontId="36" fillId="0" borderId="19" xfId="41" applyNumberFormat="1" applyFont="1" applyFill="1" applyBorder="1" applyAlignment="1">
      <alignment horizontal="center" vertical="center" wrapText="1"/>
    </xf>
    <xf numFmtId="0" fontId="36" fillId="0" borderId="44" xfId="0" quotePrefix="1" applyFont="1" applyBorder="1" applyAlignment="1">
      <alignment horizontal="center" vertical="center"/>
    </xf>
    <xf numFmtId="168" fontId="36" fillId="0" borderId="45" xfId="41" applyNumberFormat="1" applyFont="1" applyFill="1" applyBorder="1" applyAlignment="1">
      <alignment horizontal="center" vertical="center" wrapText="1"/>
    </xf>
    <xf numFmtId="49" fontId="36" fillId="0" borderId="13" xfId="0" applyNumberFormat="1" applyFont="1" applyBorder="1" applyAlignment="1">
      <alignment horizontal="center" vertical="center"/>
    </xf>
    <xf numFmtId="0" fontId="36" fillId="0" borderId="13" xfId="0" applyFont="1" applyBorder="1"/>
    <xf numFmtId="0" fontId="36" fillId="0" borderId="19" xfId="0" applyFont="1" applyBorder="1"/>
    <xf numFmtId="49" fontId="36" fillId="0" borderId="13" xfId="0" quotePrefix="1" applyNumberFormat="1" applyFont="1" applyBorder="1" applyAlignment="1">
      <alignment vertical="center"/>
    </xf>
    <xf numFmtId="49" fontId="36" fillId="0" borderId="19" xfId="0" quotePrefix="1" applyNumberFormat="1" applyFont="1" applyBorder="1" applyAlignment="1">
      <alignment vertical="center"/>
    </xf>
    <xf numFmtId="0" fontId="36" fillId="0" borderId="46" xfId="0" applyFont="1" applyBorder="1" applyAlignment="1">
      <alignment horizontal="center" vertical="center"/>
    </xf>
    <xf numFmtId="0" fontId="36" fillId="0" borderId="16" xfId="0" quotePrefix="1" applyFont="1" applyBorder="1" applyAlignment="1">
      <alignment vertical="center"/>
    </xf>
    <xf numFmtId="0" fontId="36" fillId="0" borderId="16" xfId="0" applyFont="1" applyBorder="1"/>
    <xf numFmtId="168" fontId="36" fillId="0" borderId="16" xfId="41" applyNumberFormat="1" applyFont="1" applyFill="1" applyBorder="1" applyAlignment="1">
      <alignment vertical="center"/>
    </xf>
    <xf numFmtId="49" fontId="36" fillId="0" borderId="40" xfId="0" quotePrefix="1" applyNumberFormat="1" applyFont="1" applyBorder="1" applyAlignment="1">
      <alignment horizontal="center" vertical="center"/>
    </xf>
    <xf numFmtId="0" fontId="36" fillId="0" borderId="40" xfId="0" applyFont="1" applyBorder="1" applyAlignment="1">
      <alignment horizontal="left" vertical="center" wrapText="1"/>
    </xf>
    <xf numFmtId="0" fontId="36" fillId="0" borderId="16" xfId="0" applyFont="1" applyBorder="1" applyAlignment="1">
      <alignment horizontal="left" vertical="center" wrapText="1"/>
    </xf>
    <xf numFmtId="0" fontId="36" fillId="0" borderId="30" xfId="0" applyFont="1" applyBorder="1" applyAlignment="1">
      <alignment horizontal="center" vertical="center"/>
    </xf>
    <xf numFmtId="168" fontId="36" fillId="0" borderId="16" xfId="41" applyNumberFormat="1" applyFont="1" applyFill="1" applyBorder="1" applyAlignment="1">
      <alignment horizontal="center" vertical="center"/>
    </xf>
    <xf numFmtId="0" fontId="36" fillId="0" borderId="16" xfId="0" applyFont="1" applyBorder="1" applyAlignment="1">
      <alignment horizontal="center" vertical="center"/>
    </xf>
    <xf numFmtId="0" fontId="36" fillId="0" borderId="19" xfId="0" applyFont="1" applyBorder="1" applyAlignment="1">
      <alignment horizontal="center" vertical="center" wrapText="1"/>
    </xf>
    <xf numFmtId="168" fontId="36" fillId="0" borderId="17" xfId="41" applyNumberFormat="1" applyFont="1" applyFill="1" applyBorder="1" applyAlignment="1">
      <alignment vertical="center"/>
    </xf>
    <xf numFmtId="0" fontId="36" fillId="0" borderId="16" xfId="0" applyFont="1" applyBorder="1" applyAlignment="1">
      <alignment horizontal="center" vertical="center" wrapText="1"/>
    </xf>
    <xf numFmtId="0" fontId="36" fillId="0" borderId="14" xfId="0" quotePrefix="1" applyFont="1" applyBorder="1" applyAlignment="1">
      <alignment horizontal="center" vertical="center"/>
    </xf>
    <xf numFmtId="0" fontId="36" fillId="0" borderId="13" xfId="0" quotePrefix="1" applyFont="1" applyBorder="1" applyAlignment="1">
      <alignment horizontal="center" vertical="center"/>
    </xf>
    <xf numFmtId="168" fontId="32" fillId="24" borderId="27" xfId="0" applyNumberFormat="1" applyFont="1" applyFill="1" applyBorder="1"/>
    <xf numFmtId="0" fontId="36" fillId="0" borderId="31" xfId="0" applyFont="1" applyBorder="1" applyAlignment="1">
      <alignment horizontal="center" vertical="center"/>
    </xf>
    <xf numFmtId="0" fontId="36" fillId="24" borderId="22" xfId="0" applyFont="1" applyFill="1" applyBorder="1" applyAlignment="1">
      <alignment vertical="center"/>
    </xf>
    <xf numFmtId="0" fontId="36" fillId="24" borderId="23" xfId="0" applyFont="1" applyFill="1" applyBorder="1" applyAlignment="1">
      <alignment horizontal="right" vertical="center"/>
    </xf>
    <xf numFmtId="0" fontId="36" fillId="24" borderId="36" xfId="0" applyFont="1" applyFill="1" applyBorder="1" applyAlignment="1">
      <alignment vertical="center"/>
    </xf>
    <xf numFmtId="49" fontId="48" fillId="0" borderId="10" xfId="0" applyNumberFormat="1" applyFont="1" applyBorder="1" applyAlignment="1">
      <alignment horizontal="center" vertical="center"/>
    </xf>
    <xf numFmtId="0" fontId="49" fillId="25" borderId="10" xfId="0" applyFont="1" applyFill="1" applyBorder="1" applyAlignment="1">
      <alignment vertical="center" wrapText="1"/>
    </xf>
    <xf numFmtId="49" fontId="49" fillId="25" borderId="10" xfId="0" applyNumberFormat="1" applyFont="1" applyFill="1" applyBorder="1" applyAlignment="1">
      <alignment vertical="center"/>
    </xf>
    <xf numFmtId="0" fontId="49" fillId="25" borderId="10" xfId="0" applyFont="1" applyFill="1" applyBorder="1" applyAlignment="1">
      <alignment horizontal="center" vertical="center"/>
    </xf>
    <xf numFmtId="0" fontId="48" fillId="0" borderId="10" xfId="0" applyFont="1" applyBorder="1" applyAlignment="1">
      <alignment vertical="center" wrapText="1"/>
    </xf>
    <xf numFmtId="0" fontId="48" fillId="0" borderId="10" xfId="0" applyFont="1" applyBorder="1" applyAlignment="1">
      <alignment horizontal="center" vertical="center"/>
    </xf>
    <xf numFmtId="49" fontId="48" fillId="0" borderId="10" xfId="0" quotePrefix="1" applyNumberFormat="1" applyFont="1" applyBorder="1" applyAlignment="1">
      <alignment horizontal="center" vertical="center"/>
    </xf>
    <xf numFmtId="49" fontId="48" fillId="25" borderId="10" xfId="0" applyNumberFormat="1" applyFont="1" applyFill="1" applyBorder="1" applyAlignment="1">
      <alignment horizontal="center" vertical="center"/>
    </xf>
    <xf numFmtId="49" fontId="49" fillId="25" borderId="10" xfId="0" applyNumberFormat="1" applyFont="1" applyFill="1" applyBorder="1" applyAlignment="1">
      <alignment horizontal="center" vertical="center"/>
    </xf>
    <xf numFmtId="0" fontId="55" fillId="0" borderId="10" xfId="0" applyFont="1" applyBorder="1" applyAlignment="1">
      <alignment horizontal="center" vertical="center"/>
    </xf>
    <xf numFmtId="168" fontId="36" fillId="0" borderId="12" xfId="41" applyNumberFormat="1" applyFont="1" applyFill="1" applyBorder="1" applyAlignment="1">
      <alignment horizontal="center" vertical="center"/>
    </xf>
    <xf numFmtId="0" fontId="34" fillId="24" borderId="0" xfId="71" applyFont="1" applyFill="1"/>
    <xf numFmtId="0" fontId="34" fillId="24" borderId="0" xfId="71" applyFont="1" applyFill="1" applyAlignment="1">
      <alignment horizontal="left" vertical="center"/>
    </xf>
    <xf numFmtId="168" fontId="34" fillId="24" borderId="0" xfId="49" applyNumberFormat="1" applyFont="1" applyFill="1"/>
    <xf numFmtId="168" fontId="34" fillId="24" borderId="0" xfId="49" applyNumberFormat="1" applyFont="1" applyFill="1" applyAlignment="1">
      <alignment horizontal="right"/>
    </xf>
    <xf numFmtId="168" fontId="34" fillId="24" borderId="10" xfId="49" applyNumberFormat="1" applyFont="1" applyFill="1" applyBorder="1" applyAlignment="1">
      <alignment horizontal="center" vertical="center" wrapText="1"/>
    </xf>
    <xf numFmtId="168" fontId="34" fillId="24" borderId="10" xfId="49" quotePrefix="1" applyNumberFormat="1" applyFont="1" applyFill="1" applyBorder="1" applyAlignment="1">
      <alignment horizontal="center" vertical="center" wrapText="1"/>
    </xf>
    <xf numFmtId="168" fontId="34" fillId="24" borderId="10" xfId="49" applyNumberFormat="1" applyFont="1" applyFill="1" applyBorder="1"/>
    <xf numFmtId="168" fontId="35" fillId="24" borderId="10" xfId="49" applyNumberFormat="1" applyFont="1" applyFill="1" applyBorder="1"/>
    <xf numFmtId="168" fontId="34" fillId="0" borderId="10" xfId="49" applyNumberFormat="1" applyFont="1" applyFill="1" applyBorder="1"/>
    <xf numFmtId="0" fontId="34" fillId="24" borderId="10" xfId="71" applyFont="1" applyFill="1" applyBorder="1" applyAlignment="1">
      <alignment horizontal="left" vertical="center"/>
    </xf>
    <xf numFmtId="0" fontId="34" fillId="24" borderId="0" xfId="71" applyFont="1" applyFill="1" applyAlignment="1">
      <alignment vertical="center"/>
    </xf>
    <xf numFmtId="0" fontId="34" fillId="24" borderId="10" xfId="71" applyFont="1" applyFill="1" applyBorder="1" applyAlignment="1">
      <alignment vertical="center"/>
    </xf>
    <xf numFmtId="0" fontId="34" fillId="24" borderId="10" xfId="71" applyFont="1" applyFill="1" applyBorder="1"/>
    <xf numFmtId="0" fontId="34" fillId="24" borderId="0" xfId="71" applyFont="1" applyFill="1" applyAlignment="1">
      <alignment horizontal="center"/>
    </xf>
    <xf numFmtId="168" fontId="32" fillId="0" borderId="10" xfId="49" applyNumberFormat="1" applyFont="1" applyFill="1" applyBorder="1" applyAlignment="1">
      <alignment horizontal="center" vertical="center" wrapText="1"/>
    </xf>
    <xf numFmtId="168" fontId="34" fillId="24" borderId="10" xfId="50" applyNumberFormat="1" applyFont="1" applyFill="1" applyBorder="1" applyAlignment="1">
      <alignment vertical="center"/>
    </xf>
    <xf numFmtId="0" fontId="11" fillId="24" borderId="10" xfId="72" applyFill="1" applyBorder="1" applyAlignment="1">
      <alignment vertical="center"/>
    </xf>
    <xf numFmtId="165" fontId="33" fillId="24" borderId="10" xfId="72" quotePrefix="1" applyNumberFormat="1" applyFont="1" applyFill="1" applyBorder="1" applyAlignment="1">
      <alignment horizontal="center" vertical="center"/>
    </xf>
    <xf numFmtId="168" fontId="35" fillId="24" borderId="10" xfId="50" applyNumberFormat="1" applyFont="1" applyFill="1" applyBorder="1" applyAlignment="1">
      <alignment vertical="center"/>
    </xf>
    <xf numFmtId="166" fontId="33" fillId="24" borderId="10" xfId="72" applyNumberFormat="1" applyFont="1" applyFill="1" applyBorder="1" applyAlignment="1">
      <alignment vertical="center"/>
    </xf>
    <xf numFmtId="0" fontId="33" fillId="24" borderId="10" xfId="72" applyFont="1" applyFill="1" applyBorder="1" applyAlignment="1">
      <alignment horizontal="right" vertical="center"/>
    </xf>
    <xf numFmtId="166" fontId="41" fillId="24" borderId="10" xfId="72" applyNumberFormat="1" applyFont="1" applyFill="1" applyBorder="1" applyAlignment="1">
      <alignment vertical="center"/>
    </xf>
    <xf numFmtId="0" fontId="41" fillId="24" borderId="10" xfId="72" applyFont="1" applyFill="1" applyBorder="1" applyAlignment="1">
      <alignment horizontal="left" vertical="center"/>
    </xf>
    <xf numFmtId="0" fontId="33" fillId="24" borderId="10" xfId="72" applyFont="1" applyFill="1" applyBorder="1" applyAlignment="1">
      <alignment horizontal="left" vertical="center"/>
    </xf>
    <xf numFmtId="0" fontId="35" fillId="24" borderId="10" xfId="72" applyFont="1" applyFill="1" applyBorder="1" applyAlignment="1">
      <alignment horizontal="left" vertical="center" wrapText="1"/>
    </xf>
    <xf numFmtId="0" fontId="33" fillId="24" borderId="10" xfId="72" applyFont="1" applyFill="1" applyBorder="1" applyAlignment="1">
      <alignment horizontal="left" vertical="center" wrapText="1"/>
    </xf>
    <xf numFmtId="0" fontId="43" fillId="24" borderId="10" xfId="72" applyFont="1" applyFill="1" applyBorder="1" applyAlignment="1">
      <alignment horizontal="left" vertical="center" wrapText="1"/>
    </xf>
    <xf numFmtId="0" fontId="33" fillId="24" borderId="10" xfId="72" applyFont="1" applyFill="1" applyBorder="1" applyAlignment="1">
      <alignment vertical="center" wrapText="1"/>
    </xf>
    <xf numFmtId="0" fontId="32" fillId="24" borderId="10" xfId="72" applyFont="1" applyFill="1" applyBorder="1" applyAlignment="1">
      <alignment horizontal="center" vertical="center"/>
    </xf>
    <xf numFmtId="1" fontId="32" fillId="24" borderId="10" xfId="72" applyNumberFormat="1" applyFont="1" applyFill="1" applyBorder="1" applyAlignment="1">
      <alignment horizontal="center" vertical="center"/>
    </xf>
    <xf numFmtId="168" fontId="34" fillId="24" borderId="10" xfId="50" applyNumberFormat="1" applyFont="1" applyFill="1" applyBorder="1" applyAlignment="1">
      <alignment horizontal="center" vertical="center" wrapText="1"/>
    </xf>
    <xf numFmtId="0" fontId="33" fillId="24" borderId="10" xfId="72" applyFont="1" applyFill="1" applyBorder="1" applyAlignment="1">
      <alignment horizontal="center" vertical="center" wrapText="1"/>
    </xf>
    <xf numFmtId="168" fontId="31" fillId="24" borderId="0" xfId="50" applyNumberFormat="1" applyFont="1" applyFill="1" applyAlignment="1">
      <alignment horizontal="right"/>
    </xf>
    <xf numFmtId="168" fontId="31" fillId="24" borderId="0" xfId="50" applyNumberFormat="1" applyFont="1" applyFill="1"/>
    <xf numFmtId="0" fontId="11" fillId="24" borderId="0" xfId="72" applyFill="1" applyAlignment="1">
      <alignment vertical="center"/>
    </xf>
    <xf numFmtId="0" fontId="11" fillId="24" borderId="0" xfId="72" applyFill="1"/>
    <xf numFmtId="168" fontId="34" fillId="24" borderId="10" xfId="50" applyNumberFormat="1" applyFont="1" applyFill="1" applyBorder="1"/>
    <xf numFmtId="0" fontId="11" fillId="24" borderId="10" xfId="72" applyFill="1" applyBorder="1" applyAlignment="1">
      <alignment horizontal="left" vertical="center"/>
    </xf>
    <xf numFmtId="168" fontId="35" fillId="24" borderId="10" xfId="50" applyNumberFormat="1" applyFont="1" applyFill="1" applyBorder="1"/>
    <xf numFmtId="166" fontId="33" fillId="24" borderId="10" xfId="72" applyNumberFormat="1" applyFont="1" applyFill="1" applyBorder="1" applyAlignment="1">
      <alignment horizontal="left" vertical="center"/>
    </xf>
    <xf numFmtId="166" fontId="41" fillId="24" borderId="10" xfId="72" applyNumberFormat="1" applyFont="1" applyFill="1" applyBorder="1" applyAlignment="1">
      <alignment horizontal="left" vertical="center"/>
    </xf>
    <xf numFmtId="0" fontId="11" fillId="24" borderId="0" xfId="72" applyFill="1" applyAlignment="1">
      <alignment horizontal="left" vertical="center"/>
    </xf>
    <xf numFmtId="171" fontId="35" fillId="0" borderId="0" xfId="0" applyNumberFormat="1" applyFont="1"/>
    <xf numFmtId="171" fontId="36" fillId="0" borderId="0" xfId="79" applyNumberFormat="1" applyFont="1"/>
    <xf numFmtId="0" fontId="36" fillId="24" borderId="40" xfId="0" applyFont="1" applyFill="1" applyBorder="1" applyAlignment="1">
      <alignment horizontal="left" vertical="center" wrapText="1"/>
    </xf>
    <xf numFmtId="168" fontId="0" fillId="0" borderId="0" xfId="0" applyNumberFormat="1"/>
    <xf numFmtId="0" fontId="36" fillId="24" borderId="24" xfId="0" applyFont="1" applyFill="1" applyBorder="1"/>
    <xf numFmtId="168" fontId="34" fillId="24" borderId="10" xfId="49" applyNumberFormat="1" applyFont="1" applyFill="1" applyBorder="1" applyAlignment="1">
      <alignment vertical="center"/>
    </xf>
    <xf numFmtId="168" fontId="33" fillId="24" borderId="10" xfId="41" applyNumberFormat="1" applyFont="1" applyFill="1" applyBorder="1" applyAlignment="1">
      <alignment vertical="center"/>
    </xf>
    <xf numFmtId="0" fontId="36" fillId="0" borderId="48" xfId="0" applyFont="1" applyBorder="1" applyAlignment="1">
      <alignment horizontal="center" vertical="center"/>
    </xf>
    <xf numFmtId="0" fontId="36" fillId="0" borderId="29" xfId="0" quotePrefix="1" applyFont="1" applyBorder="1" applyAlignment="1">
      <alignment horizontal="center" vertical="center"/>
    </xf>
    <xf numFmtId="0" fontId="34" fillId="27" borderId="0" xfId="0" applyFont="1" applyFill="1"/>
    <xf numFmtId="0" fontId="34" fillId="27" borderId="0" xfId="0" applyFont="1" applyFill="1" applyAlignment="1">
      <alignment horizontal="left" vertical="center"/>
    </xf>
    <xf numFmtId="0" fontId="32" fillId="27" borderId="0" xfId="0" applyFont="1" applyFill="1"/>
    <xf numFmtId="0" fontId="34" fillId="27" borderId="0" xfId="0" applyFont="1" applyFill="1" applyAlignment="1">
      <alignment horizontal="center" vertical="center" wrapText="1"/>
    </xf>
    <xf numFmtId="0" fontId="33" fillId="27" borderId="10" xfId="0" applyFont="1" applyFill="1" applyBorder="1" applyAlignment="1">
      <alignment horizontal="center" vertical="center" wrapText="1"/>
    </xf>
    <xf numFmtId="1" fontId="32" fillId="27" borderId="10" xfId="0" applyNumberFormat="1" applyFont="1" applyFill="1" applyBorder="1" applyAlignment="1">
      <alignment horizontal="center" vertical="center"/>
    </xf>
    <xf numFmtId="0" fontId="32" fillId="27" borderId="10" xfId="0" applyFont="1" applyFill="1" applyBorder="1" applyAlignment="1">
      <alignment horizontal="center" vertical="center"/>
    </xf>
    <xf numFmtId="165" fontId="33" fillId="27" borderId="10" xfId="0" quotePrefix="1" applyNumberFormat="1" applyFont="1" applyFill="1" applyBorder="1" applyAlignment="1">
      <alignment horizontal="center" vertical="center"/>
    </xf>
    <xf numFmtId="0" fontId="33" fillId="27" borderId="10" xfId="0" applyFont="1" applyFill="1" applyBorder="1" applyAlignment="1">
      <alignment vertical="center" wrapText="1"/>
    </xf>
    <xf numFmtId="166" fontId="33" fillId="27" borderId="10" xfId="0" applyNumberFormat="1" applyFont="1" applyFill="1" applyBorder="1" applyAlignment="1">
      <alignment horizontal="left" vertical="center"/>
    </xf>
    <xf numFmtId="168" fontId="32" fillId="27" borderId="10" xfId="41" applyNumberFormat="1" applyFont="1" applyFill="1" applyBorder="1"/>
    <xf numFmtId="168" fontId="32" fillId="27" borderId="0" xfId="41" applyNumberFormat="1" applyFont="1" applyFill="1" applyBorder="1"/>
    <xf numFmtId="168" fontId="32" fillId="27" borderId="0" xfId="0" applyNumberFormat="1" applyFont="1" applyFill="1"/>
    <xf numFmtId="0" fontId="33" fillId="27" borderId="10" xfId="0" applyFont="1" applyFill="1" applyBorder="1" applyAlignment="1">
      <alignment horizontal="left" vertical="center" wrapText="1"/>
    </xf>
    <xf numFmtId="0" fontId="33" fillId="27" borderId="0" xfId="0" applyFont="1" applyFill="1"/>
    <xf numFmtId="168" fontId="33" fillId="27" borderId="0" xfId="0" applyNumberFormat="1" applyFont="1" applyFill="1"/>
    <xf numFmtId="0" fontId="35" fillId="27" borderId="10" xfId="0" applyFont="1" applyFill="1" applyBorder="1" applyAlignment="1">
      <alignment horizontal="left" vertical="center" wrapText="1"/>
    </xf>
    <xf numFmtId="0" fontId="43" fillId="27" borderId="10" xfId="0" applyFont="1" applyFill="1" applyBorder="1" applyAlignment="1">
      <alignment horizontal="left" vertical="center" wrapText="1"/>
    </xf>
    <xf numFmtId="166" fontId="41" fillId="27" borderId="10" xfId="0" applyNumberFormat="1" applyFont="1" applyFill="1" applyBorder="1" applyAlignment="1">
      <alignment horizontal="left" vertical="center"/>
    </xf>
    <xf numFmtId="0" fontId="42" fillId="27" borderId="0" xfId="0" applyFont="1" applyFill="1"/>
    <xf numFmtId="0" fontId="33" fillId="27" borderId="10" xfId="0" applyFont="1" applyFill="1" applyBorder="1" applyAlignment="1">
      <alignment horizontal="left" vertical="center"/>
    </xf>
    <xf numFmtId="0" fontId="41" fillId="27" borderId="10" xfId="0" applyFont="1" applyFill="1" applyBorder="1" applyAlignment="1">
      <alignment horizontal="left" vertical="center"/>
    </xf>
    <xf numFmtId="0" fontId="41" fillId="27" borderId="0" xfId="0" applyFont="1" applyFill="1"/>
    <xf numFmtId="0" fontId="33" fillId="27" borderId="10" xfId="0" applyFont="1" applyFill="1" applyBorder="1" applyAlignment="1">
      <alignment horizontal="right" vertical="center"/>
    </xf>
    <xf numFmtId="0" fontId="32" fillId="27" borderId="0" xfId="0" applyFont="1" applyFill="1" applyAlignment="1">
      <alignment horizontal="left" vertical="center"/>
    </xf>
    <xf numFmtId="168" fontId="32" fillId="27" borderId="50" xfId="0" applyNumberFormat="1" applyFont="1" applyFill="1" applyBorder="1"/>
    <xf numFmtId="3" fontId="32" fillId="27" borderId="0" xfId="0" applyNumberFormat="1" applyFont="1" applyFill="1"/>
    <xf numFmtId="165" fontId="32" fillId="27" borderId="0" xfId="0" applyNumberFormat="1" applyFont="1" applyFill="1"/>
    <xf numFmtId="168" fontId="33" fillId="0" borderId="10" xfId="41" applyNumberFormat="1" applyFont="1" applyFill="1" applyBorder="1" applyAlignment="1">
      <alignment horizontal="right" vertical="center"/>
    </xf>
    <xf numFmtId="0" fontId="36" fillId="28" borderId="0" xfId="0" applyFont="1" applyFill="1"/>
    <xf numFmtId="165" fontId="33" fillId="0" borderId="10" xfId="71" quotePrefix="1" applyNumberFormat="1" applyFont="1" applyBorder="1" applyAlignment="1">
      <alignment horizontal="center" vertical="center"/>
    </xf>
    <xf numFmtId="0" fontId="33" fillId="0" borderId="10" xfId="71" applyFont="1" applyBorder="1" applyAlignment="1">
      <alignment horizontal="left" vertical="center" wrapText="1"/>
    </xf>
    <xf numFmtId="166" fontId="33" fillId="0" borderId="10" xfId="71" applyNumberFormat="1" applyFont="1" applyBorder="1" applyAlignment="1">
      <alignment horizontal="left" vertical="center"/>
    </xf>
    <xf numFmtId="0" fontId="44" fillId="0" borderId="0" xfId="71"/>
    <xf numFmtId="168" fontId="44" fillId="0" borderId="0" xfId="71" applyNumberFormat="1"/>
    <xf numFmtId="166" fontId="33" fillId="0" borderId="10" xfId="71" applyNumberFormat="1" applyFont="1" applyBorder="1" applyAlignment="1">
      <alignment vertical="center"/>
    </xf>
    <xf numFmtId="168" fontId="32" fillId="28" borderId="0" xfId="0" applyNumberFormat="1" applyFont="1" applyFill="1"/>
    <xf numFmtId="0" fontId="32" fillId="28" borderId="0" xfId="0" applyFont="1" applyFill="1"/>
    <xf numFmtId="168" fontId="41" fillId="0" borderId="10" xfId="41" applyNumberFormat="1" applyFont="1" applyFill="1" applyBorder="1" applyAlignment="1">
      <alignment horizontal="right" vertical="center"/>
    </xf>
    <xf numFmtId="168" fontId="33" fillId="0" borderId="10" xfId="41" applyNumberFormat="1" applyFont="1" applyFill="1" applyBorder="1"/>
    <xf numFmtId="168" fontId="32" fillId="0" borderId="10" xfId="41" applyNumberFormat="1" applyFont="1" applyFill="1" applyBorder="1"/>
    <xf numFmtId="3" fontId="33" fillId="0" borderId="10" xfId="0" applyNumberFormat="1" applyFont="1" applyBorder="1" applyAlignment="1">
      <alignment horizontal="center" vertical="center"/>
    </xf>
    <xf numFmtId="3" fontId="33" fillId="0" borderId="10" xfId="0" applyNumberFormat="1" applyFont="1" applyBorder="1" applyAlignment="1">
      <alignment horizontal="right" vertical="center"/>
    </xf>
    <xf numFmtId="168" fontId="32" fillId="0" borderId="0" xfId="0" applyNumberFormat="1" applyFont="1"/>
    <xf numFmtId="0" fontId="32" fillId="0" borderId="0" xfId="0" applyFont="1"/>
    <xf numFmtId="168" fontId="36" fillId="0" borderId="14" xfId="41" applyNumberFormat="1" applyFont="1" applyFill="1" applyBorder="1" applyAlignment="1">
      <alignment horizontal="center" vertical="center" wrapText="1"/>
    </xf>
    <xf numFmtId="168" fontId="36" fillId="0" borderId="35" xfId="41" applyNumberFormat="1" applyFont="1" applyFill="1" applyBorder="1" applyAlignment="1">
      <alignment horizontal="center" vertical="center" wrapText="1"/>
    </xf>
    <xf numFmtId="168" fontId="42" fillId="0" borderId="10" xfId="41" applyNumberFormat="1" applyFont="1" applyFill="1" applyBorder="1"/>
    <xf numFmtId="0" fontId="34" fillId="0" borderId="0" xfId="0" applyFont="1"/>
    <xf numFmtId="49" fontId="32" fillId="0" borderId="10" xfId="0" quotePrefix="1" applyNumberFormat="1" applyFont="1" applyBorder="1" applyAlignment="1">
      <alignment horizontal="center" vertical="center" wrapText="1"/>
    </xf>
    <xf numFmtId="168" fontId="41" fillId="0" borderId="10" xfId="41" applyNumberFormat="1" applyFont="1" applyFill="1" applyBorder="1"/>
    <xf numFmtId="168" fontId="33" fillId="0" borderId="10" xfId="41" applyNumberFormat="1" applyFont="1" applyFill="1" applyBorder="1" applyAlignment="1">
      <alignment horizontal="center" vertical="center"/>
    </xf>
    <xf numFmtId="165" fontId="33" fillId="0" borderId="10" xfId="72" quotePrefix="1" applyNumberFormat="1" applyFont="1" applyBorder="1" applyAlignment="1">
      <alignment horizontal="center" vertical="center"/>
    </xf>
    <xf numFmtId="0" fontId="33" fillId="0" borderId="10" xfId="72" applyFont="1" applyBorder="1" applyAlignment="1">
      <alignment vertical="center" wrapText="1"/>
    </xf>
    <xf numFmtId="166" fontId="33" fillId="0" borderId="10" xfId="72" applyNumberFormat="1" applyFont="1" applyBorder="1" applyAlignment="1">
      <alignment vertical="center"/>
    </xf>
    <xf numFmtId="168" fontId="34" fillId="0" borderId="10" xfId="50" applyNumberFormat="1" applyFont="1" applyFill="1" applyBorder="1" applyAlignment="1">
      <alignment vertical="center"/>
    </xf>
    <xf numFmtId="0" fontId="33" fillId="0" borderId="10" xfId="72" applyFont="1" applyBorder="1" applyAlignment="1">
      <alignment horizontal="left" vertical="center" wrapText="1"/>
    </xf>
    <xf numFmtId="0" fontId="37" fillId="29" borderId="0" xfId="0" applyFont="1" applyFill="1"/>
    <xf numFmtId="168" fontId="37" fillId="29" borderId="0" xfId="0" applyNumberFormat="1" applyFont="1" applyFill="1"/>
    <xf numFmtId="0" fontId="36" fillId="27" borderId="0" xfId="0" applyFont="1" applyFill="1"/>
    <xf numFmtId="168" fontId="33" fillId="27" borderId="10" xfId="41" applyNumberFormat="1" applyFont="1" applyFill="1" applyBorder="1" applyAlignment="1">
      <alignment horizontal="right" vertical="center"/>
    </xf>
    <xf numFmtId="0" fontId="36" fillId="27" borderId="0" xfId="0" applyFont="1" applyFill="1" applyAlignment="1">
      <alignment vertical="center"/>
    </xf>
    <xf numFmtId="0" fontId="36" fillId="27" borderId="0" xfId="0" applyFont="1" applyFill="1" applyAlignment="1">
      <alignment horizontal="right"/>
    </xf>
    <xf numFmtId="168" fontId="36" fillId="27" borderId="17" xfId="41" applyNumberFormat="1" applyFont="1" applyFill="1" applyBorder="1" applyAlignment="1">
      <alignment horizontal="center" vertical="center"/>
    </xf>
    <xf numFmtId="168" fontId="36" fillId="27" borderId="18" xfId="41" applyNumberFormat="1" applyFont="1" applyFill="1" applyBorder="1"/>
    <xf numFmtId="0" fontId="36" fillId="27" borderId="13" xfId="0" applyFont="1" applyFill="1" applyBorder="1" applyAlignment="1">
      <alignment horizontal="left" vertical="center" wrapText="1"/>
    </xf>
    <xf numFmtId="168" fontId="36" fillId="27" borderId="13" xfId="41" applyNumberFormat="1" applyFont="1" applyFill="1" applyBorder="1" applyAlignment="1">
      <alignment horizontal="center" vertical="center"/>
    </xf>
    <xf numFmtId="168" fontId="36" fillId="27" borderId="18" xfId="41" applyNumberFormat="1" applyFont="1" applyFill="1" applyBorder="1" applyAlignment="1">
      <alignment horizontal="center" vertical="center"/>
    </xf>
    <xf numFmtId="168" fontId="36" fillId="27" borderId="53" xfId="41" applyNumberFormat="1" applyFont="1" applyFill="1" applyBorder="1" applyAlignment="1">
      <alignment horizontal="center" vertical="center"/>
    </xf>
    <xf numFmtId="168" fontId="36" fillId="27" borderId="40" xfId="41" applyNumberFormat="1" applyFont="1" applyFill="1" applyBorder="1" applyAlignment="1">
      <alignment horizontal="center" vertical="center"/>
    </xf>
    <xf numFmtId="168" fontId="36" fillId="27" borderId="0" xfId="41" applyNumberFormat="1" applyFont="1" applyFill="1" applyBorder="1" applyAlignment="1">
      <alignment horizontal="center" vertical="center"/>
    </xf>
    <xf numFmtId="168" fontId="36" fillId="27" borderId="0" xfId="41" applyNumberFormat="1" applyFont="1" applyFill="1" applyBorder="1" applyAlignment="1">
      <alignment vertical="center"/>
    </xf>
    <xf numFmtId="168" fontId="36" fillId="27" borderId="0" xfId="41" applyNumberFormat="1" applyFont="1" applyFill="1" applyBorder="1"/>
    <xf numFmtId="0" fontId="37" fillId="27" borderId="0" xfId="0" applyFont="1" applyFill="1"/>
    <xf numFmtId="0" fontId="37" fillId="27" borderId="0" xfId="0" applyFont="1" applyFill="1" applyAlignment="1">
      <alignment vertical="center"/>
    </xf>
    <xf numFmtId="0" fontId="35" fillId="27" borderId="0" xfId="0" applyFont="1" applyFill="1"/>
    <xf numFmtId="0" fontId="35" fillId="27" borderId="0" xfId="0" applyFont="1" applyFill="1" applyAlignment="1">
      <alignment vertical="center"/>
    </xf>
    <xf numFmtId="168" fontId="41" fillId="27" borderId="10" xfId="41" applyNumberFormat="1" applyFont="1" applyFill="1" applyBorder="1" applyAlignment="1">
      <alignment horizontal="right" vertical="center"/>
    </xf>
    <xf numFmtId="168" fontId="33" fillId="27" borderId="10" xfId="41" applyNumberFormat="1" applyFont="1" applyFill="1" applyBorder="1"/>
    <xf numFmtId="3" fontId="33" fillId="27" borderId="10" xfId="0" applyNumberFormat="1" applyFont="1" applyFill="1" applyBorder="1" applyAlignment="1">
      <alignment horizontal="right" vertical="center"/>
    </xf>
    <xf numFmtId="168" fontId="36" fillId="0" borderId="30" xfId="41" applyNumberFormat="1" applyFont="1" applyFill="1" applyBorder="1" applyAlignment="1">
      <alignment horizontal="center" vertical="center" wrapText="1"/>
    </xf>
    <xf numFmtId="0" fontId="60" fillId="24" borderId="0" xfId="67" applyFont="1" applyFill="1"/>
    <xf numFmtId="0" fontId="36" fillId="24" borderId="0" xfId="67" applyFont="1" applyFill="1"/>
    <xf numFmtId="0" fontId="59" fillId="24" borderId="54" xfId="67" applyFont="1" applyFill="1" applyBorder="1" applyAlignment="1">
      <alignment horizontal="center" vertical="center" textRotation="90"/>
    </xf>
    <xf numFmtId="0" fontId="59" fillId="24" borderId="56" xfId="67" applyFont="1" applyFill="1" applyBorder="1" applyAlignment="1">
      <alignment horizontal="center" vertical="center" wrapText="1"/>
    </xf>
    <xf numFmtId="0" fontId="36" fillId="24" borderId="57" xfId="0" applyFont="1" applyFill="1" applyBorder="1" applyAlignment="1">
      <alignment horizontal="center" vertical="center" wrapText="1"/>
    </xf>
    <xf numFmtId="0" fontId="59" fillId="24" borderId="10" xfId="67" applyFont="1" applyFill="1" applyBorder="1" applyAlignment="1">
      <alignment horizontal="center" vertical="center" wrapText="1"/>
    </xf>
    <xf numFmtId="167" fontId="59" fillId="24" borderId="0" xfId="67" applyNumberFormat="1" applyFont="1" applyFill="1" applyAlignment="1">
      <alignment horizontal="left"/>
    </xf>
    <xf numFmtId="0" fontId="59" fillId="24" borderId="0" xfId="67" applyFont="1" applyFill="1"/>
    <xf numFmtId="0" fontId="60" fillId="24" borderId="58" xfId="67" applyFont="1" applyFill="1" applyBorder="1"/>
    <xf numFmtId="0" fontId="59" fillId="24" borderId="0" xfId="67" applyFont="1" applyFill="1" applyAlignment="1">
      <alignment horizontal="left"/>
    </xf>
    <xf numFmtId="0" fontId="59" fillId="24" borderId="10" xfId="67" applyFont="1" applyFill="1" applyBorder="1" applyAlignment="1">
      <alignment horizontal="center" vertical="center" textRotation="90"/>
    </xf>
    <xf numFmtId="0" fontId="36" fillId="24" borderId="59" xfId="75" applyFont="1" applyFill="1" applyBorder="1" applyAlignment="1">
      <alignment horizontal="center" vertical="center"/>
    </xf>
    <xf numFmtId="167" fontId="62" fillId="24" borderId="60" xfId="43" applyNumberFormat="1" applyFont="1" applyFill="1" applyBorder="1" applyAlignment="1" applyProtection="1">
      <alignment vertical="center"/>
    </xf>
    <xf numFmtId="167" fontId="36" fillId="24" borderId="61" xfId="43" applyNumberFormat="1" applyFont="1" applyFill="1" applyBorder="1" applyAlignment="1" applyProtection="1">
      <alignment vertical="center"/>
    </xf>
    <xf numFmtId="0" fontId="36" fillId="24" borderId="62" xfId="75" applyFont="1" applyFill="1" applyBorder="1" applyAlignment="1">
      <alignment horizontal="center" vertical="center"/>
    </xf>
    <xf numFmtId="167" fontId="62" fillId="24" borderId="62" xfId="43" applyNumberFormat="1" applyFont="1" applyFill="1" applyBorder="1" applyAlignment="1" applyProtection="1">
      <alignment vertical="center"/>
    </xf>
    <xf numFmtId="167" fontId="61" fillId="24" borderId="10" xfId="43" applyNumberFormat="1" applyFont="1" applyFill="1" applyBorder="1" applyAlignment="1" applyProtection="1">
      <alignment vertical="center"/>
    </xf>
    <xf numFmtId="167" fontId="37" fillId="24" borderId="10" xfId="43" applyNumberFormat="1" applyFont="1" applyFill="1" applyBorder="1" applyAlignment="1" applyProtection="1">
      <alignment vertical="center"/>
    </xf>
    <xf numFmtId="0" fontId="36" fillId="24" borderId="40" xfId="0" applyFont="1" applyFill="1" applyBorder="1" applyAlignment="1">
      <alignment horizontal="center" vertical="center"/>
    </xf>
    <xf numFmtId="0" fontId="36" fillId="24" borderId="30" xfId="0" applyFont="1" applyFill="1" applyBorder="1" applyAlignment="1">
      <alignment horizontal="center" vertical="center"/>
    </xf>
    <xf numFmtId="171" fontId="33" fillId="24" borderId="0" xfId="79" applyNumberFormat="1" applyFont="1" applyFill="1"/>
    <xf numFmtId="0" fontId="0" fillId="27" borderId="0" xfId="0" applyFill="1"/>
    <xf numFmtId="171" fontId="36" fillId="0" borderId="0" xfId="0" applyNumberFormat="1" applyFont="1"/>
    <xf numFmtId="168" fontId="41" fillId="24" borderId="0" xfId="0" applyNumberFormat="1" applyFont="1" applyFill="1"/>
    <xf numFmtId="0" fontId="36" fillId="0" borderId="42" xfId="0" applyFont="1" applyBorder="1" applyAlignment="1">
      <alignment wrapText="1"/>
    </xf>
    <xf numFmtId="168" fontId="36" fillId="0" borderId="64" xfId="41" applyNumberFormat="1" applyFont="1" applyFill="1" applyBorder="1" applyAlignment="1">
      <alignment vertical="center"/>
    </xf>
    <xf numFmtId="0" fontId="36" fillId="0" borderId="40" xfId="0" applyFont="1" applyBorder="1" applyAlignment="1">
      <alignment vertical="center" wrapText="1"/>
    </xf>
    <xf numFmtId="0" fontId="36" fillId="0" borderId="29" xfId="0" applyFont="1" applyBorder="1" applyAlignment="1">
      <alignment vertical="center" wrapText="1"/>
    </xf>
    <xf numFmtId="168" fontId="36" fillId="0" borderId="29" xfId="41" applyNumberFormat="1" applyFont="1" applyFill="1" applyBorder="1" applyAlignment="1">
      <alignment vertical="center"/>
    </xf>
    <xf numFmtId="168" fontId="36" fillId="0" borderId="31" xfId="41" applyNumberFormat="1" applyFont="1" applyFill="1" applyBorder="1" applyAlignment="1">
      <alignment horizontal="center" vertical="center" wrapText="1"/>
    </xf>
    <xf numFmtId="168" fontId="36" fillId="0" borderId="44" xfId="41" applyNumberFormat="1" applyFont="1" applyFill="1" applyBorder="1" applyAlignment="1">
      <alignment horizontal="center" vertical="center" wrapText="1"/>
    </xf>
    <xf numFmtId="0" fontId="36" fillId="0" borderId="14" xfId="0" applyFont="1" applyBorder="1" applyAlignment="1">
      <alignment horizontal="center" vertical="center"/>
    </xf>
    <xf numFmtId="0" fontId="88" fillId="0" borderId="17" xfId="0" applyFont="1" applyBorder="1" applyAlignment="1">
      <alignment horizontal="center" vertical="center"/>
    </xf>
    <xf numFmtId="168" fontId="37" fillId="0" borderId="18" xfId="41" applyNumberFormat="1" applyFont="1" applyFill="1" applyBorder="1" applyAlignment="1">
      <alignment horizontal="center" vertical="center" wrapText="1"/>
    </xf>
    <xf numFmtId="168" fontId="36" fillId="0" borderId="40" xfId="41" applyNumberFormat="1" applyFont="1" applyFill="1" applyBorder="1" applyAlignment="1">
      <alignment horizontal="center" vertical="center" wrapText="1"/>
    </xf>
    <xf numFmtId="168" fontId="37" fillId="0" borderId="17" xfId="41" applyNumberFormat="1" applyFont="1" applyFill="1" applyBorder="1" applyAlignment="1">
      <alignment horizontal="center" vertical="center"/>
    </xf>
    <xf numFmtId="168" fontId="37" fillId="0" borderId="18" xfId="41" applyNumberFormat="1" applyFont="1" applyFill="1" applyBorder="1"/>
    <xf numFmtId="0" fontId="36" fillId="0" borderId="13" xfId="0" applyFont="1" applyBorder="1" applyAlignment="1">
      <alignment vertical="center" wrapText="1"/>
    </xf>
    <xf numFmtId="168" fontId="37" fillId="0" borderId="17" xfId="41" applyNumberFormat="1" applyFont="1" applyFill="1" applyBorder="1" applyAlignment="1">
      <alignment vertical="center"/>
    </xf>
    <xf numFmtId="168" fontId="36" fillId="0" borderId="18" xfId="41" applyNumberFormat="1" applyFont="1" applyFill="1" applyBorder="1"/>
    <xf numFmtId="168" fontId="36" fillId="0" borderId="16" xfId="41" applyNumberFormat="1" applyFont="1" applyFill="1" applyBorder="1" applyAlignment="1">
      <alignment horizontal="center" vertical="center" wrapText="1"/>
    </xf>
    <xf numFmtId="168" fontId="36" fillId="0" borderId="12" xfId="41" applyNumberFormat="1" applyFont="1" applyFill="1" applyBorder="1" applyAlignment="1">
      <alignment horizontal="center" vertical="center" wrapText="1"/>
    </xf>
    <xf numFmtId="0" fontId="36" fillId="0" borderId="14" xfId="0" applyFont="1" applyBorder="1" applyAlignment="1">
      <alignment horizontal="left" vertical="center" wrapText="1"/>
    </xf>
    <xf numFmtId="168" fontId="36" fillId="0" borderId="44" xfId="41" applyNumberFormat="1" applyFont="1" applyFill="1" applyBorder="1" applyAlignment="1">
      <alignment horizontal="center" vertical="center"/>
    </xf>
    <xf numFmtId="168" fontId="36" fillId="0" borderId="14" xfId="41" applyNumberFormat="1" applyFont="1" applyFill="1" applyBorder="1" applyAlignment="1">
      <alignment vertical="center"/>
    </xf>
    <xf numFmtId="168" fontId="36" fillId="0" borderId="16" xfId="41" applyNumberFormat="1" applyFont="1" applyFill="1" applyBorder="1"/>
    <xf numFmtId="168" fontId="34" fillId="24" borderId="65" xfId="50" applyNumberFormat="1" applyFont="1" applyFill="1" applyBorder="1" applyAlignment="1">
      <alignment horizontal="center" vertical="center" wrapText="1"/>
    </xf>
    <xf numFmtId="168" fontId="35" fillId="0" borderId="10" xfId="50" applyNumberFormat="1" applyFont="1" applyFill="1" applyBorder="1" applyAlignment="1">
      <alignment vertical="center"/>
    </xf>
    <xf numFmtId="168" fontId="32" fillId="24" borderId="11" xfId="50" applyNumberFormat="1" applyFont="1" applyFill="1" applyBorder="1" applyAlignment="1">
      <alignment horizontal="center" vertical="center" wrapText="1"/>
    </xf>
    <xf numFmtId="0" fontId="36" fillId="24" borderId="66" xfId="0" applyFont="1" applyFill="1" applyBorder="1" applyAlignment="1">
      <alignment horizontal="center" vertical="center" wrapText="1"/>
    </xf>
    <xf numFmtId="168" fontId="36" fillId="0" borderId="53" xfId="41" applyNumberFormat="1" applyFont="1" applyFill="1" applyBorder="1" applyAlignment="1">
      <alignment vertical="center"/>
    </xf>
    <xf numFmtId="0" fontId="48" fillId="0" borderId="10" xfId="0" applyFont="1" applyBorder="1" applyAlignment="1">
      <alignment horizontal="center" vertical="center" textRotation="90" wrapText="1"/>
    </xf>
    <xf numFmtId="167" fontId="61" fillId="24" borderId="67" xfId="43" applyNumberFormat="1" applyFont="1" applyFill="1" applyBorder="1" applyAlignment="1" applyProtection="1">
      <alignment vertical="center"/>
    </xf>
    <xf numFmtId="167" fontId="61" fillId="24" borderId="68" xfId="43" applyNumberFormat="1" applyFont="1" applyFill="1" applyBorder="1" applyAlignment="1" applyProtection="1">
      <alignment vertical="center"/>
    </xf>
    <xf numFmtId="167" fontId="61" fillId="24" borderId="70" xfId="43" applyNumberFormat="1" applyFont="1" applyFill="1" applyBorder="1" applyAlignment="1" applyProtection="1">
      <alignment vertical="center"/>
    </xf>
    <xf numFmtId="167" fontId="61" fillId="24" borderId="60" xfId="43" applyNumberFormat="1" applyFont="1" applyFill="1" applyBorder="1" applyAlignment="1" applyProtection="1">
      <alignment vertical="center"/>
    </xf>
    <xf numFmtId="167" fontId="61" fillId="24" borderId="71" xfId="43" applyNumberFormat="1" applyFont="1" applyFill="1" applyBorder="1" applyAlignment="1" applyProtection="1">
      <alignment vertical="center"/>
    </xf>
    <xf numFmtId="167" fontId="61" fillId="24" borderId="62" xfId="43" applyNumberFormat="1" applyFont="1" applyFill="1" applyBorder="1" applyAlignment="1" applyProtection="1">
      <alignment vertical="center"/>
    </xf>
    <xf numFmtId="167" fontId="37" fillId="24" borderId="65" xfId="43" applyNumberFormat="1" applyFont="1" applyFill="1" applyBorder="1" applyAlignment="1">
      <alignment horizontal="right" vertical="center"/>
    </xf>
    <xf numFmtId="167" fontId="37" fillId="24" borderId="10" xfId="43" applyNumberFormat="1" applyFont="1" applyFill="1" applyBorder="1" applyAlignment="1">
      <alignment horizontal="right" vertical="center"/>
    </xf>
    <xf numFmtId="167" fontId="37" fillId="0" borderId="10" xfId="43" applyNumberFormat="1" applyFont="1" applyFill="1" applyBorder="1" applyAlignment="1">
      <alignment horizontal="right" vertical="center"/>
    </xf>
    <xf numFmtId="0" fontId="59" fillId="24" borderId="72" xfId="67" applyFont="1" applyFill="1" applyBorder="1" applyAlignment="1">
      <alignment horizontal="center" vertical="center"/>
    </xf>
    <xf numFmtId="0" fontId="59" fillId="24" borderId="69" xfId="67" applyFont="1" applyFill="1" applyBorder="1" applyAlignment="1">
      <alignment horizontal="center" vertical="center"/>
    </xf>
    <xf numFmtId="0" fontId="59" fillId="24" borderId="73" xfId="67" applyFont="1" applyFill="1" applyBorder="1" applyAlignment="1">
      <alignment horizontal="center" vertical="center"/>
    </xf>
    <xf numFmtId="0" fontId="59" fillId="24" borderId="60" xfId="67" applyFont="1" applyFill="1" applyBorder="1" applyAlignment="1">
      <alignment horizontal="center" vertical="center"/>
    </xf>
    <xf numFmtId="0" fontId="59" fillId="24" borderId="71" xfId="67" applyFont="1" applyFill="1" applyBorder="1" applyAlignment="1">
      <alignment horizontal="center" vertical="center"/>
    </xf>
    <xf numFmtId="0" fontId="59" fillId="24" borderId="62" xfId="67" applyFont="1" applyFill="1" applyBorder="1" applyAlignment="1">
      <alignment horizontal="center" vertical="center"/>
    </xf>
    <xf numFmtId="168" fontId="32" fillId="24" borderId="28" xfId="50" applyNumberFormat="1" applyFont="1" applyFill="1" applyBorder="1" applyAlignment="1">
      <alignment horizontal="center" vertical="center"/>
    </xf>
    <xf numFmtId="49" fontId="36" fillId="0" borderId="20" xfId="0" applyNumberFormat="1" applyFont="1" applyBorder="1" applyAlignment="1">
      <alignment horizontal="center" vertical="center"/>
    </xf>
    <xf numFmtId="168" fontId="36" fillId="0" borderId="19" xfId="41" applyNumberFormat="1" applyFont="1" applyFill="1" applyBorder="1"/>
    <xf numFmtId="168" fontId="36" fillId="0" borderId="42" xfId="41" applyNumberFormat="1" applyFont="1" applyFill="1" applyBorder="1"/>
    <xf numFmtId="49" fontId="36" fillId="0" borderId="20" xfId="0" quotePrefix="1" applyNumberFormat="1" applyFont="1" applyBorder="1" applyAlignment="1">
      <alignment horizontal="center" vertical="center"/>
    </xf>
    <xf numFmtId="49" fontId="36" fillId="0" borderId="21" xfId="0" applyNumberFormat="1" applyFont="1" applyBorder="1" applyAlignment="1">
      <alignment horizontal="center" vertical="center"/>
    </xf>
    <xf numFmtId="49" fontId="36" fillId="0" borderId="21" xfId="0" quotePrefix="1" applyNumberFormat="1" applyFont="1" applyBorder="1" applyAlignment="1">
      <alignment horizontal="center" vertical="center"/>
    </xf>
    <xf numFmtId="49" fontId="36" fillId="0" borderId="19" xfId="0" quotePrefix="1" applyNumberFormat="1" applyFont="1" applyBorder="1" applyAlignment="1">
      <alignment horizontal="center" vertical="center"/>
    </xf>
    <xf numFmtId="168" fontId="36" fillId="0" borderId="40" xfId="41" applyNumberFormat="1" applyFont="1" applyFill="1" applyBorder="1"/>
    <xf numFmtId="168" fontId="36" fillId="0" borderId="52" xfId="41" applyNumberFormat="1" applyFont="1" applyFill="1" applyBorder="1" applyAlignment="1">
      <alignment vertical="center"/>
    </xf>
    <xf numFmtId="168" fontId="32" fillId="30" borderId="0" xfId="0" applyNumberFormat="1" applyFont="1" applyFill="1"/>
    <xf numFmtId="168" fontId="36" fillId="0" borderId="63" xfId="41" applyNumberFormat="1" applyFont="1" applyFill="1" applyBorder="1" applyAlignment="1">
      <alignment horizontal="center" vertical="center" wrapText="1"/>
    </xf>
    <xf numFmtId="168" fontId="36" fillId="0" borderId="75" xfId="41" applyNumberFormat="1" applyFont="1" applyFill="1" applyBorder="1" applyAlignment="1">
      <alignment horizontal="center" vertical="center" wrapText="1"/>
    </xf>
    <xf numFmtId="168" fontId="36" fillId="0" borderId="63" xfId="41" applyNumberFormat="1" applyFont="1" applyFill="1" applyBorder="1" applyAlignment="1">
      <alignment horizontal="center" vertical="center"/>
    </xf>
    <xf numFmtId="168" fontId="35" fillId="27" borderId="17" xfId="41" applyNumberFormat="1" applyFont="1" applyFill="1" applyBorder="1" applyAlignment="1">
      <alignment vertical="center"/>
    </xf>
    <xf numFmtId="168" fontId="35" fillId="27" borderId="18" xfId="41" applyNumberFormat="1" applyFont="1" applyFill="1" applyBorder="1" applyAlignment="1">
      <alignment vertical="center"/>
    </xf>
    <xf numFmtId="168" fontId="35" fillId="27" borderId="53" xfId="41" applyNumberFormat="1" applyFont="1" applyFill="1" applyBorder="1" applyAlignment="1">
      <alignment vertical="center"/>
    </xf>
    <xf numFmtId="3" fontId="32" fillId="24" borderId="0" xfId="0" applyNumberFormat="1" applyFont="1" applyFill="1"/>
    <xf numFmtId="168" fontId="90" fillId="24" borderId="0" xfId="0" applyNumberFormat="1" applyFont="1" applyFill="1"/>
    <xf numFmtId="165" fontId="33" fillId="0" borderId="10" xfId="0" quotePrefix="1" applyNumberFormat="1" applyFont="1" applyBorder="1" applyAlignment="1">
      <alignment horizontal="center" vertical="center"/>
    </xf>
    <xf numFmtId="0" fontId="33" fillId="0" borderId="10" xfId="0" applyFont="1" applyBorder="1" applyAlignment="1">
      <alignment horizontal="right" vertical="center"/>
    </xf>
    <xf numFmtId="166" fontId="33" fillId="0" borderId="10" xfId="0" applyNumberFormat="1" applyFont="1" applyBorder="1" applyAlignment="1">
      <alignment horizontal="left" vertical="center"/>
    </xf>
    <xf numFmtId="0" fontId="33" fillId="0" borderId="0" xfId="0" applyFont="1"/>
    <xf numFmtId="0" fontId="32" fillId="0" borderId="10" xfId="0" applyFont="1" applyBorder="1" applyAlignment="1">
      <alignment horizontal="center" vertical="center"/>
    </xf>
    <xf numFmtId="168" fontId="41" fillId="27" borderId="10" xfId="41" applyNumberFormat="1" applyFont="1" applyFill="1" applyBorder="1"/>
    <xf numFmtId="168" fontId="32" fillId="24" borderId="10" xfId="49" applyNumberFormat="1" applyFont="1" applyFill="1" applyBorder="1" applyAlignment="1">
      <alignment horizontal="center" vertical="center"/>
    </xf>
    <xf numFmtId="168" fontId="32" fillId="24" borderId="10" xfId="50" applyNumberFormat="1" applyFont="1" applyFill="1" applyBorder="1" applyAlignment="1">
      <alignment horizontal="center" vertical="center"/>
    </xf>
    <xf numFmtId="168" fontId="36" fillId="0" borderId="32" xfId="41" applyNumberFormat="1" applyFont="1" applyFill="1" applyBorder="1" applyAlignment="1">
      <alignment vertical="center"/>
    </xf>
    <xf numFmtId="49" fontId="36" fillId="0" borderId="40" xfId="0" applyNumberFormat="1" applyFont="1" applyBorder="1" applyAlignment="1">
      <alignment horizontal="center" vertical="center"/>
    </xf>
    <xf numFmtId="49" fontId="36" fillId="0" borderId="42" xfId="0" quotePrefix="1" applyNumberFormat="1" applyFont="1" applyBorder="1" applyAlignment="1">
      <alignment horizontal="center" vertical="center"/>
    </xf>
    <xf numFmtId="168" fontId="36" fillId="0" borderId="64" xfId="41" applyNumberFormat="1" applyFont="1" applyFill="1" applyBorder="1" applyAlignment="1">
      <alignment horizontal="center" vertical="center"/>
    </xf>
    <xf numFmtId="49" fontId="36" fillId="0" borderId="41" xfId="0" quotePrefix="1" applyNumberFormat="1" applyFont="1" applyBorder="1" applyAlignment="1">
      <alignment horizontal="center" vertical="center"/>
    </xf>
    <xf numFmtId="49" fontId="36" fillId="0" borderId="19" xfId="0" quotePrefix="1" applyNumberFormat="1" applyFont="1" applyBorder="1" applyAlignment="1">
      <alignment horizontal="center" vertical="center" wrapText="1"/>
    </xf>
    <xf numFmtId="49" fontId="36" fillId="0" borderId="13" xfId="0" quotePrefix="1" applyNumberFormat="1" applyFont="1" applyBorder="1" applyAlignment="1">
      <alignment horizontal="center" vertical="center"/>
    </xf>
    <xf numFmtId="168" fontId="34" fillId="27" borderId="0" xfId="0" applyNumberFormat="1" applyFont="1" applyFill="1" applyAlignment="1">
      <alignment horizontal="center" vertical="center" wrapText="1"/>
    </xf>
    <xf numFmtId="0" fontId="36" fillId="0" borderId="10" xfId="0" applyFont="1" applyBorder="1" applyAlignment="1">
      <alignment horizontal="center" vertical="center" wrapText="1"/>
    </xf>
    <xf numFmtId="0" fontId="90" fillId="24" borderId="0" xfId="0" applyFont="1" applyFill="1" applyAlignment="1">
      <alignment vertical="center" wrapText="1"/>
    </xf>
    <xf numFmtId="0" fontId="37" fillId="0" borderId="0" xfId="0" applyFont="1" applyAlignment="1">
      <alignment horizontal="center" vertical="center" wrapText="1"/>
    </xf>
    <xf numFmtId="0" fontId="36" fillId="0" borderId="11" xfId="0" applyFont="1" applyBorder="1" applyAlignment="1">
      <alignment wrapText="1"/>
    </xf>
    <xf numFmtId="0" fontId="36" fillId="0" borderId="0" xfId="0" applyFont="1" applyAlignment="1">
      <alignment horizontal="right" wrapText="1"/>
    </xf>
    <xf numFmtId="0" fontId="40" fillId="0" borderId="61" xfId="0" applyFont="1" applyBorder="1" applyAlignment="1">
      <alignment horizontal="center" vertical="center" wrapText="1"/>
    </xf>
    <xf numFmtId="0" fontId="37" fillId="0" borderId="10" xfId="0" applyFont="1" applyBorder="1" applyAlignment="1">
      <alignment horizontal="center" vertical="center" wrapText="1"/>
    </xf>
    <xf numFmtId="0" fontId="37" fillId="0" borderId="81" xfId="0" applyFont="1" applyBorder="1" applyAlignment="1">
      <alignment horizontal="center" vertical="center" wrapText="1"/>
    </xf>
    <xf numFmtId="0" fontId="32" fillId="24" borderId="10" xfId="0" applyFont="1" applyFill="1" applyBorder="1" applyAlignment="1">
      <alignment horizontal="left" vertical="center" wrapText="1"/>
    </xf>
    <xf numFmtId="3" fontId="34" fillId="0" borderId="10" xfId="0" applyNumberFormat="1" applyFont="1" applyBorder="1" applyAlignment="1">
      <alignment vertical="center" wrapText="1"/>
    </xf>
    <xf numFmtId="3" fontId="34" fillId="0" borderId="81" xfId="0" applyNumberFormat="1" applyFont="1" applyBorder="1" applyAlignment="1">
      <alignment vertical="center" wrapText="1"/>
    </xf>
    <xf numFmtId="0" fontId="32" fillId="24" borderId="10" xfId="0" applyFont="1" applyFill="1" applyBorder="1" applyAlignment="1">
      <alignment vertical="center" wrapText="1"/>
    </xf>
    <xf numFmtId="0" fontId="34" fillId="24" borderId="10" xfId="0" applyFont="1" applyFill="1" applyBorder="1" applyAlignment="1">
      <alignment horizontal="left" vertical="center" wrapText="1"/>
    </xf>
    <xf numFmtId="3" fontId="35" fillId="0" borderId="10" xfId="0" applyNumberFormat="1" applyFont="1" applyBorder="1" applyAlignment="1">
      <alignment vertical="center" wrapText="1"/>
    </xf>
    <xf numFmtId="0" fontId="32" fillId="24" borderId="10" xfId="72" applyFont="1" applyFill="1" applyBorder="1" applyAlignment="1">
      <alignment horizontal="left" vertical="center" wrapText="1"/>
    </xf>
    <xf numFmtId="0" fontId="41" fillId="24" borderId="10" xfId="72" applyFont="1" applyFill="1" applyBorder="1" applyAlignment="1">
      <alignment horizontal="left" vertical="center" wrapText="1"/>
    </xf>
    <xf numFmtId="0" fontId="41" fillId="24" borderId="10" xfId="0" applyFont="1" applyFill="1" applyBorder="1" applyAlignment="1">
      <alignment horizontal="left" vertical="center" wrapText="1"/>
    </xf>
    <xf numFmtId="0" fontId="33" fillId="26" borderId="10" xfId="0" applyFont="1" applyFill="1" applyBorder="1" applyAlignment="1">
      <alignment horizontal="left" vertical="center" wrapText="1"/>
    </xf>
    <xf numFmtId="0" fontId="33" fillId="29" borderId="10" xfId="0" applyFont="1" applyFill="1" applyBorder="1" applyAlignment="1">
      <alignment horizontal="left" vertical="center" wrapText="1"/>
    </xf>
    <xf numFmtId="3" fontId="35" fillId="29" borderId="10" xfId="0" applyNumberFormat="1" applyFont="1" applyFill="1" applyBorder="1" applyAlignment="1">
      <alignment vertical="center" wrapText="1"/>
    </xf>
    <xf numFmtId="3" fontId="34" fillId="0" borderId="65" xfId="0" applyNumberFormat="1" applyFont="1" applyBorder="1" applyAlignment="1">
      <alignment vertical="center" wrapText="1"/>
    </xf>
    <xf numFmtId="0" fontId="54" fillId="0" borderId="0" xfId="0" applyFont="1" applyAlignment="1">
      <alignment horizontal="center" vertical="center" wrapText="1"/>
    </xf>
    <xf numFmtId="0" fontId="54" fillId="0" borderId="0" xfId="0" applyFont="1" applyAlignment="1">
      <alignment horizontal="center" wrapText="1"/>
    </xf>
    <xf numFmtId="0" fontId="33" fillId="0" borderId="0" xfId="0" applyFont="1" applyAlignment="1">
      <alignment horizontal="right" vertical="center"/>
    </xf>
    <xf numFmtId="3" fontId="34" fillId="0" borderId="0" xfId="0" applyNumberFormat="1" applyFont="1" applyAlignment="1">
      <alignment wrapText="1"/>
    </xf>
    <xf numFmtId="3" fontId="35" fillId="0" borderId="0" xfId="0" applyNumberFormat="1" applyFont="1" applyAlignment="1">
      <alignment wrapText="1"/>
    </xf>
    <xf numFmtId="0" fontId="34" fillId="0" borderId="0" xfId="0" applyFont="1" applyAlignment="1">
      <alignment wrapText="1"/>
    </xf>
    <xf numFmtId="3" fontId="36" fillId="0" borderId="0" xfId="0" applyNumberFormat="1" applyFont="1" applyAlignment="1">
      <alignment wrapText="1"/>
    </xf>
    <xf numFmtId="0" fontId="33" fillId="0" borderId="0" xfId="0" applyFont="1" applyAlignment="1">
      <alignment horizontal="right" vertical="center" wrapText="1"/>
    </xf>
    <xf numFmtId="3" fontId="34" fillId="0" borderId="0" xfId="0" applyNumberFormat="1" applyFont="1" applyAlignment="1">
      <alignment vertical="center" wrapText="1"/>
    </xf>
    <xf numFmtId="3" fontId="35" fillId="0" borderId="0" xfId="0" applyNumberFormat="1" applyFont="1" applyAlignment="1">
      <alignment vertical="center" wrapText="1"/>
    </xf>
    <xf numFmtId="0" fontId="36" fillId="0" borderId="0" xfId="0" applyFont="1" applyAlignment="1">
      <alignment horizontal="center" wrapText="1"/>
    </xf>
    <xf numFmtId="0" fontId="35" fillId="0" borderId="10" xfId="0" applyFont="1" applyBorder="1" applyAlignment="1">
      <alignment horizontal="center" vertical="center" wrapText="1"/>
    </xf>
    <xf numFmtId="0" fontId="35" fillId="27" borderId="10" xfId="0" applyFont="1" applyFill="1" applyBorder="1" applyAlignment="1">
      <alignment horizontal="center" vertical="center" wrapText="1"/>
    </xf>
    <xf numFmtId="165" fontId="32" fillId="24" borderId="10" xfId="0" quotePrefix="1" applyNumberFormat="1" applyFont="1" applyFill="1" applyBorder="1" applyAlignment="1">
      <alignment horizontal="center" vertical="center"/>
    </xf>
    <xf numFmtId="166" fontId="32" fillId="24" borderId="10" xfId="0" applyNumberFormat="1" applyFont="1" applyFill="1" applyBorder="1" applyAlignment="1">
      <alignment vertical="center"/>
    </xf>
    <xf numFmtId="168" fontId="34" fillId="27" borderId="10" xfId="41" applyNumberFormat="1" applyFont="1" applyFill="1" applyBorder="1"/>
    <xf numFmtId="10" fontId="34" fillId="27" borderId="10" xfId="84" applyNumberFormat="1" applyFont="1" applyFill="1" applyBorder="1" applyAlignment="1">
      <alignment horizontal="center"/>
    </xf>
    <xf numFmtId="168" fontId="34" fillId="27" borderId="10" xfId="0" applyNumberFormat="1" applyFont="1" applyFill="1" applyBorder="1"/>
    <xf numFmtId="165" fontId="42" fillId="24" borderId="10" xfId="0" quotePrefix="1" applyNumberFormat="1" applyFont="1" applyFill="1" applyBorder="1" applyAlignment="1">
      <alignment horizontal="center" vertical="center"/>
    </xf>
    <xf numFmtId="0" fontId="70" fillId="24" borderId="10" xfId="0" applyFont="1" applyFill="1" applyBorder="1" applyAlignment="1">
      <alignment horizontal="left" vertical="center" wrapText="1"/>
    </xf>
    <xf numFmtId="166" fontId="42" fillId="24" borderId="10" xfId="0" applyNumberFormat="1" applyFont="1" applyFill="1" applyBorder="1" applyAlignment="1">
      <alignment vertical="center"/>
    </xf>
    <xf numFmtId="168" fontId="70" fillId="27" borderId="10" xfId="41" applyNumberFormat="1" applyFont="1" applyFill="1" applyBorder="1"/>
    <xf numFmtId="10" fontId="70" fillId="27" borderId="10" xfId="84" applyNumberFormat="1" applyFont="1" applyFill="1" applyBorder="1" applyAlignment="1">
      <alignment horizontal="center"/>
    </xf>
    <xf numFmtId="168" fontId="70" fillId="27" borderId="10" xfId="0" applyNumberFormat="1" applyFont="1" applyFill="1" applyBorder="1"/>
    <xf numFmtId="0" fontId="71" fillId="0" borderId="0" xfId="0" applyFont="1"/>
    <xf numFmtId="0" fontId="32" fillId="24" borderId="10" xfId="0" applyFont="1" applyFill="1" applyBorder="1" applyAlignment="1">
      <alignment horizontal="left" vertical="center"/>
    </xf>
    <xf numFmtId="0" fontId="36" fillId="0" borderId="0" xfId="70" applyFont="1" applyAlignment="1">
      <alignment wrapText="1"/>
    </xf>
    <xf numFmtId="0" fontId="48" fillId="0" borderId="0" xfId="68" applyFont="1" applyAlignment="1">
      <alignment wrapText="1"/>
    </xf>
    <xf numFmtId="168" fontId="35" fillId="0" borderId="10" xfId="41" applyNumberFormat="1" applyFont="1" applyBorder="1"/>
    <xf numFmtId="10" fontId="35" fillId="27" borderId="10" xfId="84" applyNumberFormat="1" applyFont="1" applyFill="1" applyBorder="1" applyAlignment="1">
      <alignment horizontal="center"/>
    </xf>
    <xf numFmtId="168" fontId="35" fillId="27" borderId="10" xfId="0" applyNumberFormat="1" applyFont="1" applyFill="1" applyBorder="1"/>
    <xf numFmtId="0" fontId="42" fillId="24" borderId="10" xfId="0" applyFont="1" applyFill="1" applyBorder="1" applyAlignment="1">
      <alignment horizontal="left" vertical="center"/>
    </xf>
    <xf numFmtId="168" fontId="71" fillId="0" borderId="0" xfId="0" applyNumberFormat="1" applyFont="1"/>
    <xf numFmtId="168" fontId="35" fillId="27" borderId="10" xfId="41" applyNumberFormat="1" applyFont="1" applyFill="1" applyBorder="1"/>
    <xf numFmtId="0" fontId="42" fillId="24" borderId="10" xfId="72" applyFont="1" applyFill="1" applyBorder="1" applyAlignment="1">
      <alignment horizontal="left" vertical="center"/>
    </xf>
    <xf numFmtId="165" fontId="33" fillId="26" borderId="10" xfId="0" quotePrefix="1" applyNumberFormat="1" applyFont="1" applyFill="1" applyBorder="1" applyAlignment="1">
      <alignment horizontal="center" vertical="center"/>
    </xf>
    <xf numFmtId="0" fontId="33" fillId="29" borderId="10" xfId="0" applyFont="1" applyFill="1" applyBorder="1" applyAlignment="1">
      <alignment horizontal="right" vertical="center"/>
    </xf>
    <xf numFmtId="166" fontId="33" fillId="29" borderId="10" xfId="0" applyNumberFormat="1" applyFont="1" applyFill="1" applyBorder="1" applyAlignment="1">
      <alignment vertical="center"/>
    </xf>
    <xf numFmtId="168" fontId="35" fillId="29" borderId="10" xfId="41" applyNumberFormat="1" applyFont="1" applyFill="1" applyBorder="1"/>
    <xf numFmtId="165" fontId="41" fillId="24" borderId="10" xfId="0" quotePrefix="1" applyNumberFormat="1" applyFont="1" applyFill="1" applyBorder="1" applyAlignment="1">
      <alignment horizontal="center" vertical="center"/>
    </xf>
    <xf numFmtId="168" fontId="55" fillId="0" borderId="0" xfId="0" applyNumberFormat="1" applyFont="1"/>
    <xf numFmtId="165" fontId="33" fillId="0" borderId="0" xfId="0" quotePrefix="1" applyNumberFormat="1" applyFont="1" applyAlignment="1">
      <alignment horizontal="center" vertical="center"/>
    </xf>
    <xf numFmtId="166" fontId="33" fillId="0" borderId="0" xfId="0" applyNumberFormat="1" applyFont="1" applyAlignment="1">
      <alignment vertical="center"/>
    </xf>
    <xf numFmtId="168" fontId="35" fillId="0" borderId="0" xfId="41" applyNumberFormat="1" applyFont="1" applyFill="1" applyBorder="1"/>
    <xf numFmtId="168" fontId="35" fillId="27" borderId="0" xfId="41" applyNumberFormat="1" applyFont="1" applyFill="1" applyBorder="1"/>
    <xf numFmtId="10" fontId="35" fillId="27" borderId="0" xfId="84" applyNumberFormat="1" applyFont="1" applyFill="1" applyBorder="1" applyAlignment="1">
      <alignment horizontal="center"/>
    </xf>
    <xf numFmtId="9" fontId="35" fillId="27" borderId="0" xfId="84" applyFont="1" applyFill="1" applyBorder="1" applyAlignment="1">
      <alignment horizontal="center"/>
    </xf>
    <xf numFmtId="0" fontId="34" fillId="0" borderId="0" xfId="0" applyFont="1" applyAlignment="1">
      <alignment horizontal="left" wrapText="1"/>
    </xf>
    <xf numFmtId="0" fontId="34" fillId="27" borderId="0" xfId="0" applyFont="1" applyFill="1" applyAlignment="1">
      <alignment horizontal="left" wrapText="1"/>
    </xf>
    <xf numFmtId="0" fontId="34" fillId="27" borderId="0" xfId="0" applyFont="1" applyFill="1" applyAlignment="1">
      <alignment wrapText="1"/>
    </xf>
    <xf numFmtId="0" fontId="0" fillId="29" borderId="0" xfId="0" applyFill="1"/>
    <xf numFmtId="174" fontId="0" fillId="27" borderId="0" xfId="0" applyNumberFormat="1" applyFill="1" applyAlignment="1">
      <alignment horizontal="center" vertical="center" wrapText="1"/>
    </xf>
    <xf numFmtId="174" fontId="0" fillId="27" borderId="0" xfId="0" applyNumberFormat="1" applyFill="1" applyAlignment="1">
      <alignment vertical="center" wrapText="1"/>
    </xf>
    <xf numFmtId="174" fontId="72" fillId="27" borderId="0" xfId="0" applyNumberFormat="1" applyFont="1" applyFill="1" applyAlignment="1">
      <alignment horizontal="right"/>
    </xf>
    <xf numFmtId="174" fontId="37" fillId="27" borderId="10" xfId="0" applyNumberFormat="1" applyFont="1" applyFill="1" applyBorder="1" applyAlignment="1">
      <alignment horizontal="center" vertical="center"/>
    </xf>
    <xf numFmtId="174" fontId="37" fillId="27" borderId="10" xfId="0" applyNumberFormat="1" applyFont="1" applyFill="1" applyBorder="1" applyAlignment="1">
      <alignment horizontal="center" vertical="center" wrapText="1"/>
    </xf>
    <xf numFmtId="174" fontId="37" fillId="27" borderId="82" xfId="0" applyNumberFormat="1" applyFont="1" applyFill="1" applyBorder="1" applyAlignment="1">
      <alignment horizontal="center" vertical="center" wrapText="1"/>
    </xf>
    <xf numFmtId="174" fontId="37" fillId="27" borderId="83" xfId="0" applyNumberFormat="1" applyFont="1" applyFill="1" applyBorder="1" applyAlignment="1">
      <alignment horizontal="center" vertical="center" wrapText="1"/>
    </xf>
    <xf numFmtId="174" fontId="37" fillId="27" borderId="10" xfId="0" applyNumberFormat="1" applyFont="1" applyFill="1" applyBorder="1" applyAlignment="1">
      <alignment horizontal="left" vertical="center" wrapText="1" indent="1"/>
    </xf>
    <xf numFmtId="49" fontId="36" fillId="27" borderId="10" xfId="0" applyNumberFormat="1" applyFont="1" applyFill="1" applyBorder="1" applyAlignment="1" applyProtection="1">
      <alignment horizontal="center" vertical="center" wrapText="1"/>
      <protection locked="0"/>
    </xf>
    <xf numFmtId="174" fontId="36" fillId="27" borderId="10" xfId="0" applyNumberFormat="1" applyFont="1" applyFill="1" applyBorder="1" applyAlignment="1">
      <alignment vertical="center" wrapText="1"/>
    </xf>
    <xf numFmtId="174" fontId="36" fillId="27" borderId="83" xfId="0" applyNumberFormat="1" applyFont="1" applyFill="1" applyBorder="1" applyAlignment="1">
      <alignment vertical="center" wrapText="1"/>
    </xf>
    <xf numFmtId="174" fontId="61" fillId="27" borderId="10" xfId="0" applyNumberFormat="1" applyFont="1" applyFill="1" applyBorder="1" applyAlignment="1" applyProtection="1">
      <alignment horizontal="left" vertical="center" wrapText="1" indent="1"/>
      <protection locked="0"/>
    </xf>
    <xf numFmtId="174" fontId="0" fillId="27" borderId="0" xfId="0" applyNumberFormat="1" applyFill="1"/>
    <xf numFmtId="174" fontId="37" fillId="27" borderId="84" xfId="0" applyNumberFormat="1" applyFont="1" applyFill="1" applyBorder="1" applyAlignment="1">
      <alignment vertical="center" wrapText="1"/>
    </xf>
    <xf numFmtId="174" fontId="37" fillId="27" borderId="85" xfId="0" applyNumberFormat="1" applyFont="1" applyFill="1" applyBorder="1" applyAlignment="1">
      <alignment vertical="center" wrapText="1"/>
    </xf>
    <xf numFmtId="0" fontId="73" fillId="0" borderId="0" xfId="64" applyFont="1" applyAlignment="1">
      <alignment horizontal="center"/>
    </xf>
    <xf numFmtId="0" fontId="74" fillId="0" borderId="0" xfId="64" applyFont="1"/>
    <xf numFmtId="0" fontId="74" fillId="0" borderId="86" xfId="64" applyFont="1" applyBorder="1"/>
    <xf numFmtId="0" fontId="55" fillId="0" borderId="0" xfId="64" applyFont="1"/>
    <xf numFmtId="0" fontId="74" fillId="0" borderId="0" xfId="64" applyFont="1" applyAlignment="1">
      <alignment horizontal="center"/>
    </xf>
    <xf numFmtId="0" fontId="74" fillId="0" borderId="0" xfId="64" applyFont="1" applyAlignment="1">
      <alignment horizontal="right"/>
    </xf>
    <xf numFmtId="3" fontId="74" fillId="0" borderId="10" xfId="64" applyNumberFormat="1" applyFont="1" applyBorder="1" applyAlignment="1">
      <alignment horizontal="center" vertical="center"/>
    </xf>
    <xf numFmtId="3" fontId="76" fillId="0" borderId="10" xfId="64" applyNumberFormat="1" applyFont="1" applyBorder="1" applyAlignment="1">
      <alignment horizontal="center" vertical="center" wrapText="1"/>
    </xf>
    <xf numFmtId="0" fontId="74" fillId="0" borderId="87" xfId="64" applyFont="1" applyBorder="1"/>
    <xf numFmtId="0" fontId="74" fillId="0" borderId="88" xfId="64" applyFont="1" applyBorder="1"/>
    <xf numFmtId="3" fontId="50" fillId="0" borderId="10" xfId="64" applyNumberFormat="1" applyFont="1" applyBorder="1" applyAlignment="1">
      <alignment horizontal="center" vertical="center"/>
    </xf>
    <xf numFmtId="0" fontId="74" fillId="0" borderId="89" xfId="64" applyFont="1" applyBorder="1"/>
    <xf numFmtId="0" fontId="74" fillId="0" borderId="10" xfId="64" applyFont="1" applyBorder="1" applyAlignment="1">
      <alignment horizontal="center" vertical="center"/>
    </xf>
    <xf numFmtId="3" fontId="77" fillId="0" borderId="10" xfId="64" applyNumberFormat="1" applyFont="1" applyBorder="1" applyAlignment="1">
      <alignment horizontal="center" vertical="center" wrapText="1"/>
    </xf>
    <xf numFmtId="0" fontId="74" fillId="0" borderId="90" xfId="64" applyFont="1" applyBorder="1"/>
    <xf numFmtId="14" fontId="74" fillId="0" borderId="10" xfId="64" applyNumberFormat="1" applyFont="1" applyBorder="1" applyAlignment="1">
      <alignment horizontal="center" vertical="center" wrapText="1"/>
    </xf>
    <xf numFmtId="0" fontId="74" fillId="0" borderId="10" xfId="64" applyFont="1" applyBorder="1" applyAlignment="1">
      <alignment horizontal="center" vertical="center" wrapText="1"/>
    </xf>
    <xf numFmtId="3" fontId="78" fillId="0" borderId="10" xfId="64" applyNumberFormat="1" applyFont="1" applyBorder="1" applyAlignment="1">
      <alignment horizontal="center" vertical="center" wrapText="1"/>
    </xf>
    <xf numFmtId="0" fontId="74" fillId="0" borderId="10" xfId="64" applyFont="1" applyBorder="1" applyAlignment="1">
      <alignment horizontal="center"/>
    </xf>
    <xf numFmtId="3" fontId="79" fillId="0" borderId="10" xfId="64" applyNumberFormat="1" applyFont="1" applyBorder="1" applyAlignment="1">
      <alignment horizontal="center" vertical="center"/>
    </xf>
    <xf numFmtId="0" fontId="79" fillId="0" borderId="0" xfId="64" applyFont="1" applyAlignment="1">
      <alignment horizontal="center"/>
    </xf>
    <xf numFmtId="0" fontId="79" fillId="0" borderId="90" xfId="64" applyFont="1" applyBorder="1" applyAlignment="1">
      <alignment horizontal="center"/>
    </xf>
    <xf numFmtId="3" fontId="79" fillId="0" borderId="10" xfId="64" applyNumberFormat="1" applyFont="1" applyBorder="1" applyAlignment="1">
      <alignment horizontal="center" vertical="center" wrapText="1"/>
    </xf>
    <xf numFmtId="0" fontId="78" fillId="0" borderId="0" xfId="64" applyFont="1"/>
    <xf numFmtId="0" fontId="78" fillId="0" borderId="91" xfId="64" applyFont="1" applyBorder="1"/>
    <xf numFmtId="3" fontId="74" fillId="0" borderId="10" xfId="64" applyNumberFormat="1" applyFont="1" applyBorder="1" applyAlignment="1">
      <alignment horizontal="center" vertical="center" wrapText="1"/>
    </xf>
    <xf numFmtId="3" fontId="78" fillId="0" borderId="10" xfId="64" applyNumberFormat="1" applyFont="1" applyBorder="1" applyAlignment="1">
      <alignment horizontal="center" vertical="center"/>
    </xf>
    <xf numFmtId="0" fontId="78" fillId="0" borderId="88" xfId="64" applyFont="1" applyBorder="1"/>
    <xf numFmtId="171" fontId="74" fillId="0" borderId="10" xfId="82" applyNumberFormat="1" applyFont="1" applyFill="1" applyBorder="1" applyAlignment="1">
      <alignment horizontal="center" vertical="center"/>
    </xf>
    <xf numFmtId="171" fontId="76" fillId="0" borderId="10" xfId="82" applyNumberFormat="1" applyFont="1" applyFill="1" applyBorder="1" applyAlignment="1">
      <alignment horizontal="center" vertical="center"/>
    </xf>
    <xf numFmtId="3" fontId="79" fillId="0" borderId="92" xfId="64" applyNumberFormat="1" applyFont="1" applyBorder="1" applyAlignment="1">
      <alignment horizontal="center" vertical="center"/>
    </xf>
    <xf numFmtId="3" fontId="79" fillId="0" borderId="93" xfId="64" applyNumberFormat="1" applyFont="1" applyBorder="1" applyAlignment="1">
      <alignment horizontal="center" vertical="center"/>
    </xf>
    <xf numFmtId="3" fontId="79" fillId="0" borderId="94" xfId="64" applyNumberFormat="1" applyFont="1" applyBorder="1" applyAlignment="1">
      <alignment horizontal="center" vertical="center"/>
    </xf>
    <xf numFmtId="3" fontId="79" fillId="0" borderId="95" xfId="64" applyNumberFormat="1" applyFont="1" applyBorder="1" applyAlignment="1">
      <alignment horizontal="center" vertical="center"/>
    </xf>
    <xf numFmtId="3" fontId="79" fillId="0" borderId="0" xfId="64" applyNumberFormat="1" applyFont="1" applyAlignment="1">
      <alignment horizontal="center" vertical="center"/>
    </xf>
    <xf numFmtId="0" fontId="80" fillId="31" borderId="96" xfId="64" applyFont="1" applyFill="1" applyBorder="1" applyAlignment="1">
      <alignment horizontal="center" vertical="center" wrapText="1"/>
    </xf>
    <xf numFmtId="171" fontId="50" fillId="31" borderId="97" xfId="82" applyNumberFormat="1" applyFont="1" applyFill="1" applyBorder="1" applyAlignment="1">
      <alignment horizontal="center" vertical="center"/>
    </xf>
    <xf numFmtId="0" fontId="81" fillId="32" borderId="0" xfId="64" applyFont="1" applyFill="1" applyAlignment="1">
      <alignment horizontal="center" vertical="center" wrapText="1"/>
    </xf>
    <xf numFmtId="171" fontId="81" fillId="32" borderId="98" xfId="82" applyNumberFormat="1" applyFont="1" applyFill="1" applyBorder="1" applyAlignment="1">
      <alignment vertical="center"/>
    </xf>
    <xf numFmtId="0" fontId="74" fillId="0" borderId="99" xfId="64" applyFont="1" applyBorder="1"/>
    <xf numFmtId="171" fontId="82" fillId="0" borderId="0" xfId="82" applyNumberFormat="1" applyFont="1" applyFill="1" applyBorder="1" applyAlignment="1">
      <alignment vertical="center" wrapText="1"/>
    </xf>
    <xf numFmtId="171" fontId="74" fillId="0" borderId="0" xfId="64" applyNumberFormat="1" applyFont="1"/>
    <xf numFmtId="0" fontId="82" fillId="0" borderId="0" xfId="64" applyFont="1"/>
    <xf numFmtId="0" fontId="82" fillId="0" borderId="0" xfId="64" applyFont="1" applyAlignment="1">
      <alignment vertical="center" wrapText="1"/>
    </xf>
    <xf numFmtId="3" fontId="82" fillId="0" borderId="0" xfId="64" applyNumberFormat="1" applyFont="1"/>
    <xf numFmtId="0" fontId="76" fillId="0" borderId="0" xfId="64" applyFont="1"/>
    <xf numFmtId="3" fontId="74" fillId="0" borderId="0" xfId="64" applyNumberFormat="1" applyFont="1"/>
    <xf numFmtId="0" fontId="74" fillId="0" borderId="91" xfId="64" applyFont="1" applyBorder="1"/>
    <xf numFmtId="0" fontId="74" fillId="0" borderId="100" xfId="64" applyFont="1" applyBorder="1"/>
    <xf numFmtId="0" fontId="74" fillId="0" borderId="101" xfId="64" applyFont="1" applyBorder="1"/>
    <xf numFmtId="0" fontId="49" fillId="0" borderId="0" xfId="68" applyFont="1" applyAlignment="1">
      <alignment vertical="center" wrapText="1"/>
    </xf>
    <xf numFmtId="0" fontId="83" fillId="0" borderId="0" xfId="68" applyFont="1" applyAlignment="1">
      <alignment vertical="center" wrapText="1"/>
    </xf>
    <xf numFmtId="0" fontId="49" fillId="0" borderId="11" xfId="68" applyFont="1" applyBorder="1" applyAlignment="1">
      <alignment vertical="center" wrapText="1"/>
    </xf>
    <xf numFmtId="0" fontId="49" fillId="0" borderId="10" xfId="68" applyFont="1" applyBorder="1" applyAlignment="1">
      <alignment horizontal="center" vertical="center" wrapText="1"/>
    </xf>
    <xf numFmtId="0" fontId="49" fillId="0" borderId="10" xfId="68" applyFont="1" applyBorder="1" applyAlignment="1">
      <alignment vertical="center" wrapText="1"/>
    </xf>
    <xf numFmtId="0" fontId="48" fillId="0" borderId="10" xfId="68" applyFont="1" applyBorder="1" applyAlignment="1">
      <alignment vertical="center" wrapText="1"/>
    </xf>
    <xf numFmtId="3" fontId="48" fillId="0" borderId="10" xfId="68" applyNumberFormat="1" applyFont="1" applyBorder="1" applyAlignment="1">
      <alignment vertical="center" wrapText="1"/>
    </xf>
    <xf numFmtId="3" fontId="49" fillId="0" borderId="10" xfId="68" applyNumberFormat="1" applyFont="1" applyBorder="1" applyAlignment="1">
      <alignment vertical="center" wrapText="1"/>
    </xf>
    <xf numFmtId="3" fontId="0" fillId="0" borderId="0" xfId="0" applyNumberFormat="1"/>
    <xf numFmtId="0" fontId="48" fillId="0" borderId="0" xfId="68" applyFont="1" applyAlignment="1">
      <alignment vertical="center" wrapText="1"/>
    </xf>
    <xf numFmtId="3" fontId="48" fillId="0" borderId="0" xfId="68" applyNumberFormat="1" applyFont="1" applyAlignment="1">
      <alignment vertical="center" wrapText="1"/>
    </xf>
    <xf numFmtId="3" fontId="49" fillId="0" borderId="0" xfId="68" applyNumberFormat="1" applyFont="1" applyAlignment="1">
      <alignment vertical="center" wrapText="1"/>
    </xf>
    <xf numFmtId="168" fontId="48" fillId="0" borderId="10" xfId="41" applyNumberFormat="1" applyFont="1" applyBorder="1" applyAlignment="1">
      <alignment vertical="center" wrapText="1"/>
    </xf>
    <xf numFmtId="3" fontId="48" fillId="0" borderId="102" xfId="68" applyNumberFormat="1" applyFont="1" applyBorder="1" applyAlignment="1">
      <alignment vertical="center" wrapText="1"/>
    </xf>
    <xf numFmtId="3" fontId="48" fillId="0" borderId="103" xfId="68" applyNumberFormat="1" applyFont="1" applyBorder="1" applyAlignment="1">
      <alignment vertical="center" wrapText="1"/>
    </xf>
    <xf numFmtId="3" fontId="48" fillId="0" borderId="26" xfId="68" applyNumberFormat="1" applyFont="1" applyBorder="1" applyAlignment="1">
      <alignment vertical="center" wrapText="1"/>
    </xf>
    <xf numFmtId="3" fontId="48" fillId="0" borderId="24" xfId="68" applyNumberFormat="1" applyFont="1" applyBorder="1" applyAlignment="1">
      <alignment vertical="center" wrapText="1"/>
    </xf>
    <xf numFmtId="168" fontId="49" fillId="0" borderId="10" xfId="41" applyNumberFormat="1" applyFont="1" applyBorder="1" applyAlignment="1">
      <alignment vertical="center" wrapText="1"/>
    </xf>
    <xf numFmtId="0" fontId="48" fillId="0" borderId="26" xfId="68" applyFont="1" applyBorder="1" applyAlignment="1">
      <alignment vertical="center" wrapText="1"/>
    </xf>
    <xf numFmtId="3" fontId="48" fillId="0" borderId="33" xfId="68" applyNumberFormat="1" applyFont="1" applyBorder="1" applyAlignment="1">
      <alignment vertical="center" wrapText="1"/>
    </xf>
    <xf numFmtId="3" fontId="48" fillId="0" borderId="34" xfId="68" applyNumberFormat="1" applyFont="1" applyBorder="1" applyAlignment="1">
      <alignment vertical="center" wrapText="1"/>
    </xf>
    <xf numFmtId="0" fontId="49" fillId="0" borderId="26" xfId="68" applyFont="1" applyBorder="1" applyAlignment="1">
      <alignment vertical="center" wrapText="1"/>
    </xf>
    <xf numFmtId="168" fontId="48" fillId="0" borderId="0" xfId="41" applyNumberFormat="1" applyFont="1" applyAlignment="1">
      <alignment vertical="center" wrapText="1"/>
    </xf>
    <xf numFmtId="165" fontId="33" fillId="24" borderId="0" xfId="70" applyNumberFormat="1" applyFont="1" applyFill="1" applyAlignment="1">
      <alignment horizontal="center" vertical="center" wrapText="1"/>
    </xf>
    <xf numFmtId="168" fontId="0" fillId="0" borderId="0" xfId="41" applyNumberFormat="1" applyFont="1"/>
    <xf numFmtId="165" fontId="33" fillId="24" borderId="11" xfId="70" applyNumberFormat="1" applyFont="1" applyFill="1" applyBorder="1" applyAlignment="1">
      <alignment horizontal="center" vertical="center" wrapText="1"/>
    </xf>
    <xf numFmtId="165" fontId="33" fillId="27" borderId="11" xfId="70" applyNumberFormat="1" applyFont="1" applyFill="1" applyBorder="1" applyAlignment="1">
      <alignment horizontal="center" vertical="center" wrapText="1"/>
    </xf>
    <xf numFmtId="165" fontId="60" fillId="24" borderId="10" xfId="70" applyNumberFormat="1" applyFont="1" applyFill="1" applyBorder="1" applyAlignment="1">
      <alignment horizontal="center" vertical="center" wrapText="1"/>
    </xf>
    <xf numFmtId="0" fontId="84" fillId="24" borderId="102" xfId="70" applyFont="1" applyFill="1" applyBorder="1" applyAlignment="1">
      <alignment horizontal="center" vertical="center" wrapText="1"/>
    </xf>
    <xf numFmtId="0" fontId="37" fillId="27" borderId="10" xfId="70" applyFont="1" applyFill="1" applyBorder="1" applyAlignment="1">
      <alignment horizontal="center" vertical="center" wrapText="1"/>
    </xf>
    <xf numFmtId="0" fontId="37" fillId="0" borderId="10" xfId="70" applyFont="1" applyBorder="1" applyAlignment="1">
      <alignment horizontal="center" vertical="center" wrapText="1"/>
    </xf>
    <xf numFmtId="165" fontId="60" fillId="24" borderId="28" xfId="70" applyNumberFormat="1" applyFont="1" applyFill="1" applyBorder="1" applyAlignment="1">
      <alignment horizontal="center" vertical="center" wrapText="1"/>
    </xf>
    <xf numFmtId="0" fontId="49" fillId="0" borderId="28" xfId="68" applyFont="1" applyBorder="1" applyAlignment="1">
      <alignment vertical="center" wrapText="1"/>
    </xf>
    <xf numFmtId="168" fontId="37" fillId="27" borderId="10" xfId="41" applyNumberFormat="1" applyFont="1" applyFill="1" applyBorder="1" applyAlignment="1">
      <alignment horizontal="center" vertical="center" wrapText="1"/>
    </xf>
    <xf numFmtId="168" fontId="37" fillId="0" borderId="10" xfId="41" applyNumberFormat="1" applyFont="1" applyBorder="1" applyAlignment="1">
      <alignment horizontal="center" vertical="center" wrapText="1"/>
    </xf>
    <xf numFmtId="168" fontId="49" fillId="0" borderId="10" xfId="41" applyNumberFormat="1" applyFont="1" applyBorder="1" applyAlignment="1">
      <alignment horizontal="center" vertical="center" wrapText="1"/>
    </xf>
    <xf numFmtId="0" fontId="59" fillId="24" borderId="28" xfId="70" applyFont="1" applyFill="1" applyBorder="1" applyAlignment="1">
      <alignment horizontal="left" vertical="center" wrapText="1"/>
    </xf>
    <xf numFmtId="166" fontId="85" fillId="24" borderId="10" xfId="70" applyNumberFormat="1" applyFont="1" applyFill="1" applyBorder="1" applyAlignment="1">
      <alignment vertical="center" wrapText="1"/>
    </xf>
    <xf numFmtId="168" fontId="59" fillId="27" borderId="10" xfId="41" applyNumberFormat="1" applyFont="1" applyFill="1" applyBorder="1" applyAlignment="1">
      <alignment horizontal="center" vertical="center" wrapText="1"/>
    </xf>
    <xf numFmtId="168" fontId="59" fillId="0" borderId="10" xfId="41" applyNumberFormat="1" applyFont="1" applyBorder="1" applyAlignment="1">
      <alignment horizontal="center" vertical="center" wrapText="1"/>
    </xf>
    <xf numFmtId="3" fontId="36" fillId="0" borderId="0" xfId="0" applyNumberFormat="1" applyFont="1"/>
    <xf numFmtId="0" fontId="33" fillId="24" borderId="28" xfId="70" applyFont="1" applyFill="1" applyBorder="1" applyAlignment="1">
      <alignment horizontal="left" vertical="center" wrapText="1"/>
    </xf>
    <xf numFmtId="166" fontId="60" fillId="24" borderId="28" xfId="70" applyNumberFormat="1" applyFont="1" applyFill="1" applyBorder="1" applyAlignment="1">
      <alignment vertical="center" wrapText="1"/>
    </xf>
    <xf numFmtId="168" fontId="60" fillId="27" borderId="10" xfId="41" applyNumberFormat="1" applyFont="1" applyFill="1" applyBorder="1" applyAlignment="1">
      <alignment horizontal="center" vertical="center" wrapText="1"/>
    </xf>
    <xf numFmtId="0" fontId="32" fillId="24" borderId="28" xfId="70" applyFont="1" applyFill="1" applyBorder="1" applyAlignment="1">
      <alignment horizontal="left" vertical="center" wrapText="1"/>
    </xf>
    <xf numFmtId="166" fontId="59" fillId="24" borderId="28" xfId="70" applyNumberFormat="1" applyFont="1" applyFill="1" applyBorder="1" applyAlignment="1">
      <alignment vertical="center" wrapText="1"/>
    </xf>
    <xf numFmtId="0" fontId="33" fillId="24" borderId="28" xfId="70" applyFont="1" applyFill="1" applyBorder="1" applyAlignment="1">
      <alignment horizontal="right" vertical="center" wrapText="1"/>
    </xf>
    <xf numFmtId="166" fontId="33" fillId="24" borderId="28" xfId="70" applyNumberFormat="1" applyFont="1" applyFill="1" applyBorder="1" applyAlignment="1">
      <alignment vertical="center" wrapText="1"/>
    </xf>
    <xf numFmtId="0" fontId="59" fillId="24" borderId="28" xfId="70" applyFont="1" applyFill="1" applyBorder="1" applyAlignment="1">
      <alignment vertical="center" wrapText="1"/>
    </xf>
    <xf numFmtId="0" fontId="36" fillId="24" borderId="28" xfId="70" applyFont="1" applyFill="1" applyBorder="1" applyAlignment="1">
      <alignment horizontal="left" vertical="center" wrapText="1"/>
    </xf>
    <xf numFmtId="168" fontId="59" fillId="24" borderId="81" xfId="41" applyNumberFormat="1" applyFont="1" applyFill="1" applyBorder="1" applyAlignment="1">
      <alignment horizontal="center" vertical="center" wrapText="1"/>
    </xf>
    <xf numFmtId="0" fontId="38" fillId="0" borderId="10" xfId="0" applyFont="1" applyBorder="1"/>
    <xf numFmtId="0" fontId="36" fillId="0" borderId="10" xfId="0" applyFont="1" applyBorder="1"/>
    <xf numFmtId="168" fontId="36" fillId="0" borderId="0" xfId="41" applyNumberFormat="1" applyFont="1"/>
    <xf numFmtId="0" fontId="49" fillId="0" borderId="0" xfId="68" applyFont="1" applyAlignment="1">
      <alignment wrapText="1"/>
    </xf>
    <xf numFmtId="0" fontId="36" fillId="0" borderId="0" xfId="74" applyFont="1"/>
    <xf numFmtId="0" fontId="35" fillId="0" borderId="0" xfId="74" applyFont="1" applyProtection="1">
      <protection locked="0"/>
    </xf>
    <xf numFmtId="0" fontId="36" fillId="27" borderId="0" xfId="74" applyFont="1" applyFill="1"/>
    <xf numFmtId="0" fontId="61" fillId="27" borderId="0" xfId="74" applyFont="1" applyFill="1" applyAlignment="1">
      <alignment horizontal="right"/>
    </xf>
    <xf numFmtId="0" fontId="37" fillId="0" borderId="104" xfId="74" applyFont="1" applyBorder="1" applyAlignment="1">
      <alignment vertical="center"/>
    </xf>
    <xf numFmtId="0" fontId="37" fillId="27" borderId="105" xfId="74" applyFont="1" applyFill="1" applyBorder="1" applyAlignment="1">
      <alignment horizontal="center" vertical="center"/>
    </xf>
    <xf numFmtId="0" fontId="37" fillId="0" borderId="105" xfId="74" applyFont="1" applyBorder="1" applyAlignment="1">
      <alignment horizontal="center" vertical="center"/>
    </xf>
    <xf numFmtId="0" fontId="37" fillId="0" borderId="106" xfId="74" applyFont="1" applyBorder="1" applyAlignment="1">
      <alignment horizontal="center" vertical="center"/>
    </xf>
    <xf numFmtId="0" fontId="37" fillId="0" borderId="107" xfId="74" applyFont="1" applyBorder="1" applyAlignment="1">
      <alignment horizontal="center" vertical="center"/>
    </xf>
    <xf numFmtId="49" fontId="36" fillId="0" borderId="108" xfId="74" applyNumberFormat="1" applyFont="1" applyBorder="1" applyAlignment="1">
      <alignment vertical="center"/>
    </xf>
    <xf numFmtId="3" fontId="36" fillId="27" borderId="109" xfId="74" applyNumberFormat="1" applyFont="1" applyFill="1" applyBorder="1" applyAlignment="1" applyProtection="1">
      <alignment vertical="center"/>
      <protection locked="0"/>
    </xf>
    <xf numFmtId="3" fontId="36" fillId="0" borderId="109" xfId="74" applyNumberFormat="1" applyFont="1" applyBorder="1" applyAlignment="1" applyProtection="1">
      <alignment vertical="center"/>
      <protection locked="0"/>
    </xf>
    <xf numFmtId="3" fontId="36" fillId="0" borderId="110" xfId="74" applyNumberFormat="1" applyFont="1" applyBorder="1" applyAlignment="1" applyProtection="1">
      <alignment vertical="center"/>
      <protection locked="0"/>
    </xf>
    <xf numFmtId="3" fontId="36" fillId="0" borderId="111" xfId="74" applyNumberFormat="1" applyFont="1" applyBorder="1" applyAlignment="1">
      <alignment vertical="center"/>
    </xf>
    <xf numFmtId="49" fontId="62" fillId="0" borderId="82" xfId="74" quotePrefix="1" applyNumberFormat="1" applyFont="1" applyBorder="1" applyAlignment="1">
      <alignment horizontal="left" vertical="center" indent="1"/>
    </xf>
    <xf numFmtId="3" fontId="62" fillId="27" borderId="10" xfId="74" applyNumberFormat="1" applyFont="1" applyFill="1" applyBorder="1" applyAlignment="1" applyProtection="1">
      <alignment vertical="center"/>
      <protection locked="0"/>
    </xf>
    <xf numFmtId="3" fontId="62" fillId="0" borderId="10" xfId="74" applyNumberFormat="1" applyFont="1" applyBorder="1" applyAlignment="1" applyProtection="1">
      <alignment vertical="center"/>
      <protection locked="0"/>
    </xf>
    <xf numFmtId="3" fontId="62" fillId="0" borderId="28" xfId="74" applyNumberFormat="1" applyFont="1" applyBorder="1" applyAlignment="1" applyProtection="1">
      <alignment vertical="center"/>
      <protection locked="0"/>
    </xf>
    <xf numFmtId="3" fontId="36" fillId="0" borderId="83" xfId="74" applyNumberFormat="1" applyFont="1" applyBorder="1" applyAlignment="1">
      <alignment vertical="center"/>
    </xf>
    <xf numFmtId="49" fontId="36" fillId="0" borderId="82" xfId="74" applyNumberFormat="1" applyFont="1" applyBorder="1" applyAlignment="1">
      <alignment vertical="center"/>
    </xf>
    <xf numFmtId="3" fontId="36" fillId="27" borderId="10" xfId="74" applyNumberFormat="1" applyFont="1" applyFill="1" applyBorder="1" applyAlignment="1" applyProtection="1">
      <alignment vertical="center"/>
      <protection locked="0"/>
    </xf>
    <xf numFmtId="3" fontId="36" fillId="0" borderId="10" xfId="74" applyNumberFormat="1" applyFont="1" applyBorder="1" applyAlignment="1" applyProtection="1">
      <alignment vertical="center"/>
      <protection locked="0"/>
    </xf>
    <xf numFmtId="3" fontId="36" fillId="0" borderId="28" xfId="74" applyNumberFormat="1" applyFont="1" applyBorder="1" applyAlignment="1" applyProtection="1">
      <alignment vertical="center"/>
      <protection locked="0"/>
    </xf>
    <xf numFmtId="49" fontId="37" fillId="0" borderId="112" xfId="74" applyNumberFormat="1" applyFont="1" applyBorder="1" applyAlignment="1">
      <alignment vertical="center"/>
    </xf>
    <xf numFmtId="3" fontId="36" fillId="27" borderId="113" xfId="74" applyNumberFormat="1" applyFont="1" applyFill="1" applyBorder="1" applyAlignment="1">
      <alignment vertical="center"/>
    </xf>
    <xf numFmtId="3" fontId="36" fillId="0" borderId="113" xfId="74" applyNumberFormat="1" applyFont="1" applyBorder="1" applyAlignment="1">
      <alignment vertical="center"/>
    </xf>
    <xf numFmtId="3" fontId="36" fillId="0" borderId="114" xfId="74" applyNumberFormat="1" applyFont="1" applyBorder="1" applyAlignment="1">
      <alignment vertical="center"/>
    </xf>
    <xf numFmtId="0" fontId="36" fillId="0" borderId="0" xfId="74" applyFont="1" applyAlignment="1">
      <alignment vertical="center"/>
    </xf>
    <xf numFmtId="0" fontId="36" fillId="27" borderId="0" xfId="74" applyFont="1" applyFill="1" applyAlignment="1">
      <alignment vertical="center"/>
    </xf>
    <xf numFmtId="49" fontId="36" fillId="0" borderId="115" xfId="74" applyNumberFormat="1" applyFont="1" applyBorder="1" applyAlignment="1">
      <alignment vertical="center"/>
    </xf>
    <xf numFmtId="3" fontId="36" fillId="27" borderId="65" xfId="74" applyNumberFormat="1" applyFont="1" applyFill="1" applyBorder="1" applyAlignment="1" applyProtection="1">
      <alignment vertical="center"/>
      <protection locked="0"/>
    </xf>
    <xf numFmtId="3" fontId="36" fillId="0" borderId="65" xfId="74" applyNumberFormat="1" applyFont="1" applyBorder="1" applyAlignment="1" applyProtection="1">
      <alignment vertical="center"/>
      <protection locked="0"/>
    </xf>
    <xf numFmtId="3" fontId="36" fillId="0" borderId="33" xfId="74" applyNumberFormat="1" applyFont="1" applyBorder="1" applyAlignment="1" applyProtection="1">
      <alignment vertical="center"/>
      <protection locked="0"/>
    </xf>
    <xf numFmtId="49" fontId="36" fillId="0" borderId="82" xfId="74" applyNumberFormat="1" applyFont="1" applyBorder="1" applyAlignment="1">
      <alignment horizontal="left" vertical="center"/>
    </xf>
    <xf numFmtId="3" fontId="36" fillId="27" borderId="114" xfId="74" applyNumberFormat="1" applyFont="1" applyFill="1" applyBorder="1" applyAlignment="1">
      <alignment vertical="center"/>
    </xf>
    <xf numFmtId="3" fontId="0" fillId="27" borderId="0" xfId="0" applyNumberFormat="1" applyFill="1"/>
    <xf numFmtId="0" fontId="37" fillId="0" borderId="108" xfId="0" applyFont="1" applyBorder="1" applyAlignment="1">
      <alignment vertical="center"/>
    </xf>
    <xf numFmtId="0" fontId="37" fillId="0" borderId="109" xfId="0" applyFont="1" applyBorder="1" applyAlignment="1">
      <alignment horizontal="center" vertical="center" wrapText="1"/>
    </xf>
    <xf numFmtId="0" fontId="37" fillId="0" borderId="111" xfId="0" applyFont="1" applyBorder="1" applyAlignment="1">
      <alignment horizontal="center" vertical="center" wrapText="1"/>
    </xf>
    <xf numFmtId="0" fontId="36" fillId="0" borderId="82" xfId="0" applyFont="1" applyBorder="1" applyAlignment="1">
      <alignment horizontal="center" vertical="center"/>
    </xf>
    <xf numFmtId="171" fontId="36" fillId="0" borderId="10" xfId="79" applyNumberFormat="1" applyFont="1" applyBorder="1" applyAlignment="1">
      <alignment vertical="center"/>
    </xf>
    <xf numFmtId="171" fontId="36" fillId="0" borderId="83" xfId="79" applyNumberFormat="1" applyFont="1" applyBorder="1"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171" fontId="0" fillId="0" borderId="0" xfId="79" applyNumberFormat="1" applyFont="1" applyAlignment="1">
      <alignment vertical="center"/>
    </xf>
    <xf numFmtId="171" fontId="0" fillId="0" borderId="0" xfId="79" applyNumberFormat="1" applyFont="1"/>
    <xf numFmtId="0" fontId="0" fillId="0" borderId="0" xfId="0" applyAlignment="1">
      <alignment horizontal="center"/>
    </xf>
    <xf numFmtId="168" fontId="91" fillId="0" borderId="10" xfId="41" applyNumberFormat="1" applyFont="1" applyFill="1" applyBorder="1" applyAlignment="1">
      <alignment horizontal="center" vertical="center"/>
    </xf>
    <xf numFmtId="0" fontId="36" fillId="0" borderId="61" xfId="0" applyFont="1" applyBorder="1" applyAlignment="1">
      <alignment horizontal="center" vertical="center" wrapText="1"/>
    </xf>
    <xf numFmtId="0" fontId="35" fillId="27" borderId="0" xfId="74" applyFont="1" applyFill="1" applyAlignment="1" applyProtection="1">
      <alignment horizontal="left" wrapText="1"/>
      <protection locked="0"/>
    </xf>
    <xf numFmtId="168" fontId="39" fillId="0" borderId="0" xfId="41" applyNumberFormat="1" applyFont="1" applyAlignment="1">
      <alignment wrapText="1"/>
    </xf>
    <xf numFmtId="168" fontId="38" fillId="0" borderId="0" xfId="41" applyNumberFormat="1" applyFont="1" applyAlignment="1">
      <alignment horizontal="center" vertical="center" wrapText="1"/>
    </xf>
    <xf numFmtId="174" fontId="36" fillId="0" borderId="10" xfId="0" applyNumberFormat="1" applyFont="1" applyBorder="1" applyAlignment="1">
      <alignment vertical="center" wrapText="1"/>
    </xf>
    <xf numFmtId="174" fontId="36" fillId="0" borderId="83" xfId="0" applyNumberFormat="1" applyFont="1" applyBorder="1" applyAlignment="1">
      <alignment vertical="center" wrapText="1"/>
    </xf>
    <xf numFmtId="174" fontId="36" fillId="0" borderId="10" xfId="0" applyNumberFormat="1" applyFont="1" applyBorder="1" applyAlignment="1" applyProtection="1">
      <alignment vertical="center" wrapText="1"/>
      <protection locked="0"/>
    </xf>
    <xf numFmtId="168" fontId="31" fillId="27" borderId="0" xfId="41" applyNumberFormat="1" applyFont="1" applyFill="1"/>
    <xf numFmtId="168" fontId="92" fillId="27" borderId="0" xfId="41" applyNumberFormat="1" applyFont="1" applyFill="1"/>
    <xf numFmtId="168" fontId="92" fillId="0" borderId="0" xfId="41" applyNumberFormat="1" applyFont="1"/>
    <xf numFmtId="3" fontId="36" fillId="0" borderId="85" xfId="74" applyNumberFormat="1" applyFont="1" applyBorder="1" applyAlignment="1">
      <alignment vertical="center"/>
    </xf>
    <xf numFmtId="3" fontId="36" fillId="0" borderId="50" xfId="74" applyNumberFormat="1" applyFont="1" applyBorder="1" applyAlignment="1">
      <alignment vertical="center"/>
    </xf>
    <xf numFmtId="0" fontId="36" fillId="0" borderId="116" xfId="0" applyFont="1" applyBorder="1" applyAlignment="1">
      <alignment horizontal="center" vertical="center"/>
    </xf>
    <xf numFmtId="171" fontId="36" fillId="0" borderId="61" xfId="79" applyNumberFormat="1" applyFont="1" applyBorder="1" applyAlignment="1">
      <alignment vertical="center"/>
    </xf>
    <xf numFmtId="171" fontId="36" fillId="0" borderId="117" xfId="79" applyNumberFormat="1" applyFont="1" applyBorder="1" applyAlignment="1">
      <alignment vertical="center"/>
    </xf>
    <xf numFmtId="171" fontId="35" fillId="0" borderId="85" xfId="79" applyNumberFormat="1" applyFont="1" applyBorder="1" applyAlignment="1">
      <alignment vertical="center"/>
    </xf>
    <xf numFmtId="171" fontId="35" fillId="0" borderId="84" xfId="79" applyNumberFormat="1" applyFont="1" applyBorder="1" applyAlignment="1">
      <alignment vertical="center"/>
    </xf>
    <xf numFmtId="168" fontId="37" fillId="0" borderId="10" xfId="41" applyNumberFormat="1" applyFont="1" applyFill="1" applyBorder="1" applyAlignment="1">
      <alignment vertical="center"/>
    </xf>
    <xf numFmtId="0" fontId="36" fillId="0" borderId="64" xfId="0" quotePrefix="1" applyFont="1" applyBorder="1" applyAlignment="1">
      <alignment horizontal="center" vertical="center"/>
    </xf>
    <xf numFmtId="0" fontId="36" fillId="0" borderId="64" xfId="0" applyFont="1" applyBorder="1" applyAlignment="1">
      <alignment horizontal="center" vertical="center"/>
    </xf>
    <xf numFmtId="0" fontId="36" fillId="0" borderId="74" xfId="0" applyFont="1" applyBorder="1" applyAlignment="1">
      <alignment horizontal="center" vertical="center"/>
    </xf>
    <xf numFmtId="168" fontId="37" fillId="0" borderId="10" xfId="41" applyNumberFormat="1" applyFont="1" applyFill="1" applyBorder="1" applyAlignment="1">
      <alignment horizontal="center" vertical="center" wrapText="1"/>
    </xf>
    <xf numFmtId="165" fontId="60" fillId="0" borderId="28" xfId="70" applyNumberFormat="1" applyFont="1" applyBorder="1" applyAlignment="1">
      <alignment horizontal="center" vertical="center" wrapText="1"/>
    </xf>
    <xf numFmtId="0" fontId="32" fillId="0" borderId="28" xfId="70" applyFont="1" applyBorder="1" applyAlignment="1">
      <alignment horizontal="left" vertical="center" wrapText="1"/>
    </xf>
    <xf numFmtId="166" fontId="59" fillId="0" borderId="28" xfId="70" applyNumberFormat="1" applyFont="1" applyBorder="1" applyAlignment="1">
      <alignment vertical="center" wrapText="1"/>
    </xf>
    <xf numFmtId="168" fontId="59" fillId="0" borderId="10" xfId="41" applyNumberFormat="1" applyFont="1" applyFill="1" applyBorder="1" applyAlignment="1">
      <alignment horizontal="center" vertical="center" wrapText="1"/>
    </xf>
    <xf numFmtId="168" fontId="31" fillId="0" borderId="0" xfId="41" applyNumberFormat="1" applyFont="1" applyFill="1"/>
    <xf numFmtId="174" fontId="36" fillId="0" borderId="10" xfId="0" applyNumberFormat="1" applyFont="1" applyBorder="1" applyAlignment="1">
      <alignment horizontal="center" vertical="center" wrapText="1"/>
    </xf>
    <xf numFmtId="174" fontId="37" fillId="0" borderId="10" xfId="0" applyNumberFormat="1" applyFont="1" applyBorder="1" applyAlignment="1">
      <alignment horizontal="left" vertical="center" wrapText="1" indent="1"/>
    </xf>
    <xf numFmtId="168" fontId="36" fillId="0" borderId="14" xfId="41" applyNumberFormat="1" applyFont="1" applyFill="1" applyBorder="1" applyAlignment="1">
      <alignment horizontal="center" vertical="center"/>
    </xf>
    <xf numFmtId="168" fontId="36" fillId="0" borderId="35" xfId="41" applyNumberFormat="1" applyFont="1" applyFill="1" applyBorder="1" applyAlignment="1">
      <alignment horizontal="center" vertical="center"/>
    </xf>
    <xf numFmtId="168" fontId="37" fillId="0" borderId="14" xfId="41" applyNumberFormat="1" applyFont="1" applyFill="1" applyBorder="1" applyAlignment="1">
      <alignment horizontal="center" vertical="center"/>
    </xf>
    <xf numFmtId="168" fontId="37" fillId="0" borderId="53" xfId="41" applyNumberFormat="1" applyFont="1" applyFill="1" applyBorder="1" applyAlignment="1">
      <alignment vertical="center"/>
    </xf>
    <xf numFmtId="0" fontId="37" fillId="0" borderId="39" xfId="0" applyFont="1" applyBorder="1"/>
    <xf numFmtId="0" fontId="37" fillId="0" borderId="17" xfId="0" applyFont="1" applyBorder="1"/>
    <xf numFmtId="168" fontId="37" fillId="0" borderId="18" xfId="41" applyNumberFormat="1" applyFont="1" applyFill="1" applyBorder="1" applyAlignment="1">
      <alignment vertical="center"/>
    </xf>
    <xf numFmtId="0" fontId="37" fillId="0" borderId="46" xfId="0" applyFont="1" applyBorder="1"/>
    <xf numFmtId="0" fontId="37" fillId="0" borderId="16" xfId="0" applyFont="1" applyBorder="1"/>
    <xf numFmtId="168" fontId="37" fillId="0" borderId="16" xfId="41" applyNumberFormat="1" applyFont="1" applyFill="1" applyBorder="1" applyAlignment="1">
      <alignment vertical="center"/>
    </xf>
    <xf numFmtId="168" fontId="37" fillId="0" borderId="12" xfId="41" applyNumberFormat="1" applyFont="1" applyFill="1" applyBorder="1" applyAlignment="1">
      <alignment vertical="center"/>
    </xf>
    <xf numFmtId="168" fontId="37" fillId="0" borderId="16" xfId="41" applyNumberFormat="1" applyFont="1" applyFill="1" applyBorder="1"/>
    <xf numFmtId="0" fontId="35" fillId="0" borderId="17" xfId="0" applyFont="1" applyBorder="1" applyAlignment="1">
      <alignment vertical="center"/>
    </xf>
    <xf numFmtId="168" fontId="35" fillId="0" borderId="17" xfId="41" applyNumberFormat="1" applyFont="1" applyFill="1" applyBorder="1" applyAlignment="1">
      <alignment vertical="center"/>
    </xf>
    <xf numFmtId="168" fontId="35" fillId="0" borderId="18" xfId="41" applyNumberFormat="1" applyFont="1" applyFill="1" applyBorder="1" applyAlignment="1">
      <alignment vertical="center"/>
    </xf>
    <xf numFmtId="168" fontId="35" fillId="0" borderId="53" xfId="41" applyNumberFormat="1" applyFont="1" applyFill="1" applyBorder="1" applyAlignment="1">
      <alignment vertical="center"/>
    </xf>
    <xf numFmtId="168" fontId="35" fillId="0" borderId="18" xfId="41" applyNumberFormat="1" applyFont="1" applyFill="1" applyBorder="1"/>
    <xf numFmtId="168" fontId="34" fillId="0" borderId="10" xfId="41" applyNumberFormat="1" applyFont="1" applyFill="1" applyBorder="1"/>
    <xf numFmtId="168" fontId="70" fillId="0" borderId="10" xfId="41" applyNumberFormat="1" applyFont="1" applyFill="1" applyBorder="1"/>
    <xf numFmtId="168" fontId="35" fillId="0" borderId="10" xfId="41" applyNumberFormat="1" applyFont="1" applyFill="1" applyBorder="1"/>
    <xf numFmtId="0" fontId="55" fillId="0" borderId="0" xfId="0" applyFont="1" applyAlignment="1">
      <alignment wrapText="1"/>
    </xf>
    <xf numFmtId="10" fontId="35" fillId="29" borderId="10" xfId="84" applyNumberFormat="1" applyFont="1" applyFill="1" applyBorder="1" applyAlignment="1">
      <alignment horizontal="center"/>
    </xf>
    <xf numFmtId="168" fontId="36" fillId="0" borderId="0" xfId="0" applyNumberFormat="1" applyFont="1" applyAlignment="1">
      <alignment horizontal="left" vertical="center" wrapText="1"/>
    </xf>
    <xf numFmtId="0" fontId="36" fillId="24" borderId="19" xfId="0" applyFont="1" applyFill="1" applyBorder="1" applyAlignment="1">
      <alignment horizontal="left" vertical="center" wrapText="1"/>
    </xf>
    <xf numFmtId="49" fontId="36" fillId="0" borderId="16" xfId="0" quotePrefix="1" applyNumberFormat="1" applyFont="1" applyBorder="1" applyAlignment="1">
      <alignment horizontal="center" vertical="center"/>
    </xf>
    <xf numFmtId="168" fontId="36" fillId="27" borderId="52" xfId="41" applyNumberFormat="1" applyFont="1" applyFill="1" applyBorder="1" applyAlignment="1">
      <alignment horizontal="center" vertical="center"/>
    </xf>
    <xf numFmtId="168" fontId="36" fillId="27" borderId="31" xfId="41" applyNumberFormat="1" applyFont="1" applyFill="1" applyBorder="1" applyAlignment="1">
      <alignment horizontal="center" vertical="center"/>
    </xf>
    <xf numFmtId="168" fontId="36" fillId="0" borderId="14" xfId="41" applyNumberFormat="1" applyFont="1" applyFill="1" applyBorder="1"/>
    <xf numFmtId="0" fontId="89" fillId="0" borderId="14" xfId="0" applyFont="1" applyBorder="1" applyAlignment="1">
      <alignment horizontal="center" vertical="center" wrapText="1"/>
    </xf>
    <xf numFmtId="0" fontId="36" fillId="0" borderId="16" xfId="0" quotePrefix="1" applyFont="1" applyBorder="1" applyAlignment="1">
      <alignment horizontal="center" vertical="center"/>
    </xf>
    <xf numFmtId="168" fontId="36" fillId="0" borderId="79" xfId="41" applyNumberFormat="1" applyFont="1" applyFill="1" applyBorder="1" applyAlignment="1">
      <alignment vertical="center"/>
    </xf>
    <xf numFmtId="168" fontId="36" fillId="0" borderId="118" xfId="41" applyNumberFormat="1" applyFont="1" applyFill="1" applyBorder="1" applyAlignment="1">
      <alignment vertical="center"/>
    </xf>
    <xf numFmtId="49" fontId="36" fillId="27" borderId="20" xfId="0" applyNumberFormat="1" applyFont="1" applyFill="1" applyBorder="1" applyAlignment="1">
      <alignment horizontal="center" vertical="center"/>
    </xf>
    <xf numFmtId="49" fontId="36" fillId="27" borderId="19" xfId="0" quotePrefix="1" applyNumberFormat="1" applyFont="1" applyFill="1" applyBorder="1" applyAlignment="1">
      <alignment horizontal="center" vertical="center"/>
    </xf>
    <xf numFmtId="49" fontId="36" fillId="27" borderId="16" xfId="0" quotePrefix="1" applyNumberFormat="1" applyFont="1" applyFill="1" applyBorder="1" applyAlignment="1">
      <alignment horizontal="center" vertical="center"/>
    </xf>
    <xf numFmtId="168" fontId="36" fillId="0" borderId="118" xfId="41" applyNumberFormat="1" applyFont="1" applyFill="1" applyBorder="1" applyAlignment="1">
      <alignment horizontal="center" vertical="center"/>
    </xf>
    <xf numFmtId="49" fontId="36" fillId="0" borderId="46" xfId="0" applyNumberFormat="1" applyFont="1" applyBorder="1" applyAlignment="1">
      <alignment horizontal="center" vertical="center"/>
    </xf>
    <xf numFmtId="167" fontId="36" fillId="0" borderId="60" xfId="43" applyNumberFormat="1" applyFont="1" applyFill="1" applyBorder="1" applyAlignment="1">
      <alignment horizontal="right" vertical="center"/>
    </xf>
    <xf numFmtId="167" fontId="36" fillId="0" borderId="71" xfId="43" applyNumberFormat="1" applyFont="1" applyFill="1" applyBorder="1" applyAlignment="1">
      <alignment horizontal="right" vertical="center"/>
    </xf>
    <xf numFmtId="167" fontId="36" fillId="0" borderId="62" xfId="43" applyNumberFormat="1" applyFont="1" applyFill="1" applyBorder="1" applyAlignment="1">
      <alignment horizontal="right" vertical="center"/>
    </xf>
    <xf numFmtId="49" fontId="36" fillId="0" borderId="41" xfId="0" applyNumberFormat="1" applyFont="1" applyBorder="1" applyAlignment="1">
      <alignment horizontal="center" vertical="center"/>
    </xf>
    <xf numFmtId="168" fontId="36" fillId="0" borderId="12" xfId="41" applyNumberFormat="1" applyFont="1" applyFill="1" applyBorder="1" applyAlignment="1">
      <alignment vertical="center"/>
    </xf>
    <xf numFmtId="168" fontId="36" fillId="27" borderId="19" xfId="41" applyNumberFormat="1" applyFont="1" applyFill="1" applyBorder="1" applyAlignment="1">
      <alignment horizontal="center" vertical="center"/>
    </xf>
    <xf numFmtId="168" fontId="36" fillId="27" borderId="19" xfId="41" applyNumberFormat="1" applyFont="1" applyFill="1" applyBorder="1" applyAlignment="1">
      <alignment vertical="center"/>
    </xf>
    <xf numFmtId="168" fontId="37" fillId="0" borderId="53" xfId="41" applyNumberFormat="1" applyFont="1" applyFill="1" applyBorder="1" applyAlignment="1">
      <alignment horizontal="center" vertical="center"/>
    </xf>
    <xf numFmtId="0" fontId="32" fillId="27" borderId="0" xfId="0" applyFont="1" applyFill="1" applyAlignment="1">
      <alignment horizontal="right"/>
    </xf>
    <xf numFmtId="0" fontId="8" fillId="0" borderId="0" xfId="92"/>
    <xf numFmtId="0" fontId="8" fillId="27" borderId="0" xfId="92" applyFill="1"/>
    <xf numFmtId="0" fontId="95" fillId="27" borderId="0" xfId="92" applyFont="1" applyFill="1" applyAlignment="1">
      <alignment horizontal="right"/>
    </xf>
    <xf numFmtId="0" fontId="36" fillId="24" borderId="10" xfId="92" applyFont="1" applyFill="1" applyBorder="1" applyAlignment="1">
      <alignment horizontal="center" vertical="center" wrapText="1"/>
    </xf>
    <xf numFmtId="0" fontId="36" fillId="24" borderId="0" xfId="92" applyFont="1" applyFill="1"/>
    <xf numFmtId="168" fontId="36" fillId="24" borderId="17" xfId="93" applyNumberFormat="1" applyFont="1" applyFill="1" applyBorder="1" applyAlignment="1">
      <alignment horizontal="center" vertical="center" wrapText="1"/>
    </xf>
    <xf numFmtId="168" fontId="37" fillId="24" borderId="17" xfId="92" applyNumberFormat="1" applyFont="1" applyFill="1" applyBorder="1" applyAlignment="1">
      <alignment vertical="center"/>
    </xf>
    <xf numFmtId="0" fontId="36" fillId="0" borderId="25" xfId="92" applyFont="1" applyBorder="1" applyAlignment="1">
      <alignment horizontal="center" vertical="center"/>
    </xf>
    <xf numFmtId="0" fontId="36" fillId="0" borderId="14" xfId="92" quotePrefix="1" applyFont="1" applyBorder="1" applyAlignment="1">
      <alignment horizontal="center" vertical="center"/>
    </xf>
    <xf numFmtId="49" fontId="36" fillId="0" borderId="14" xfId="92" quotePrefix="1" applyNumberFormat="1" applyFont="1" applyBorder="1" applyAlignment="1">
      <alignment horizontal="center" vertical="center"/>
    </xf>
    <xf numFmtId="0" fontId="36" fillId="0" borderId="14" xfId="92" applyFont="1" applyBorder="1" applyAlignment="1">
      <alignment horizontal="left" vertical="center"/>
    </xf>
    <xf numFmtId="168" fontId="36" fillId="27" borderId="14" xfId="93" applyNumberFormat="1" applyFont="1" applyFill="1" applyBorder="1" applyAlignment="1">
      <alignment horizontal="center" vertical="center" wrapText="1"/>
    </xf>
    <xf numFmtId="168" fontId="36" fillId="27" borderId="35" xfId="93" applyNumberFormat="1" applyFont="1" applyFill="1" applyBorder="1" applyAlignment="1">
      <alignment horizontal="center" vertical="center" wrapText="1"/>
    </xf>
    <xf numFmtId="0" fontId="36" fillId="0" borderId="20" xfId="92" applyFont="1" applyBorder="1" applyAlignment="1">
      <alignment horizontal="center" vertical="center"/>
    </xf>
    <xf numFmtId="49" fontId="36" fillId="24" borderId="19" xfId="92" applyNumberFormat="1" applyFont="1" applyFill="1" applyBorder="1" applyAlignment="1">
      <alignment horizontal="center" vertical="center"/>
    </xf>
    <xf numFmtId="0" fontId="36" fillId="0" borderId="19" xfId="92" applyFont="1" applyBorder="1" applyAlignment="1">
      <alignment horizontal="left" vertical="center" wrapText="1"/>
    </xf>
    <xf numFmtId="168" fontId="37" fillId="27" borderId="19" xfId="93" applyNumberFormat="1" applyFont="1" applyFill="1" applyBorder="1" applyAlignment="1">
      <alignment horizontal="center" vertical="center" wrapText="1"/>
    </xf>
    <xf numFmtId="168" fontId="37" fillId="27" borderId="32" xfId="93" applyNumberFormat="1" applyFont="1" applyFill="1" applyBorder="1" applyAlignment="1">
      <alignment horizontal="center" vertical="center" wrapText="1"/>
    </xf>
    <xf numFmtId="0" fontId="37" fillId="24" borderId="17" xfId="92" applyFont="1" applyFill="1" applyBorder="1" applyAlignment="1">
      <alignment vertical="center"/>
    </xf>
    <xf numFmtId="0" fontId="36" fillId="24" borderId="18" xfId="92" applyFont="1" applyFill="1" applyBorder="1" applyAlignment="1">
      <alignment horizontal="center" vertical="center"/>
    </xf>
    <xf numFmtId="0" fontId="93" fillId="0" borderId="19" xfId="92" applyFont="1" applyBorder="1"/>
    <xf numFmtId="0" fontId="96" fillId="0" borderId="14" xfId="92" applyFont="1" applyBorder="1" applyAlignment="1">
      <alignment wrapText="1"/>
    </xf>
    <xf numFmtId="0" fontId="93" fillId="0" borderId="14" xfId="92" applyFont="1" applyBorder="1"/>
    <xf numFmtId="49" fontId="36" fillId="0" borderId="19" xfId="92" quotePrefix="1" applyNumberFormat="1" applyFont="1" applyBorder="1" applyAlignment="1">
      <alignment horizontal="center" vertical="center"/>
    </xf>
    <xf numFmtId="0" fontId="96" fillId="0" borderId="19" xfId="92" applyFont="1" applyBorder="1" applyAlignment="1">
      <alignment wrapText="1"/>
    </xf>
    <xf numFmtId="0" fontId="93" fillId="0" borderId="32" xfId="92" applyFont="1" applyBorder="1"/>
    <xf numFmtId="0" fontId="93" fillId="0" borderId="20" xfId="92" applyFont="1" applyBorder="1"/>
    <xf numFmtId="49" fontId="93" fillId="0" borderId="19" xfId="92" applyNumberFormat="1" applyFont="1" applyBorder="1"/>
    <xf numFmtId="0" fontId="93" fillId="0" borderId="46" xfId="92" applyFont="1" applyBorder="1"/>
    <xf numFmtId="49" fontId="93" fillId="0" borderId="16" xfId="92" applyNumberFormat="1" applyFont="1" applyBorder="1"/>
    <xf numFmtId="0" fontId="93" fillId="0" borderId="16" xfId="92" applyFont="1" applyBorder="1"/>
    <xf numFmtId="0" fontId="36" fillId="24" borderId="17" xfId="92" applyFont="1" applyFill="1" applyBorder="1" applyAlignment="1">
      <alignment vertical="center"/>
    </xf>
    <xf numFmtId="0" fontId="36" fillId="24" borderId="18" xfId="92" applyFont="1" applyFill="1" applyBorder="1" applyAlignment="1">
      <alignment vertical="center"/>
    </xf>
    <xf numFmtId="0" fontId="93" fillId="0" borderId="25" xfId="92" applyFont="1" applyBorder="1"/>
    <xf numFmtId="49" fontId="93" fillId="0" borderId="14" xfId="92" applyNumberFormat="1" applyFont="1" applyBorder="1"/>
    <xf numFmtId="168" fontId="37" fillId="24" borderId="10" xfId="92" applyNumberFormat="1" applyFont="1" applyFill="1" applyBorder="1" applyAlignment="1">
      <alignment vertical="center"/>
    </xf>
    <xf numFmtId="0" fontId="93" fillId="0" borderId="0" xfId="92" applyFont="1"/>
    <xf numFmtId="0" fontId="35" fillId="24" borderId="0" xfId="92" applyFont="1" applyFill="1" applyAlignment="1">
      <alignment vertical="center"/>
    </xf>
    <xf numFmtId="0" fontId="39" fillId="24" borderId="0" xfId="92" applyFont="1" applyFill="1" applyAlignment="1">
      <alignment vertical="center"/>
    </xf>
    <xf numFmtId="168" fontId="37" fillId="24" borderId="17" xfId="93" applyNumberFormat="1" applyFont="1" applyFill="1" applyBorder="1" applyAlignment="1">
      <alignment horizontal="center" vertical="center" wrapText="1"/>
    </xf>
    <xf numFmtId="168" fontId="37" fillId="0" borderId="17" xfId="93" applyNumberFormat="1" applyFont="1" applyFill="1" applyBorder="1" applyAlignment="1">
      <alignment horizontal="center" vertical="center" wrapText="1"/>
    </xf>
    <xf numFmtId="168" fontId="36" fillId="0" borderId="14" xfId="93" applyNumberFormat="1" applyFont="1" applyFill="1" applyBorder="1" applyAlignment="1">
      <alignment horizontal="center" vertical="center" wrapText="1"/>
    </xf>
    <xf numFmtId="168" fontId="37" fillId="24" borderId="19" xfId="93" applyNumberFormat="1" applyFont="1" applyFill="1" applyBorder="1" applyAlignment="1">
      <alignment horizontal="center" vertical="center" wrapText="1"/>
    </xf>
    <xf numFmtId="0" fontId="37" fillId="24" borderId="0" xfId="92" applyFont="1" applyFill="1" applyAlignment="1">
      <alignment vertical="center"/>
    </xf>
    <xf numFmtId="0" fontId="36" fillId="0" borderId="14" xfId="92" applyFont="1" applyBorder="1" applyAlignment="1">
      <alignment horizontal="left" vertical="center" wrapText="1"/>
    </xf>
    <xf numFmtId="168" fontId="36" fillId="0" borderId="14" xfId="93" applyNumberFormat="1" applyFont="1" applyFill="1" applyBorder="1" applyAlignment="1">
      <alignment vertical="center"/>
    </xf>
    <xf numFmtId="168" fontId="36" fillId="0" borderId="19" xfId="93" applyNumberFormat="1" applyFont="1" applyFill="1" applyBorder="1" applyAlignment="1">
      <alignment vertical="center"/>
    </xf>
    <xf numFmtId="0" fontId="36" fillId="0" borderId="46" xfId="92" applyFont="1" applyBorder="1" applyAlignment="1">
      <alignment horizontal="center" vertical="center"/>
    </xf>
    <xf numFmtId="0" fontId="36" fillId="0" borderId="16" xfId="92" applyFont="1" applyBorder="1" applyAlignment="1">
      <alignment horizontal="left" vertical="center" wrapText="1"/>
    </xf>
    <xf numFmtId="168" fontId="37" fillId="27" borderId="16" xfId="93" applyNumberFormat="1" applyFont="1" applyFill="1" applyBorder="1" applyAlignment="1">
      <alignment horizontal="center" vertical="center" wrapText="1"/>
    </xf>
    <xf numFmtId="49" fontId="96" fillId="0" borderId="19" xfId="92" applyNumberFormat="1" applyFont="1" applyBorder="1"/>
    <xf numFmtId="0" fontId="36" fillId="0" borderId="19" xfId="92" applyFont="1" applyBorder="1" applyAlignment="1">
      <alignment vertical="center" wrapText="1"/>
    </xf>
    <xf numFmtId="0" fontId="36" fillId="0" borderId="16" xfId="92" applyFont="1" applyBorder="1" applyAlignment="1">
      <alignment vertical="center" wrapText="1"/>
    </xf>
    <xf numFmtId="0" fontId="35" fillId="27" borderId="0" xfId="92" applyFont="1" applyFill="1" applyAlignment="1">
      <alignment vertical="center"/>
    </xf>
    <xf numFmtId="168" fontId="37" fillId="0" borderId="19" xfId="93" applyNumberFormat="1" applyFont="1" applyFill="1" applyBorder="1" applyAlignment="1">
      <alignment horizontal="center" vertical="center" wrapText="1"/>
    </xf>
    <xf numFmtId="168" fontId="36" fillId="24" borderId="18" xfId="93" applyNumberFormat="1" applyFont="1" applyFill="1" applyBorder="1" applyAlignment="1">
      <alignment horizontal="center" vertical="center" wrapText="1"/>
    </xf>
    <xf numFmtId="168" fontId="37" fillId="24" borderId="18" xfId="92" applyNumberFormat="1" applyFont="1" applyFill="1" applyBorder="1" applyAlignment="1">
      <alignment vertical="center"/>
    </xf>
    <xf numFmtId="168" fontId="37" fillId="0" borderId="32" xfId="93" applyNumberFormat="1" applyFont="1" applyFill="1" applyBorder="1" applyAlignment="1">
      <alignment horizontal="center" vertical="center" wrapText="1"/>
    </xf>
    <xf numFmtId="168" fontId="36" fillId="0" borderId="18" xfId="93" applyNumberFormat="1" applyFont="1" applyFill="1" applyBorder="1" applyAlignment="1">
      <alignment horizontal="center" vertical="center" wrapText="1"/>
    </xf>
    <xf numFmtId="168" fontId="37" fillId="0" borderId="18" xfId="93" applyNumberFormat="1" applyFont="1" applyFill="1" applyBorder="1" applyAlignment="1">
      <alignment horizontal="center" vertical="center" wrapText="1"/>
    </xf>
    <xf numFmtId="3" fontId="36" fillId="24" borderId="35" xfId="92" applyNumberFormat="1" applyFont="1" applyFill="1" applyBorder="1" applyAlignment="1">
      <alignment horizontal="right" vertical="center"/>
    </xf>
    <xf numFmtId="168" fontId="38" fillId="24" borderId="10" xfId="92" applyNumberFormat="1" applyFont="1" applyFill="1" applyBorder="1" applyAlignment="1">
      <alignment vertical="center"/>
    </xf>
    <xf numFmtId="0" fontId="36" fillId="24" borderId="33" xfId="92" applyFont="1" applyFill="1" applyBorder="1" applyAlignment="1">
      <alignment horizontal="center" vertical="center" textRotation="90"/>
    </xf>
    <xf numFmtId="0" fontId="36" fillId="24" borderId="11" xfId="92" applyFont="1" applyFill="1" applyBorder="1" applyAlignment="1">
      <alignment horizontal="center" vertical="center" textRotation="90"/>
    </xf>
    <xf numFmtId="0" fontId="36" fillId="24" borderId="11" xfId="92" applyFont="1" applyFill="1" applyBorder="1" applyAlignment="1">
      <alignment horizontal="center" vertical="center" wrapText="1"/>
    </xf>
    <xf numFmtId="0" fontId="36" fillId="27" borderId="11" xfId="0" applyFont="1" applyFill="1" applyBorder="1" applyAlignment="1">
      <alignment horizontal="center" vertical="center"/>
    </xf>
    <xf numFmtId="0" fontId="36" fillId="24" borderId="28" xfId="0" applyFont="1" applyFill="1" applyBorder="1" applyAlignment="1">
      <alignment horizontal="center" vertical="center" wrapText="1"/>
    </xf>
    <xf numFmtId="0" fontId="36" fillId="24" borderId="17" xfId="0" applyFont="1" applyFill="1" applyBorder="1" applyAlignment="1">
      <alignment horizontal="center" vertical="center" wrapText="1"/>
    </xf>
    <xf numFmtId="168" fontId="38" fillId="24" borderId="17" xfId="41" applyNumberFormat="1" applyFont="1" applyFill="1" applyBorder="1" applyAlignment="1">
      <alignment vertical="center"/>
    </xf>
    <xf numFmtId="168" fontId="36" fillId="24" borderId="17" xfId="41" applyNumberFormat="1" applyFont="1" applyFill="1" applyBorder="1" applyAlignment="1">
      <alignment vertical="center"/>
    </xf>
    <xf numFmtId="0" fontId="93" fillId="0" borderId="10" xfId="92" applyFont="1" applyBorder="1" applyAlignment="1">
      <alignment horizontal="center" vertical="center"/>
    </xf>
    <xf numFmtId="168" fontId="36" fillId="0" borderId="10" xfId="93" applyNumberFormat="1" applyFont="1" applyFill="1" applyBorder="1" applyAlignment="1">
      <alignment horizontal="center" vertical="center" wrapText="1"/>
    </xf>
    <xf numFmtId="168" fontId="37" fillId="0" borderId="10" xfId="93" applyNumberFormat="1" applyFont="1" applyFill="1" applyBorder="1" applyAlignment="1">
      <alignment horizontal="center" vertical="center" wrapText="1"/>
    </xf>
    <xf numFmtId="168" fontId="37" fillId="24" borderId="10" xfId="93" applyNumberFormat="1" applyFont="1" applyFill="1" applyBorder="1" applyAlignment="1">
      <alignment horizontal="center" vertical="center" wrapText="1"/>
    </xf>
    <xf numFmtId="49" fontId="96" fillId="0" borderId="19" xfId="92" applyNumberFormat="1" applyFont="1" applyBorder="1" applyAlignment="1">
      <alignment horizontal="center" vertical="center"/>
    </xf>
    <xf numFmtId="168" fontId="37" fillId="0" borderId="17" xfId="93" applyNumberFormat="1" applyFont="1" applyFill="1" applyBorder="1" applyAlignment="1">
      <alignment vertical="center"/>
    </xf>
    <xf numFmtId="168" fontId="36" fillId="0" borderId="17" xfId="93" applyNumberFormat="1" applyFont="1" applyFill="1" applyBorder="1" applyAlignment="1">
      <alignment vertical="center"/>
    </xf>
    <xf numFmtId="49" fontId="36" fillId="0" borderId="29" xfId="0" applyNumberFormat="1" applyFont="1" applyBorder="1" applyAlignment="1">
      <alignment horizontal="center" vertical="center"/>
    </xf>
    <xf numFmtId="168" fontId="38" fillId="24" borderId="17" xfId="92" applyNumberFormat="1" applyFont="1" applyFill="1" applyBorder="1" applyAlignment="1">
      <alignment horizontal="center" vertical="center"/>
    </xf>
    <xf numFmtId="0" fontId="36" fillId="29" borderId="0" xfId="0" applyFont="1" applyFill="1"/>
    <xf numFmtId="168" fontId="36" fillId="29" borderId="0" xfId="0" applyNumberFormat="1" applyFont="1" applyFill="1"/>
    <xf numFmtId="49" fontId="36" fillId="0" borderId="43" xfId="0" applyNumberFormat="1" applyFont="1" applyBorder="1" applyAlignment="1">
      <alignment horizontal="center" vertical="center"/>
    </xf>
    <xf numFmtId="49" fontId="36" fillId="0" borderId="44" xfId="0" quotePrefix="1" applyNumberFormat="1" applyFont="1" applyBorder="1" applyAlignment="1">
      <alignment horizontal="center" vertical="center"/>
    </xf>
    <xf numFmtId="0" fontId="36" fillId="0" borderId="44" xfId="0" applyFont="1" applyBorder="1" applyAlignment="1">
      <alignment horizontal="left" vertical="center" wrapText="1"/>
    </xf>
    <xf numFmtId="0" fontId="59" fillId="24" borderId="135" xfId="67" applyFont="1" applyFill="1" applyBorder="1" applyAlignment="1">
      <alignment horizontal="center" vertical="center" textRotation="90"/>
    </xf>
    <xf numFmtId="0" fontId="59" fillId="24" borderId="138" xfId="67" applyFont="1" applyFill="1" applyBorder="1" applyAlignment="1">
      <alignment horizontal="center" vertical="center" wrapText="1"/>
    </xf>
    <xf numFmtId="0" fontId="59" fillId="24" borderId="139" xfId="67" applyFont="1" applyFill="1" applyBorder="1" applyAlignment="1">
      <alignment horizontal="center" vertical="center" wrapText="1"/>
    </xf>
    <xf numFmtId="0" fontId="59" fillId="24" borderId="0" xfId="67" applyFont="1" applyFill="1" applyAlignment="1">
      <alignment horizontal="center"/>
    </xf>
    <xf numFmtId="0" fontId="36" fillId="24" borderId="140" xfId="0" applyFont="1" applyFill="1" applyBorder="1" applyAlignment="1">
      <alignment horizontal="center" vertical="center" wrapText="1"/>
    </xf>
    <xf numFmtId="0" fontId="59" fillId="24" borderId="141" xfId="67" applyFont="1" applyFill="1" applyBorder="1" applyAlignment="1">
      <alignment horizontal="center" vertical="center" wrapText="1"/>
    </xf>
    <xf numFmtId="167" fontId="60" fillId="24" borderId="142" xfId="67" applyNumberFormat="1" applyFont="1" applyFill="1" applyBorder="1" applyAlignment="1">
      <alignment horizontal="left" vertical="center"/>
    </xf>
    <xf numFmtId="170" fontId="0" fillId="27" borderId="0" xfId="0" applyNumberFormat="1" applyFill="1"/>
    <xf numFmtId="171" fontId="48" fillId="27" borderId="19" xfId="81" applyNumberFormat="1" applyFont="1" applyFill="1" applyBorder="1"/>
    <xf numFmtId="169" fontId="48" fillId="27" borderId="19" xfId="43" applyNumberFormat="1" applyFont="1" applyFill="1" applyBorder="1"/>
    <xf numFmtId="5" fontId="48" fillId="27" borderId="19" xfId="43" applyNumberFormat="1" applyFont="1" applyFill="1" applyBorder="1" applyAlignment="1"/>
    <xf numFmtId="5" fontId="49" fillId="27" borderId="32" xfId="81" applyNumberFormat="1" applyFont="1" applyFill="1" applyBorder="1"/>
    <xf numFmtId="5" fontId="0" fillId="27" borderId="0" xfId="0" applyNumberFormat="1" applyFill="1"/>
    <xf numFmtId="49" fontId="48" fillId="27" borderId="20" xfId="81" applyNumberFormat="1" applyFont="1" applyFill="1" applyBorder="1" applyAlignment="1">
      <alignment horizontal="left"/>
    </xf>
    <xf numFmtId="5" fontId="48" fillId="27" borderId="19" xfId="43" applyNumberFormat="1" applyFont="1" applyFill="1" applyBorder="1" applyAlignment="1">
      <alignment horizontal="center"/>
    </xf>
    <xf numFmtId="49" fontId="32" fillId="27" borderId="20" xfId="81" applyNumberFormat="1" applyFont="1" applyFill="1" applyBorder="1" applyAlignment="1">
      <alignment horizontal="left"/>
    </xf>
    <xf numFmtId="170" fontId="32" fillId="27" borderId="19" xfId="81" applyNumberFormat="1" applyFont="1" applyFill="1" applyBorder="1" applyAlignment="1"/>
    <xf numFmtId="170" fontId="32" fillId="27" borderId="19" xfId="81" applyNumberFormat="1" applyFont="1" applyFill="1" applyBorder="1" applyAlignment="1">
      <alignment horizontal="center"/>
    </xf>
    <xf numFmtId="169" fontId="48" fillId="27" borderId="19" xfId="43" applyNumberFormat="1" applyFont="1" applyFill="1" applyBorder="1" applyAlignment="1">
      <alignment horizontal="center"/>
    </xf>
    <xf numFmtId="49" fontId="36" fillId="27" borderId="134" xfId="0" applyNumberFormat="1" applyFont="1" applyFill="1" applyBorder="1" applyAlignment="1">
      <alignment horizontal="left"/>
    </xf>
    <xf numFmtId="49" fontId="36" fillId="27" borderId="20" xfId="0" applyNumberFormat="1" applyFont="1" applyFill="1" applyBorder="1" applyAlignment="1">
      <alignment horizontal="left"/>
    </xf>
    <xf numFmtId="0" fontId="0" fillId="27" borderId="0" xfId="0" applyFill="1" applyAlignment="1">
      <alignment horizontal="center"/>
    </xf>
    <xf numFmtId="168" fontId="36" fillId="27" borderId="19" xfId="41" applyNumberFormat="1" applyFont="1" applyFill="1" applyBorder="1"/>
    <xf numFmtId="168" fontId="36" fillId="27" borderId="32" xfId="41" applyNumberFormat="1" applyFont="1" applyFill="1" applyBorder="1" applyAlignment="1">
      <alignment horizontal="center" vertical="center"/>
    </xf>
    <xf numFmtId="0" fontId="36" fillId="27" borderId="19" xfId="0" applyFont="1" applyFill="1" applyBorder="1" applyAlignment="1">
      <alignment horizontal="left" vertical="center" wrapText="1"/>
    </xf>
    <xf numFmtId="0" fontId="36" fillId="24" borderId="16" xfId="0" applyFont="1" applyFill="1" applyBorder="1" applyAlignment="1">
      <alignment horizontal="left" vertical="center" wrapText="1"/>
    </xf>
    <xf numFmtId="168" fontId="37" fillId="0" borderId="16" xfId="41" applyNumberFormat="1" applyFont="1" applyFill="1" applyBorder="1" applyAlignment="1">
      <alignment horizontal="center" vertical="center"/>
    </xf>
    <xf numFmtId="168" fontId="37" fillId="0" borderId="13" xfId="41" applyNumberFormat="1" applyFont="1" applyFill="1" applyBorder="1" applyAlignment="1">
      <alignment horizontal="center" vertical="center"/>
    </xf>
    <xf numFmtId="168" fontId="37" fillId="0" borderId="19" xfId="41" applyNumberFormat="1" applyFont="1" applyFill="1" applyBorder="1" applyAlignment="1">
      <alignment horizontal="center" vertical="center"/>
    </xf>
    <xf numFmtId="168" fontId="37" fillId="27" borderId="13" xfId="41" applyNumberFormat="1" applyFont="1" applyFill="1" applyBorder="1" applyAlignment="1">
      <alignment horizontal="center" vertical="center"/>
    </xf>
    <xf numFmtId="168" fontId="37" fillId="0" borderId="19" xfId="41" applyNumberFormat="1" applyFont="1" applyFill="1" applyBorder="1" applyAlignment="1">
      <alignment vertical="center"/>
    </xf>
    <xf numFmtId="168" fontId="36" fillId="0" borderId="19" xfId="93" applyNumberFormat="1" applyFont="1" applyFill="1" applyBorder="1" applyAlignment="1">
      <alignment horizontal="center" vertical="center" wrapText="1"/>
    </xf>
    <xf numFmtId="0" fontId="93" fillId="27" borderId="28" xfId="98" applyFont="1" applyFill="1" applyBorder="1" applyAlignment="1">
      <alignment horizontal="center" vertical="center" wrapText="1"/>
    </xf>
    <xf numFmtId="0" fontId="93" fillId="27" borderId="78" xfId="98" applyFont="1" applyFill="1" applyBorder="1" applyAlignment="1">
      <alignment horizontal="center" vertical="center" wrapText="1"/>
    </xf>
    <xf numFmtId="0" fontId="93" fillId="27" borderId="17" xfId="98" applyFont="1" applyFill="1" applyBorder="1" applyAlignment="1">
      <alignment horizontal="center" vertical="center" wrapText="1"/>
    </xf>
    <xf numFmtId="5" fontId="32" fillId="27" borderId="134" xfId="98" applyNumberFormat="1" applyFont="1" applyFill="1" applyBorder="1" applyAlignment="1">
      <alignment horizontal="left" vertical="center" wrapText="1"/>
    </xf>
    <xf numFmtId="172" fontId="32" fillId="27" borderId="19" xfId="98" applyNumberFormat="1" applyFont="1" applyFill="1" applyBorder="1" applyAlignment="1">
      <alignment horizontal="right" vertical="center" wrapText="1"/>
    </xf>
    <xf numFmtId="5" fontId="32" fillId="27" borderId="19" xfId="98" applyNumberFormat="1" applyFont="1" applyFill="1" applyBorder="1" applyAlignment="1">
      <alignment horizontal="right" vertical="center" wrapText="1"/>
    </xf>
    <xf numFmtId="173" fontId="32" fillId="27" borderId="19" xfId="98" applyNumberFormat="1" applyFont="1" applyFill="1" applyBorder="1" applyAlignment="1">
      <alignment horizontal="right" vertical="center" wrapText="1"/>
    </xf>
    <xf numFmtId="5" fontId="48" fillId="27" borderId="19" xfId="98" applyNumberFormat="1" applyFont="1" applyFill="1" applyBorder="1"/>
    <xf numFmtId="5" fontId="48" fillId="27" borderId="32" xfId="98" applyNumberFormat="1" applyFont="1" applyFill="1" applyBorder="1"/>
    <xf numFmtId="5" fontId="49" fillId="27" borderId="32" xfId="98" applyNumberFormat="1" applyFont="1" applyFill="1" applyBorder="1"/>
    <xf numFmtId="170" fontId="64" fillId="27" borderId="19" xfId="98" applyNumberFormat="1" applyFont="1" applyFill="1" applyBorder="1"/>
    <xf numFmtId="170" fontId="49" fillId="27" borderId="32" xfId="98" applyNumberFormat="1" applyFont="1" applyFill="1" applyBorder="1"/>
    <xf numFmtId="0" fontId="64" fillId="27" borderId="19" xfId="98" applyFont="1" applyFill="1" applyBorder="1" applyAlignment="1">
      <alignment wrapText="1"/>
    </xf>
    <xf numFmtId="0" fontId="64" fillId="27" borderId="19" xfId="98" applyFont="1" applyFill="1" applyBorder="1" applyAlignment="1">
      <alignment horizontal="center" wrapText="1"/>
    </xf>
    <xf numFmtId="170" fontId="48" fillId="27" borderId="19" xfId="98" applyNumberFormat="1" applyFont="1" applyFill="1" applyBorder="1"/>
    <xf numFmtId="0" fontId="93" fillId="27" borderId="19" xfId="98" applyFont="1" applyFill="1" applyBorder="1" applyAlignment="1">
      <alignment horizontal="center"/>
    </xf>
    <xf numFmtId="0" fontId="36" fillId="27" borderId="19" xfId="0" applyFont="1" applyFill="1" applyBorder="1"/>
    <xf numFmtId="0" fontId="32" fillId="27" borderId="19" xfId="98" applyFont="1" applyFill="1" applyBorder="1"/>
    <xf numFmtId="0" fontId="8" fillId="29" borderId="0" xfId="92" applyFill="1"/>
    <xf numFmtId="49" fontId="36" fillId="24" borderId="16" xfId="92" applyNumberFormat="1" applyFont="1" applyFill="1" applyBorder="1" applyAlignment="1">
      <alignment horizontal="center" vertical="center"/>
    </xf>
    <xf numFmtId="168" fontId="34" fillId="27" borderId="0" xfId="49" applyNumberFormat="1" applyFont="1" applyFill="1" applyBorder="1" applyAlignment="1">
      <alignment vertical="center" wrapText="1"/>
    </xf>
    <xf numFmtId="0" fontId="36" fillId="0" borderId="46" xfId="0" applyFont="1" applyBorder="1" applyAlignment="1">
      <alignment vertical="center"/>
    </xf>
    <xf numFmtId="170" fontId="40" fillId="27" borderId="22" xfId="0" applyNumberFormat="1" applyFont="1" applyFill="1" applyBorder="1" applyAlignment="1">
      <alignment horizontal="right"/>
    </xf>
    <xf numFmtId="49" fontId="36" fillId="0" borderId="46" xfId="0" quotePrefix="1" applyNumberFormat="1" applyFont="1" applyBorder="1" applyAlignment="1">
      <alignment horizontal="center" vertical="center"/>
    </xf>
    <xf numFmtId="49" fontId="36" fillId="0" borderId="40" xfId="0" quotePrefix="1" applyNumberFormat="1" applyFont="1" applyBorder="1" applyAlignment="1">
      <alignment horizontal="center" vertical="center" wrapText="1"/>
    </xf>
    <xf numFmtId="49" fontId="36" fillId="0" borderId="16" xfId="0" quotePrefix="1" applyNumberFormat="1" applyFont="1" applyBorder="1" applyAlignment="1">
      <alignment horizontal="center" vertical="center" wrapText="1"/>
    </xf>
    <xf numFmtId="0" fontId="89" fillId="0" borderId="19" xfId="0" applyFont="1" applyBorder="1" applyAlignment="1">
      <alignment horizontal="center" vertical="center" wrapText="1"/>
    </xf>
    <xf numFmtId="168" fontId="36" fillId="0" borderId="80" xfId="41" applyNumberFormat="1" applyFont="1" applyFill="1" applyBorder="1"/>
    <xf numFmtId="0" fontId="48" fillId="0" borderId="0" xfId="110" applyFont="1" applyAlignment="1">
      <alignment wrapText="1"/>
    </xf>
    <xf numFmtId="0" fontId="49" fillId="0" borderId="0" xfId="110" applyFont="1" applyAlignment="1">
      <alignment vertical="center" wrapText="1"/>
    </xf>
    <xf numFmtId="0" fontId="83" fillId="0" borderId="0" xfId="110" applyFont="1" applyAlignment="1">
      <alignment vertical="center" wrapText="1"/>
    </xf>
    <xf numFmtId="0" fontId="49" fillId="0" borderId="11" xfId="110" applyFont="1" applyBorder="1" applyAlignment="1">
      <alignment vertical="center" wrapText="1"/>
    </xf>
    <xf numFmtId="0" fontId="49" fillId="0" borderId="10" xfId="110" applyFont="1" applyBorder="1" applyAlignment="1">
      <alignment vertical="center" wrapText="1"/>
    </xf>
    <xf numFmtId="0" fontId="48" fillId="0" borderId="10" xfId="110" applyFont="1" applyBorder="1" applyAlignment="1">
      <alignment vertical="center" wrapText="1"/>
    </xf>
    <xf numFmtId="3" fontId="48" fillId="0" borderId="10" xfId="110" applyNumberFormat="1" applyFont="1" applyBorder="1" applyAlignment="1">
      <alignment vertical="center" wrapText="1"/>
    </xf>
    <xf numFmtId="3" fontId="49" fillId="0" borderId="10" xfId="110" applyNumberFormat="1" applyFont="1" applyBorder="1" applyAlignment="1">
      <alignment vertical="center" wrapText="1"/>
    </xf>
    <xf numFmtId="0" fontId="48" fillId="0" borderId="0" xfId="110" applyFont="1" applyAlignment="1">
      <alignment vertical="center" wrapText="1"/>
    </xf>
    <xf numFmtId="3" fontId="48" fillId="0" borderId="0" xfId="110" applyNumberFormat="1" applyFont="1" applyAlignment="1">
      <alignment vertical="center" wrapText="1"/>
    </xf>
    <xf numFmtId="3" fontId="49" fillId="0" borderId="0" xfId="110" applyNumberFormat="1" applyFont="1" applyAlignment="1">
      <alignment vertical="center" wrapText="1"/>
    </xf>
    <xf numFmtId="0" fontId="49" fillId="0" borderId="28" xfId="110" applyFont="1" applyBorder="1" applyAlignment="1">
      <alignment vertical="center" wrapText="1"/>
    </xf>
    <xf numFmtId="168" fontId="37" fillId="29" borderId="10" xfId="41" applyNumberFormat="1" applyFont="1" applyFill="1" applyBorder="1" applyAlignment="1">
      <alignment horizontal="center" vertical="center" wrapText="1"/>
    </xf>
    <xf numFmtId="0" fontId="49" fillId="0" borderId="0" xfId="110" applyFont="1" applyAlignment="1">
      <alignment wrapText="1"/>
    </xf>
    <xf numFmtId="168" fontId="36" fillId="27" borderId="19" xfId="93" applyNumberFormat="1" applyFont="1" applyFill="1" applyBorder="1" applyAlignment="1">
      <alignment horizontal="center" vertical="center" wrapText="1"/>
    </xf>
    <xf numFmtId="168" fontId="36" fillId="27" borderId="32" xfId="93" applyNumberFormat="1" applyFont="1" applyFill="1" applyBorder="1" applyAlignment="1">
      <alignment horizontal="center" vertical="center" wrapText="1"/>
    </xf>
    <xf numFmtId="0" fontId="36" fillId="24" borderId="16" xfId="0" applyFont="1" applyFill="1" applyBorder="1"/>
    <xf numFmtId="49" fontId="36" fillId="0" borderId="19" xfId="92" applyNumberFormat="1" applyFont="1" applyBorder="1" applyAlignment="1">
      <alignment horizontal="center" vertical="center"/>
    </xf>
    <xf numFmtId="168" fontId="38" fillId="0" borderId="10" xfId="92" applyNumberFormat="1" applyFont="1" applyBorder="1" applyAlignment="1">
      <alignment vertical="center"/>
    </xf>
    <xf numFmtId="0" fontId="73" fillId="0" borderId="0" xfId="64" applyFont="1"/>
    <xf numFmtId="171" fontId="50" fillId="0" borderId="10" xfId="82" applyNumberFormat="1" applyFont="1" applyFill="1" applyBorder="1" applyAlignment="1">
      <alignment horizontal="center" vertical="center"/>
    </xf>
    <xf numFmtId="3" fontId="100" fillId="0" borderId="10" xfId="64" applyNumberFormat="1" applyFont="1" applyBorder="1" applyAlignment="1">
      <alignment horizontal="center" vertical="center"/>
    </xf>
    <xf numFmtId="171" fontId="100" fillId="0" borderId="10" xfId="82" applyNumberFormat="1" applyFont="1" applyFill="1" applyBorder="1" applyAlignment="1">
      <alignment horizontal="center" vertical="center"/>
    </xf>
    <xf numFmtId="0" fontId="48" fillId="0" borderId="10" xfId="68" quotePrefix="1" applyFont="1" applyBorder="1" applyAlignment="1">
      <alignment vertical="center" wrapText="1"/>
    </xf>
    <xf numFmtId="0" fontId="102" fillId="0" borderId="0" xfId="0" applyFont="1" applyAlignment="1">
      <alignment wrapText="1"/>
    </xf>
    <xf numFmtId="0" fontId="101" fillId="0" borderId="0" xfId="0" applyFont="1" applyAlignment="1">
      <alignment horizontal="left" wrapText="1"/>
    </xf>
    <xf numFmtId="0" fontId="101" fillId="27" borderId="0" xfId="0" applyFont="1" applyFill="1" applyAlignment="1">
      <alignment wrapText="1"/>
    </xf>
    <xf numFmtId="0" fontId="92" fillId="27" borderId="0" xfId="0" applyFont="1" applyFill="1"/>
    <xf numFmtId="0" fontId="35" fillId="0" borderId="0" xfId="74" applyFont="1" applyAlignment="1" applyProtection="1">
      <alignment vertical="center"/>
      <protection locked="0"/>
    </xf>
    <xf numFmtId="171" fontId="36" fillId="0" borderId="10" xfId="79" applyNumberFormat="1" applyFont="1" applyFill="1" applyBorder="1" applyAlignment="1">
      <alignment vertical="center"/>
    </xf>
    <xf numFmtId="171" fontId="36" fillId="0" borderId="83" xfId="79" applyNumberFormat="1" applyFont="1" applyFill="1" applyBorder="1" applyAlignment="1">
      <alignment vertical="center"/>
    </xf>
    <xf numFmtId="171" fontId="36" fillId="0" borderId="61" xfId="79" applyNumberFormat="1" applyFont="1" applyFill="1" applyBorder="1" applyAlignment="1">
      <alignment vertical="center"/>
    </xf>
    <xf numFmtId="171" fontId="36" fillId="0" borderId="117" xfId="79" applyNumberFormat="1" applyFont="1" applyFill="1" applyBorder="1" applyAlignment="1">
      <alignment vertical="center"/>
    </xf>
    <xf numFmtId="49" fontId="36" fillId="0" borderId="10" xfId="0" applyNumberFormat="1" applyFont="1" applyBorder="1" applyAlignment="1" applyProtection="1">
      <alignment horizontal="center" vertical="center" wrapText="1"/>
      <protection locked="0"/>
    </xf>
    <xf numFmtId="0" fontId="36" fillId="0" borderId="61" xfId="0" applyFont="1" applyBorder="1" applyAlignment="1">
      <alignment horizontal="left" vertical="center" wrapText="1"/>
    </xf>
    <xf numFmtId="174" fontId="37" fillId="0" borderId="10" xfId="0" applyNumberFormat="1" applyFont="1" applyBorder="1" applyAlignment="1">
      <alignment vertical="center" wrapText="1"/>
    </xf>
    <xf numFmtId="167" fontId="36" fillId="0" borderId="62" xfId="43" applyNumberFormat="1" applyFont="1" applyFill="1" applyBorder="1" applyAlignment="1" applyProtection="1">
      <alignment vertical="center"/>
    </xf>
    <xf numFmtId="0" fontId="89" fillId="0" borderId="19" xfId="0" applyFont="1" applyBorder="1" applyAlignment="1">
      <alignment horizontal="left" vertical="center" wrapText="1"/>
    </xf>
    <xf numFmtId="168" fontId="89" fillId="0" borderId="19" xfId="41" applyNumberFormat="1" applyFont="1" applyFill="1" applyBorder="1" applyAlignment="1">
      <alignment vertical="center"/>
    </xf>
    <xf numFmtId="0" fontId="36" fillId="24" borderId="19" xfId="92" applyFont="1" applyFill="1" applyBorder="1" applyAlignment="1">
      <alignment horizontal="left" vertical="center" wrapText="1"/>
    </xf>
    <xf numFmtId="0" fontId="36" fillId="0" borderId="21" xfId="0" applyFont="1" applyBorder="1" applyAlignment="1">
      <alignment horizontal="center" vertical="center"/>
    </xf>
    <xf numFmtId="0" fontId="36" fillId="0" borderId="40" xfId="0" applyFont="1" applyBorder="1" applyAlignment="1">
      <alignment horizontal="center" vertical="center"/>
    </xf>
    <xf numFmtId="0" fontId="36" fillId="0" borderId="10" xfId="0" applyFont="1" applyBorder="1" applyAlignment="1">
      <alignment horizontal="center" vertical="center"/>
    </xf>
    <xf numFmtId="5" fontId="64" fillId="27" borderId="19" xfId="98" applyNumberFormat="1" applyFont="1" applyFill="1" applyBorder="1"/>
    <xf numFmtId="168" fontId="37" fillId="0" borderId="13" xfId="41" applyNumberFormat="1" applyFont="1" applyFill="1" applyBorder="1" applyAlignment="1">
      <alignment vertical="center"/>
    </xf>
    <xf numFmtId="0" fontId="36" fillId="0" borderId="16" xfId="0" applyFont="1" applyBorder="1" applyAlignment="1">
      <alignment vertical="center" wrapText="1"/>
    </xf>
    <xf numFmtId="0" fontId="89" fillId="0" borderId="16" xfId="0" applyFont="1" applyBorder="1" applyAlignment="1">
      <alignment horizontal="left" vertical="center" wrapText="1"/>
    </xf>
    <xf numFmtId="171" fontId="63" fillId="0" borderId="32" xfId="79" applyNumberFormat="1" applyFont="1" applyFill="1" applyBorder="1" applyAlignment="1">
      <alignment vertical="center"/>
    </xf>
    <xf numFmtId="0" fontId="0" fillId="27" borderId="14" xfId="0" applyFill="1" applyBorder="1"/>
    <xf numFmtId="5" fontId="64" fillId="27" borderId="19" xfId="43" applyNumberFormat="1" applyFont="1" applyFill="1" applyBorder="1" applyAlignment="1"/>
    <xf numFmtId="0" fontId="36" fillId="0" borderId="41" xfId="0" applyFont="1" applyBorder="1" applyAlignment="1">
      <alignment vertical="center"/>
    </xf>
    <xf numFmtId="49" fontId="32" fillId="27" borderId="21" xfId="81" applyNumberFormat="1" applyFont="1" applyFill="1" applyBorder="1" applyAlignment="1"/>
    <xf numFmtId="169" fontId="48" fillId="27" borderId="40" xfId="43" applyNumberFormat="1" applyFont="1" applyFill="1" applyBorder="1" applyAlignment="1">
      <alignment horizontal="center"/>
    </xf>
    <xf numFmtId="5" fontId="32" fillId="27" borderId="40" xfId="98" applyNumberFormat="1" applyFont="1" applyFill="1" applyBorder="1" applyAlignment="1">
      <alignment horizontal="right" vertical="center" wrapText="1"/>
    </xf>
    <xf numFmtId="170" fontId="98" fillId="27" borderId="18" xfId="0" applyNumberFormat="1" applyFont="1" applyFill="1" applyBorder="1"/>
    <xf numFmtId="170" fontId="99" fillId="27" borderId="18" xfId="81" applyNumberFormat="1" applyFont="1" applyFill="1" applyBorder="1" applyAlignment="1"/>
    <xf numFmtId="0" fontId="0" fillId="27" borderId="26" xfId="0" applyFill="1" applyBorder="1"/>
    <xf numFmtId="169" fontId="48" fillId="27" borderId="16" xfId="43" applyNumberFormat="1" applyFont="1" applyFill="1" applyBorder="1"/>
    <xf numFmtId="171" fontId="48" fillId="27" borderId="16" xfId="81" applyNumberFormat="1" applyFont="1" applyFill="1" applyBorder="1"/>
    <xf numFmtId="0" fontId="36" fillId="27" borderId="11" xfId="0" applyFont="1" applyFill="1" applyBorder="1" applyAlignment="1">
      <alignment wrapText="1"/>
    </xf>
    <xf numFmtId="0" fontId="36" fillId="27" borderId="0" xfId="0" applyFont="1" applyFill="1" applyAlignment="1">
      <alignment wrapText="1"/>
    </xf>
    <xf numFmtId="0" fontId="36" fillId="27" borderId="0" xfId="0" applyFont="1" applyFill="1" applyAlignment="1">
      <alignment horizontal="right" wrapText="1"/>
    </xf>
    <xf numFmtId="174" fontId="37" fillId="0" borderId="83" xfId="0" applyNumberFormat="1" applyFont="1" applyBorder="1" applyAlignment="1">
      <alignment vertical="center" wrapText="1"/>
    </xf>
    <xf numFmtId="0" fontId="80" fillId="31" borderId="146" xfId="64" applyFont="1" applyFill="1" applyBorder="1" applyAlignment="1">
      <alignment horizontal="center" vertical="center" wrapText="1"/>
    </xf>
    <xf numFmtId="171" fontId="50" fillId="31" borderId="147" xfId="82" applyNumberFormat="1" applyFont="1" applyFill="1" applyBorder="1" applyAlignment="1">
      <alignment horizontal="center" vertical="center"/>
    </xf>
    <xf numFmtId="0" fontId="81" fillId="32" borderId="148" xfId="64" applyFont="1" applyFill="1" applyBorder="1" applyAlignment="1">
      <alignment horizontal="center" vertical="center" wrapText="1"/>
    </xf>
    <xf numFmtId="0" fontId="36" fillId="0" borderId="126" xfId="74" applyFont="1" applyBorder="1" applyAlignment="1">
      <alignment vertical="center"/>
    </xf>
    <xf numFmtId="0" fontId="36" fillId="0" borderId="149" xfId="0" applyFont="1" applyBorder="1"/>
    <xf numFmtId="168" fontId="66" fillId="27" borderId="0" xfId="0" applyNumberFormat="1" applyFont="1" applyFill="1"/>
    <xf numFmtId="168" fontId="32" fillId="24" borderId="0" xfId="50" applyNumberFormat="1" applyFont="1" applyFill="1" applyBorder="1" applyAlignment="1">
      <alignment horizontal="right" vertical="center" wrapText="1"/>
    </xf>
    <xf numFmtId="168" fontId="36" fillId="27" borderId="10" xfId="50" applyNumberFormat="1" applyFont="1" applyFill="1" applyBorder="1" applyAlignment="1">
      <alignment horizontal="center" vertical="center" wrapText="1"/>
    </xf>
    <xf numFmtId="168" fontId="36" fillId="0" borderId="11" xfId="41" applyNumberFormat="1" applyFont="1" applyFill="1" applyBorder="1" applyAlignment="1">
      <alignment vertical="center"/>
    </xf>
    <xf numFmtId="168" fontId="38" fillId="24" borderId="28" xfId="0" applyNumberFormat="1" applyFont="1" applyFill="1" applyBorder="1" applyAlignment="1">
      <alignment vertical="center"/>
    </xf>
    <xf numFmtId="0" fontId="37" fillId="24" borderId="28" xfId="0" applyFont="1" applyFill="1" applyBorder="1" applyAlignment="1">
      <alignment horizontal="center" vertical="center" wrapText="1"/>
    </xf>
    <xf numFmtId="0" fontId="36" fillId="24" borderId="10" xfId="0" applyFont="1" applyFill="1" applyBorder="1"/>
    <xf numFmtId="168" fontId="36" fillId="0" borderId="35" xfId="41" applyNumberFormat="1" applyFont="1" applyFill="1" applyBorder="1" applyAlignment="1">
      <alignment vertical="center"/>
    </xf>
    <xf numFmtId="0" fontId="36" fillId="24" borderId="40" xfId="0" applyFont="1" applyFill="1" applyBorder="1"/>
    <xf numFmtId="168" fontId="36" fillId="24" borderId="36" xfId="41" applyNumberFormat="1" applyFont="1" applyFill="1" applyBorder="1" applyAlignment="1">
      <alignment horizontal="center" vertical="center" wrapText="1"/>
    </xf>
    <xf numFmtId="168" fontId="36" fillId="24" borderId="29" xfId="41" applyNumberFormat="1" applyFont="1" applyFill="1" applyBorder="1" applyAlignment="1">
      <alignment horizontal="center" vertical="center" wrapText="1"/>
    </xf>
    <xf numFmtId="168" fontId="36" fillId="24" borderId="44" xfId="41" applyNumberFormat="1" applyFont="1" applyFill="1" applyBorder="1" applyAlignment="1">
      <alignment horizontal="center" vertical="center" wrapText="1"/>
    </xf>
    <xf numFmtId="0" fontId="36" fillId="24" borderId="53" xfId="0" applyFont="1" applyFill="1" applyBorder="1" applyAlignment="1">
      <alignment horizontal="center" vertical="center" wrapText="1"/>
    </xf>
    <xf numFmtId="168" fontId="36" fillId="27" borderId="64" xfId="41" applyNumberFormat="1" applyFont="1" applyFill="1" applyBorder="1" applyAlignment="1">
      <alignment horizontal="center" vertical="center"/>
    </xf>
    <xf numFmtId="0" fontId="36" fillId="0" borderId="18" xfId="0" applyFont="1" applyBorder="1" applyAlignment="1">
      <alignment horizontal="center" vertical="center"/>
    </xf>
    <xf numFmtId="168" fontId="35" fillId="0" borderId="0" xfId="0" applyNumberFormat="1" applyFont="1"/>
    <xf numFmtId="168" fontId="37" fillId="0" borderId="118" xfId="41" applyNumberFormat="1" applyFont="1" applyFill="1" applyBorder="1" applyAlignment="1">
      <alignment vertical="center"/>
    </xf>
    <xf numFmtId="168" fontId="36" fillId="0" borderId="79" xfId="41" applyNumberFormat="1" applyFont="1" applyFill="1" applyBorder="1" applyAlignment="1">
      <alignment horizontal="center" vertical="center"/>
    </xf>
    <xf numFmtId="0" fontId="36" fillId="0" borderId="53" xfId="0" applyFont="1" applyBorder="1" applyAlignment="1">
      <alignment horizontal="center" vertical="center"/>
    </xf>
    <xf numFmtId="0" fontId="36" fillId="24" borderId="103" xfId="0" applyFont="1" applyFill="1" applyBorder="1" applyAlignment="1">
      <alignment horizontal="center" vertical="center" wrapText="1"/>
    </xf>
    <xf numFmtId="0" fontId="36" fillId="0" borderId="18" xfId="0" applyFont="1" applyBorder="1" applyAlignment="1">
      <alignment vertical="center" wrapText="1"/>
    </xf>
    <xf numFmtId="0" fontId="39" fillId="27" borderId="0" xfId="0" applyFont="1" applyFill="1"/>
    <xf numFmtId="0" fontId="39" fillId="27" borderId="0" xfId="0" applyFont="1" applyFill="1" applyAlignment="1">
      <alignment horizontal="right"/>
    </xf>
    <xf numFmtId="0" fontId="39" fillId="24" borderId="0" xfId="0" applyFont="1" applyFill="1" applyAlignment="1">
      <alignment horizontal="right"/>
    </xf>
    <xf numFmtId="168" fontId="36" fillId="24" borderId="13" xfId="41" applyNumberFormat="1" applyFont="1" applyFill="1" applyBorder="1" applyAlignment="1">
      <alignment horizontal="center" vertical="center"/>
    </xf>
    <xf numFmtId="0" fontId="36" fillId="24" borderId="53" xfId="0" applyFont="1" applyFill="1" applyBorder="1"/>
    <xf numFmtId="168" fontId="37" fillId="24" borderId="22" xfId="41" applyNumberFormat="1" applyFont="1" applyFill="1" applyBorder="1" applyAlignment="1">
      <alignment horizontal="center" vertical="center"/>
    </xf>
    <xf numFmtId="0" fontId="36" fillId="24" borderId="28" xfId="0" applyFont="1" applyFill="1" applyBorder="1" applyAlignment="1">
      <alignment horizontal="center" vertical="center"/>
    </xf>
    <xf numFmtId="0" fontId="37" fillId="24" borderId="22" xfId="0" applyFont="1" applyFill="1" applyBorder="1" applyAlignment="1">
      <alignment horizontal="center" vertical="center" wrapText="1"/>
    </xf>
    <xf numFmtId="0" fontId="36" fillId="0" borderId="18" xfId="0" applyFont="1" applyBorder="1"/>
    <xf numFmtId="168" fontId="37" fillId="0" borderId="39" xfId="0" applyNumberFormat="1" applyFont="1" applyBorder="1" applyAlignment="1">
      <alignment vertical="center"/>
    </xf>
    <xf numFmtId="168" fontId="36" fillId="0" borderId="79" xfId="41" applyNumberFormat="1" applyFont="1" applyBorder="1" applyAlignment="1">
      <alignment vertical="center"/>
    </xf>
    <xf numFmtId="168" fontId="36" fillId="0" borderId="64" xfId="41" applyNumberFormat="1" applyFont="1" applyBorder="1" applyAlignment="1">
      <alignment vertical="center"/>
    </xf>
    <xf numFmtId="168" fontId="36" fillId="0" borderId="118" xfId="41" applyNumberFormat="1" applyFont="1" applyBorder="1" applyAlignment="1">
      <alignment vertical="center"/>
    </xf>
    <xf numFmtId="168" fontId="36" fillId="0" borderId="35" xfId="41" applyNumberFormat="1" applyFont="1" applyBorder="1" applyAlignment="1">
      <alignment vertical="center"/>
    </xf>
    <xf numFmtId="168" fontId="36" fillId="0" borderId="32" xfId="41" applyNumberFormat="1" applyFont="1" applyBorder="1" applyAlignment="1">
      <alignment vertical="center"/>
    </xf>
    <xf numFmtId="168" fontId="36" fillId="0" borderId="12" xfId="41" applyNumberFormat="1" applyFont="1" applyBorder="1" applyAlignment="1">
      <alignment vertical="center"/>
    </xf>
    <xf numFmtId="168" fontId="36" fillId="27" borderId="16" xfId="93" applyNumberFormat="1" applyFont="1" applyFill="1" applyBorder="1" applyAlignment="1">
      <alignment horizontal="center" vertical="center" wrapText="1"/>
    </xf>
    <xf numFmtId="168" fontId="36" fillId="27" borderId="12" xfId="93" applyNumberFormat="1" applyFont="1" applyFill="1" applyBorder="1" applyAlignment="1">
      <alignment horizontal="center" vertical="center" wrapText="1"/>
    </xf>
    <xf numFmtId="0" fontId="93" fillId="0" borderId="35" xfId="92" applyFont="1" applyBorder="1"/>
    <xf numFmtId="0" fontId="93" fillId="0" borderId="12" xfId="92" applyFont="1" applyBorder="1"/>
    <xf numFmtId="3" fontId="36" fillId="24" borderId="14" xfId="92" applyNumberFormat="1" applyFont="1" applyFill="1" applyBorder="1" applyAlignment="1">
      <alignment horizontal="right" vertical="center"/>
    </xf>
    <xf numFmtId="3" fontId="36" fillId="24" borderId="16" xfId="92" applyNumberFormat="1" applyFont="1" applyFill="1" applyBorder="1" applyAlignment="1">
      <alignment horizontal="right" vertical="center"/>
    </xf>
    <xf numFmtId="3" fontId="36" fillId="24" borderId="12" xfId="92" applyNumberFormat="1" applyFont="1" applyFill="1" applyBorder="1" applyAlignment="1">
      <alignment horizontal="right" vertical="center"/>
    </xf>
    <xf numFmtId="168" fontId="36" fillId="0" borderId="17" xfId="93" applyNumberFormat="1" applyFont="1" applyFill="1" applyBorder="1" applyAlignment="1">
      <alignment horizontal="center" vertical="center" wrapText="1"/>
    </xf>
    <xf numFmtId="0" fontId="93" fillId="0" borderId="17" xfId="97" applyFont="1" applyBorder="1" applyAlignment="1">
      <alignment horizontal="center" vertical="center" wrapText="1"/>
    </xf>
    <xf numFmtId="0" fontId="0" fillId="27" borderId="13" xfId="0" applyFill="1" applyBorder="1"/>
    <xf numFmtId="0" fontId="40" fillId="27" borderId="102" xfId="0" applyFont="1" applyFill="1" applyBorder="1" applyAlignment="1">
      <alignment horizontal="center"/>
    </xf>
    <xf numFmtId="0" fontId="40" fillId="27" borderId="27" xfId="0" applyFont="1" applyFill="1" applyBorder="1" applyAlignment="1">
      <alignment horizontal="center"/>
    </xf>
    <xf numFmtId="170" fontId="40" fillId="27" borderId="27" xfId="0" applyNumberFormat="1" applyFont="1" applyFill="1" applyBorder="1" applyAlignment="1">
      <alignment horizontal="right"/>
    </xf>
    <xf numFmtId="5" fontId="32" fillId="0" borderId="16" xfId="63" applyNumberFormat="1" applyFont="1" applyBorder="1" applyAlignment="1">
      <alignment horizontal="right" vertical="center" wrapText="1"/>
    </xf>
    <xf numFmtId="170" fontId="98" fillId="27" borderId="17" xfId="0" applyNumberFormat="1" applyFont="1" applyFill="1" applyBorder="1"/>
    <xf numFmtId="5" fontId="48" fillId="0" borderId="19" xfId="81" applyNumberFormat="1" applyFont="1" applyFill="1" applyBorder="1"/>
    <xf numFmtId="170" fontId="99" fillId="27" borderId="17" xfId="81" applyNumberFormat="1" applyFont="1" applyFill="1" applyBorder="1" applyAlignment="1"/>
    <xf numFmtId="171" fontId="63" fillId="0" borderId="19" xfId="79" applyNumberFormat="1" applyFont="1" applyFill="1" applyBorder="1" applyAlignment="1">
      <alignment vertical="center"/>
    </xf>
    <xf numFmtId="170" fontId="40" fillId="33" borderId="53" xfId="0" applyNumberFormat="1" applyFont="1" applyFill="1" applyBorder="1"/>
    <xf numFmtId="170" fontId="40" fillId="33" borderId="18" xfId="0" applyNumberFormat="1" applyFont="1" applyFill="1" applyBorder="1"/>
    <xf numFmtId="5" fontId="48" fillId="27" borderId="19" xfId="81" applyNumberFormat="1" applyFont="1" applyFill="1" applyBorder="1"/>
    <xf numFmtId="0" fontId="64" fillId="27" borderId="19" xfId="98" applyFont="1" applyFill="1" applyBorder="1"/>
    <xf numFmtId="0" fontId="64" fillId="27" borderId="19" xfId="98" applyFont="1" applyFill="1" applyBorder="1" applyAlignment="1">
      <alignment horizontal="center"/>
    </xf>
    <xf numFmtId="170" fontId="64" fillId="27" borderId="32" xfId="98" applyNumberFormat="1" applyFont="1" applyFill="1" applyBorder="1"/>
    <xf numFmtId="5" fontId="33" fillId="27" borderId="13" xfId="98" applyNumberFormat="1" applyFont="1" applyFill="1" applyBorder="1" applyAlignment="1">
      <alignment vertical="center" wrapText="1"/>
    </xf>
    <xf numFmtId="5" fontId="32" fillId="27" borderId="19" xfId="98" applyNumberFormat="1" applyFont="1" applyFill="1" applyBorder="1" applyAlignment="1">
      <alignment horizontal="left" vertical="center" wrapText="1"/>
    </xf>
    <xf numFmtId="5" fontId="32" fillId="27" borderId="19" xfId="98" applyNumberFormat="1" applyFont="1" applyFill="1" applyBorder="1" applyAlignment="1">
      <alignment horizontal="center" vertical="center" wrapText="1"/>
    </xf>
    <xf numFmtId="5" fontId="49" fillId="27" borderId="19" xfId="98" applyNumberFormat="1" applyFont="1" applyFill="1" applyBorder="1"/>
    <xf numFmtId="5" fontId="49" fillId="27" borderId="19" xfId="98" applyNumberFormat="1" applyFont="1" applyFill="1" applyBorder="1" applyAlignment="1">
      <alignment horizontal="center"/>
    </xf>
    <xf numFmtId="5" fontId="48" fillId="27" borderId="19" xfId="98" applyNumberFormat="1" applyFont="1" applyFill="1" applyBorder="1" applyAlignment="1">
      <alignment horizontal="center"/>
    </xf>
    <xf numFmtId="5" fontId="48" fillId="27" borderId="19" xfId="81" applyNumberFormat="1" applyFont="1" applyFill="1" applyBorder="1" applyAlignment="1">
      <alignment wrapText="1"/>
    </xf>
    <xf numFmtId="5" fontId="48" fillId="27" borderId="19" xfId="81" applyNumberFormat="1" applyFont="1" applyFill="1" applyBorder="1" applyAlignment="1">
      <alignment horizontal="center" wrapText="1"/>
    </xf>
    <xf numFmtId="5" fontId="93" fillId="27" borderId="19" xfId="81" applyNumberFormat="1" applyFont="1" applyFill="1" applyBorder="1"/>
    <xf numFmtId="5" fontId="65" fillId="27" borderId="19" xfId="81" applyNumberFormat="1" applyFont="1" applyFill="1" applyBorder="1" applyAlignment="1"/>
    <xf numFmtId="5" fontId="65" fillId="27" borderId="19" xfId="81" applyNumberFormat="1" applyFont="1" applyFill="1" applyBorder="1" applyAlignment="1">
      <alignment horizontal="center"/>
    </xf>
    <xf numFmtId="5" fontId="65" fillId="27" borderId="32" xfId="81" applyNumberFormat="1" applyFont="1" applyFill="1" applyBorder="1" applyAlignment="1"/>
    <xf numFmtId="5" fontId="48" fillId="27" borderId="19" xfId="81" applyNumberFormat="1" applyFont="1" applyFill="1" applyBorder="1" applyAlignment="1">
      <alignment horizontal="center"/>
    </xf>
    <xf numFmtId="170" fontId="49" fillId="27" borderId="19" xfId="98" applyNumberFormat="1" applyFont="1" applyFill="1" applyBorder="1" applyAlignment="1">
      <alignment horizontal="left"/>
    </xf>
    <xf numFmtId="170" fontId="49" fillId="27" borderId="19" xfId="98" applyNumberFormat="1" applyFont="1" applyFill="1" applyBorder="1" applyAlignment="1">
      <alignment horizontal="center"/>
    </xf>
    <xf numFmtId="170" fontId="49" fillId="27" borderId="19" xfId="98" applyNumberFormat="1" applyFont="1" applyFill="1" applyBorder="1"/>
    <xf numFmtId="5" fontId="49" fillId="27" borderId="19" xfId="81" applyNumberFormat="1" applyFont="1" applyFill="1" applyBorder="1"/>
    <xf numFmtId="170" fontId="48" fillId="27" borderId="19" xfId="98" applyNumberFormat="1" applyFont="1" applyFill="1" applyBorder="1" applyAlignment="1">
      <alignment horizontal="center"/>
    </xf>
    <xf numFmtId="170" fontId="48" fillId="27" borderId="16" xfId="98" applyNumberFormat="1" applyFont="1" applyFill="1" applyBorder="1" applyAlignment="1">
      <alignment horizontal="center"/>
    </xf>
    <xf numFmtId="170" fontId="49" fillId="27" borderId="16" xfId="98" applyNumberFormat="1" applyFont="1" applyFill="1" applyBorder="1"/>
    <xf numFmtId="5" fontId="49" fillId="27" borderId="19" xfId="81" applyNumberFormat="1" applyFont="1" applyFill="1" applyBorder="1" applyAlignment="1">
      <alignment horizontal="center"/>
    </xf>
    <xf numFmtId="5" fontId="64" fillId="27" borderId="32" xfId="43" applyNumberFormat="1" applyFont="1" applyFill="1" applyBorder="1" applyAlignment="1"/>
    <xf numFmtId="49" fontId="32" fillId="27" borderId="143" xfId="98" applyNumberFormat="1" applyFont="1" applyFill="1" applyBorder="1" applyAlignment="1">
      <alignment horizontal="left" vertical="center" wrapText="1"/>
    </xf>
    <xf numFmtId="5" fontId="33" fillId="27" borderId="52" xfId="98" applyNumberFormat="1" applyFont="1" applyFill="1" applyBorder="1" applyAlignment="1">
      <alignment horizontal="left" vertical="center" wrapText="1"/>
    </xf>
    <xf numFmtId="5" fontId="33" fillId="27" borderId="13" xfId="98" applyNumberFormat="1" applyFont="1" applyFill="1" applyBorder="1" applyAlignment="1">
      <alignment horizontal="center" vertical="center" wrapText="1"/>
    </xf>
    <xf numFmtId="49" fontId="66" fillId="27" borderId="39" xfId="98" applyNumberFormat="1" applyFont="1" applyFill="1" applyBorder="1" applyAlignment="1">
      <alignment horizontal="left" vertical="center" wrapText="1"/>
    </xf>
    <xf numFmtId="0" fontId="0" fillId="27" borderId="17" xfId="0" applyFill="1" applyBorder="1"/>
    <xf numFmtId="171" fontId="48" fillId="27" borderId="17" xfId="81" applyNumberFormat="1" applyFont="1" applyFill="1" applyBorder="1"/>
    <xf numFmtId="170" fontId="63" fillId="27" borderId="17" xfId="98" applyNumberFormat="1" applyFont="1" applyFill="1" applyBorder="1" applyAlignment="1">
      <alignment vertical="center"/>
    </xf>
    <xf numFmtId="170" fontId="63" fillId="27" borderId="18" xfId="98" applyNumberFormat="1" applyFont="1" applyFill="1" applyBorder="1" applyAlignment="1">
      <alignment vertical="center"/>
    </xf>
    <xf numFmtId="5" fontId="32" fillId="27" borderId="150" xfId="98" applyNumberFormat="1" applyFont="1" applyFill="1" applyBorder="1" applyAlignment="1">
      <alignment horizontal="left" vertical="center" wrapText="1"/>
    </xf>
    <xf numFmtId="5" fontId="32" fillId="27" borderId="74" xfId="98" applyNumberFormat="1" applyFont="1" applyFill="1" applyBorder="1" applyAlignment="1">
      <alignment horizontal="left" vertical="center" wrapText="1"/>
    </xf>
    <xf numFmtId="5" fontId="32" fillId="27" borderId="40" xfId="98" applyNumberFormat="1" applyFont="1" applyFill="1" applyBorder="1" applyAlignment="1">
      <alignment horizontal="center" vertical="center" wrapText="1"/>
    </xf>
    <xf numFmtId="172" fontId="32" fillId="27" borderId="40" xfId="98" applyNumberFormat="1" applyFont="1" applyFill="1" applyBorder="1" applyAlignment="1">
      <alignment horizontal="right" vertical="center" wrapText="1"/>
    </xf>
    <xf numFmtId="49" fontId="66" fillId="27" borderId="28" xfId="98" applyNumberFormat="1" applyFont="1" applyFill="1" applyBorder="1" applyAlignment="1">
      <alignment horizontal="left" vertical="center" wrapText="1"/>
    </xf>
    <xf numFmtId="49" fontId="66" fillId="27" borderId="28" xfId="98" applyNumberFormat="1" applyFont="1" applyFill="1" applyBorder="1" applyAlignment="1">
      <alignment horizontal="left"/>
    </xf>
    <xf numFmtId="169" fontId="48" fillId="27" borderId="17" xfId="43" applyNumberFormat="1" applyFont="1" applyFill="1" applyBorder="1"/>
    <xf numFmtId="49" fontId="32" fillId="27" borderId="41" xfId="81" applyNumberFormat="1" applyFont="1" applyFill="1" applyBorder="1" applyAlignment="1">
      <alignment horizontal="left"/>
    </xf>
    <xf numFmtId="170" fontId="33" fillId="27" borderId="13" xfId="81" applyNumberFormat="1" applyFont="1" applyFill="1" applyBorder="1" applyAlignment="1">
      <alignment wrapText="1"/>
    </xf>
    <xf numFmtId="170" fontId="33" fillId="27" borderId="13" xfId="81" applyNumberFormat="1" applyFont="1" applyFill="1" applyBorder="1" applyAlignment="1">
      <alignment horizontal="center" wrapText="1"/>
    </xf>
    <xf numFmtId="169" fontId="48" fillId="27" borderId="13" xfId="43" applyNumberFormat="1" applyFont="1" applyFill="1" applyBorder="1" applyAlignment="1">
      <alignment horizontal="center"/>
    </xf>
    <xf numFmtId="0" fontId="36" fillId="27" borderId="13" xfId="0" applyFont="1" applyFill="1" applyBorder="1"/>
    <xf numFmtId="5" fontId="49" fillId="0" borderId="13" xfId="81" applyNumberFormat="1" applyFont="1" applyFill="1" applyBorder="1"/>
    <xf numFmtId="0" fontId="68" fillId="27" borderId="17" xfId="0" applyFont="1" applyFill="1" applyBorder="1"/>
    <xf numFmtId="171" fontId="63" fillId="0" borderId="17" xfId="79" applyNumberFormat="1" applyFont="1" applyFill="1" applyBorder="1" applyAlignment="1">
      <alignment vertical="center"/>
    </xf>
    <xf numFmtId="171" fontId="63" fillId="0" borderId="18" xfId="79" applyNumberFormat="1" applyFont="1" applyFill="1" applyBorder="1" applyAlignment="1">
      <alignment vertical="center"/>
    </xf>
    <xf numFmtId="170" fontId="33" fillId="27" borderId="40" xfId="81" applyNumberFormat="1" applyFont="1" applyFill="1" applyBorder="1" applyAlignment="1"/>
    <xf numFmtId="170" fontId="33" fillId="27" borderId="40" xfId="81" applyNumberFormat="1" applyFont="1" applyFill="1" applyBorder="1" applyAlignment="1">
      <alignment horizontal="center"/>
    </xf>
    <xf numFmtId="171" fontId="33" fillId="27" borderId="40" xfId="79" applyNumberFormat="1" applyFont="1" applyFill="1" applyBorder="1" applyAlignment="1"/>
    <xf numFmtId="170" fontId="33" fillId="0" borderId="40" xfId="81" applyNumberFormat="1" applyFont="1" applyFill="1" applyBorder="1" applyAlignment="1"/>
    <xf numFmtId="49" fontId="32" fillId="27" borderId="43" xfId="81" applyNumberFormat="1" applyFont="1" applyFill="1" applyBorder="1" applyAlignment="1"/>
    <xf numFmtId="0" fontId="36" fillId="27" borderId="44" xfId="98" applyFont="1" applyFill="1" applyBorder="1"/>
    <xf numFmtId="0" fontId="36" fillId="27" borderId="44" xfId="98" applyFont="1" applyFill="1" applyBorder="1" applyAlignment="1">
      <alignment horizontal="center"/>
    </xf>
    <xf numFmtId="169" fontId="48" fillId="27" borderId="44" xfId="43" applyNumberFormat="1" applyFont="1" applyFill="1" applyBorder="1" applyAlignment="1">
      <alignment horizontal="center"/>
    </xf>
    <xf numFmtId="5" fontId="32" fillId="27" borderId="44" xfId="98" applyNumberFormat="1" applyFont="1" applyFill="1" applyBorder="1" applyAlignment="1">
      <alignment horizontal="right" vertical="center" wrapText="1"/>
    </xf>
    <xf numFmtId="175" fontId="33" fillId="27" borderId="13" xfId="98" applyNumberFormat="1" applyFont="1" applyFill="1" applyBorder="1"/>
    <xf numFmtId="49" fontId="66" fillId="27" borderId="39" xfId="81" applyNumberFormat="1" applyFont="1" applyFill="1" applyBorder="1" applyAlignment="1"/>
    <xf numFmtId="0" fontId="66" fillId="27" borderId="17" xfId="98" applyFont="1" applyFill="1" applyBorder="1"/>
    <xf numFmtId="171" fontId="63" fillId="27" borderId="17" xfId="79" applyNumberFormat="1" applyFont="1" applyFill="1" applyBorder="1" applyAlignment="1"/>
    <xf numFmtId="171" fontId="63" fillId="27" borderId="18" xfId="79" applyNumberFormat="1" applyFont="1" applyFill="1" applyBorder="1" applyAlignment="1"/>
    <xf numFmtId="5" fontId="49" fillId="0" borderId="35" xfId="81" applyNumberFormat="1" applyFont="1" applyFill="1" applyBorder="1"/>
    <xf numFmtId="5" fontId="64" fillId="27" borderId="35" xfId="98" applyNumberFormat="1" applyFont="1" applyFill="1" applyBorder="1"/>
    <xf numFmtId="5" fontId="49" fillId="27" borderId="32" xfId="81" applyNumberFormat="1" applyFont="1" applyFill="1" applyBorder="1" applyAlignment="1">
      <alignment vertical="center"/>
    </xf>
    <xf numFmtId="5" fontId="33" fillId="27" borderId="35" xfId="98" applyNumberFormat="1" applyFont="1" applyFill="1" applyBorder="1" applyAlignment="1">
      <alignment vertical="center" wrapText="1"/>
    </xf>
    <xf numFmtId="49" fontId="32" fillId="27" borderId="25" xfId="81" applyNumberFormat="1" applyFont="1" applyFill="1" applyBorder="1" applyAlignment="1"/>
    <xf numFmtId="0" fontId="32" fillId="27" borderId="14" xfId="98" applyFont="1" applyFill="1" applyBorder="1"/>
    <xf numFmtId="0" fontId="32" fillId="27" borderId="14" xfId="98" applyFont="1" applyFill="1" applyBorder="1" applyAlignment="1">
      <alignment horizontal="center"/>
    </xf>
    <xf numFmtId="0" fontId="32" fillId="27" borderId="46" xfId="98" applyFont="1" applyFill="1" applyBorder="1"/>
    <xf numFmtId="0" fontId="32" fillId="27" borderId="16" xfId="98" applyFont="1" applyFill="1" applyBorder="1"/>
    <xf numFmtId="0" fontId="32" fillId="27" borderId="16" xfId="98" applyFont="1" applyFill="1" applyBorder="1" applyAlignment="1">
      <alignment horizontal="center"/>
    </xf>
    <xf numFmtId="49" fontId="48" fillId="27" borderId="25" xfId="98" applyNumberFormat="1" applyFont="1" applyFill="1" applyBorder="1" applyAlignment="1">
      <alignment horizontal="left"/>
    </xf>
    <xf numFmtId="170" fontId="49" fillId="27" borderId="14" xfId="98" applyNumberFormat="1" applyFont="1" applyFill="1" applyBorder="1"/>
    <xf numFmtId="170" fontId="49" fillId="27" borderId="14" xfId="98" applyNumberFormat="1" applyFont="1" applyFill="1" applyBorder="1" applyAlignment="1">
      <alignment horizontal="center"/>
    </xf>
    <xf numFmtId="169" fontId="49" fillId="27" borderId="14" xfId="43" applyNumberFormat="1" applyFont="1" applyFill="1" applyBorder="1"/>
    <xf numFmtId="171" fontId="49" fillId="27" borderId="14" xfId="81" applyNumberFormat="1" applyFont="1" applyFill="1" applyBorder="1"/>
    <xf numFmtId="49" fontId="48" fillId="27" borderId="20" xfId="98" applyNumberFormat="1" applyFont="1" applyFill="1" applyBorder="1" applyAlignment="1">
      <alignment horizontal="left"/>
    </xf>
    <xf numFmtId="49" fontId="48" fillId="27" borderId="20" xfId="43" applyNumberFormat="1" applyFont="1" applyFill="1" applyBorder="1" applyAlignment="1">
      <alignment horizontal="left"/>
    </xf>
    <xf numFmtId="49" fontId="32" fillId="27" borderId="46" xfId="81" applyNumberFormat="1" applyFont="1" applyFill="1" applyBorder="1" applyAlignment="1">
      <alignment horizontal="left"/>
    </xf>
    <xf numFmtId="170" fontId="32" fillId="27" borderId="16" xfId="81" applyNumberFormat="1" applyFont="1" applyFill="1" applyBorder="1" applyAlignment="1"/>
    <xf numFmtId="170" fontId="32" fillId="27" borderId="16" xfId="81" applyNumberFormat="1" applyFont="1" applyFill="1" applyBorder="1" applyAlignment="1">
      <alignment horizontal="center"/>
    </xf>
    <xf numFmtId="49" fontId="67" fillId="27" borderId="16" xfId="0" applyNumberFormat="1" applyFont="1" applyFill="1" applyBorder="1"/>
    <xf numFmtId="5" fontId="48" fillId="0" borderId="16" xfId="81" applyNumberFormat="1" applyFont="1" applyFill="1" applyBorder="1"/>
    <xf numFmtId="5" fontId="49" fillId="27" borderId="14" xfId="98" applyNumberFormat="1" applyFont="1" applyFill="1" applyBorder="1"/>
    <xf numFmtId="5" fontId="49" fillId="27" borderId="14" xfId="98" applyNumberFormat="1" applyFont="1" applyFill="1" applyBorder="1" applyAlignment="1">
      <alignment horizontal="center"/>
    </xf>
    <xf numFmtId="5" fontId="64" fillId="27" borderId="14" xfId="98" applyNumberFormat="1" applyFont="1" applyFill="1" applyBorder="1"/>
    <xf numFmtId="5" fontId="49" fillId="27" borderId="19" xfId="81" applyNumberFormat="1" applyFont="1" applyFill="1" applyBorder="1" applyAlignment="1">
      <alignment wrapText="1"/>
    </xf>
    <xf numFmtId="5" fontId="49" fillId="27" borderId="19" xfId="81" applyNumberFormat="1" applyFont="1" applyFill="1" applyBorder="1" applyAlignment="1">
      <alignment horizontal="center" wrapText="1"/>
    </xf>
    <xf numFmtId="5" fontId="49" fillId="27" borderId="19" xfId="81" applyNumberFormat="1" applyFont="1" applyFill="1" applyBorder="1" applyAlignment="1">
      <alignment vertical="center"/>
    </xf>
    <xf numFmtId="49" fontId="65" fillId="27" borderId="20" xfId="81" applyNumberFormat="1" applyFont="1" applyFill="1" applyBorder="1" applyAlignment="1">
      <alignment horizontal="left"/>
    </xf>
    <xf numFmtId="49" fontId="48" fillId="27" borderId="46" xfId="98" applyNumberFormat="1" applyFont="1" applyFill="1" applyBorder="1" applyAlignment="1">
      <alignment horizontal="left"/>
    </xf>
    <xf numFmtId="170" fontId="48" fillId="27" borderId="16" xfId="98" applyNumberFormat="1" applyFont="1" applyFill="1" applyBorder="1"/>
    <xf numFmtId="0" fontId="36" fillId="0" borderId="20" xfId="0" applyFont="1" applyBorder="1" applyAlignment="1">
      <alignment vertical="center"/>
    </xf>
    <xf numFmtId="5" fontId="33" fillId="27" borderId="14" xfId="98" applyNumberFormat="1" applyFont="1" applyFill="1" applyBorder="1" applyAlignment="1">
      <alignment horizontal="center" vertical="center" wrapText="1"/>
    </xf>
    <xf numFmtId="5" fontId="32" fillId="0" borderId="19" xfId="63" applyNumberFormat="1" applyFont="1" applyBorder="1" applyAlignment="1">
      <alignment horizontal="right" vertical="center" wrapText="1"/>
    </xf>
    <xf numFmtId="0" fontId="36" fillId="24" borderId="22" xfId="92" applyFont="1" applyFill="1" applyBorder="1" applyAlignment="1">
      <alignment vertical="center"/>
    </xf>
    <xf numFmtId="168" fontId="36" fillId="0" borderId="35" xfId="93" applyNumberFormat="1" applyFont="1" applyFill="1" applyBorder="1" applyAlignment="1">
      <alignment horizontal="center" vertical="center" wrapText="1"/>
    </xf>
    <xf numFmtId="0" fontId="37" fillId="24" borderId="18" xfId="92" applyFont="1" applyFill="1" applyBorder="1" applyAlignment="1">
      <alignment vertical="center"/>
    </xf>
    <xf numFmtId="168" fontId="36" fillId="0" borderId="35" xfId="93" applyNumberFormat="1" applyFont="1" applyFill="1" applyBorder="1" applyAlignment="1">
      <alignment vertical="center"/>
    </xf>
    <xf numFmtId="168" fontId="36" fillId="0" borderId="32" xfId="93" applyNumberFormat="1" applyFont="1" applyFill="1" applyBorder="1" applyAlignment="1">
      <alignment vertical="center"/>
    </xf>
    <xf numFmtId="168" fontId="36" fillId="0" borderId="16" xfId="93" applyNumberFormat="1" applyFont="1" applyFill="1" applyBorder="1" applyAlignment="1">
      <alignment vertical="center"/>
    </xf>
    <xf numFmtId="168" fontId="36" fillId="0" borderId="12" xfId="93" applyNumberFormat="1" applyFont="1" applyFill="1" applyBorder="1" applyAlignment="1">
      <alignment vertical="center"/>
    </xf>
    <xf numFmtId="0" fontId="89" fillId="0" borderId="14" xfId="92" applyFont="1" applyBorder="1" applyAlignment="1">
      <alignment horizontal="left" vertical="center" wrapText="1"/>
    </xf>
    <xf numFmtId="168" fontId="37" fillId="0" borderId="14" xfId="93" applyNumberFormat="1" applyFont="1" applyFill="1" applyBorder="1" applyAlignment="1">
      <alignment horizontal="center" vertical="center" wrapText="1"/>
    </xf>
    <xf numFmtId="168" fontId="37" fillId="0" borderId="35" xfId="93" applyNumberFormat="1" applyFont="1" applyFill="1" applyBorder="1" applyAlignment="1">
      <alignment horizontal="center" vertical="center" wrapText="1"/>
    </xf>
    <xf numFmtId="49" fontId="96" fillId="0" borderId="16" xfId="92" applyNumberFormat="1" applyFont="1" applyBorder="1"/>
    <xf numFmtId="167" fontId="62" fillId="24" borderId="61" xfId="43" applyNumberFormat="1" applyFont="1" applyFill="1" applyBorder="1" applyAlignment="1" applyProtection="1">
      <alignment vertical="center"/>
    </xf>
    <xf numFmtId="0" fontId="59" fillId="24" borderId="119" xfId="67" applyFont="1" applyFill="1" applyBorder="1" applyAlignment="1">
      <alignment horizontal="center" vertical="center" wrapText="1"/>
    </xf>
    <xf numFmtId="167" fontId="61" fillId="24" borderId="151" xfId="43" applyNumberFormat="1" applyFont="1" applyFill="1" applyBorder="1" applyAlignment="1" applyProtection="1">
      <alignment vertical="center"/>
    </xf>
    <xf numFmtId="167" fontId="61" fillId="24" borderId="152" xfId="43" applyNumberFormat="1" applyFont="1" applyFill="1" applyBorder="1" applyAlignment="1" applyProtection="1">
      <alignment vertical="center"/>
    </xf>
    <xf numFmtId="167" fontId="61" fillId="24" borderId="153" xfId="43" applyNumberFormat="1" applyFont="1" applyFill="1" applyBorder="1" applyAlignment="1" applyProtection="1">
      <alignment vertical="center"/>
    </xf>
    <xf numFmtId="0" fontId="59" fillId="24" borderId="54" xfId="67" applyFont="1" applyFill="1" applyBorder="1" applyAlignment="1">
      <alignment horizontal="center" vertical="center" wrapText="1"/>
    </xf>
    <xf numFmtId="167" fontId="61" fillId="24" borderId="72" xfId="43" applyNumberFormat="1" applyFont="1" applyFill="1" applyBorder="1" applyAlignment="1" applyProtection="1">
      <alignment vertical="center"/>
    </xf>
    <xf numFmtId="167" fontId="61" fillId="24" borderId="69" xfId="43" applyNumberFormat="1" applyFont="1" applyFill="1" applyBorder="1" applyAlignment="1" applyProtection="1">
      <alignment vertical="center"/>
    </xf>
    <xf numFmtId="167" fontId="61" fillId="24" borderId="154" xfId="43" applyNumberFormat="1" applyFont="1" applyFill="1" applyBorder="1" applyAlignment="1" applyProtection="1">
      <alignment vertical="center"/>
    </xf>
    <xf numFmtId="167" fontId="60" fillId="24" borderId="155" xfId="67" applyNumberFormat="1" applyFont="1" applyFill="1" applyBorder="1" applyAlignment="1">
      <alignment horizontal="left" vertical="center"/>
    </xf>
    <xf numFmtId="0" fontId="59" fillId="24" borderId="156" xfId="67" applyFont="1" applyFill="1" applyBorder="1" applyAlignment="1">
      <alignment horizontal="center" vertical="center" wrapText="1"/>
    </xf>
    <xf numFmtId="167" fontId="36" fillId="0" borderId="157" xfId="43" applyNumberFormat="1" applyFont="1" applyFill="1" applyBorder="1" applyAlignment="1" applyProtection="1">
      <alignment vertical="center"/>
    </xf>
    <xf numFmtId="167" fontId="36" fillId="0" borderId="158" xfId="43" applyNumberFormat="1" applyFont="1" applyFill="1" applyBorder="1" applyAlignment="1" applyProtection="1">
      <alignment vertical="center"/>
    </xf>
    <xf numFmtId="0" fontId="36" fillId="27" borderId="0" xfId="75" applyFont="1" applyFill="1" applyAlignment="1">
      <alignment horizontal="center"/>
    </xf>
    <xf numFmtId="0" fontId="37" fillId="27" borderId="0" xfId="75" applyFont="1" applyFill="1"/>
    <xf numFmtId="167" fontId="36" fillId="27" borderId="0" xfId="43" applyNumberFormat="1" applyFont="1" applyFill="1" applyBorder="1" applyAlignment="1" applyProtection="1"/>
    <xf numFmtId="0" fontId="59" fillId="27" borderId="0" xfId="67" applyFont="1" applyFill="1"/>
    <xf numFmtId="0" fontId="60" fillId="27" borderId="0" xfId="67" applyFont="1" applyFill="1"/>
    <xf numFmtId="0" fontId="59" fillId="27" borderId="0" xfId="67" applyFont="1" applyFill="1" applyAlignment="1">
      <alignment horizontal="left" vertical="center" wrapText="1"/>
    </xf>
    <xf numFmtId="0" fontId="90" fillId="27" borderId="0" xfId="0" applyFont="1" applyFill="1" applyAlignment="1">
      <alignment vertical="center" wrapText="1"/>
    </xf>
    <xf numFmtId="168" fontId="38" fillId="27" borderId="0" xfId="41" applyNumberFormat="1" applyFont="1" applyFill="1" applyAlignment="1">
      <alignment horizontal="center" vertical="center" wrapText="1"/>
    </xf>
    <xf numFmtId="0" fontId="89" fillId="27" borderId="0" xfId="73" applyFont="1" applyFill="1" applyAlignment="1">
      <alignment horizontal="center" vertical="center" wrapText="1"/>
    </xf>
    <xf numFmtId="0" fontId="89" fillId="27" borderId="0" xfId="73" applyFont="1" applyFill="1" applyAlignment="1">
      <alignment vertical="center" wrapText="1"/>
    </xf>
    <xf numFmtId="0" fontId="88" fillId="27" borderId="0" xfId="73" applyFont="1" applyFill="1" applyAlignment="1">
      <alignment horizontal="center" vertical="center" wrapText="1"/>
    </xf>
    <xf numFmtId="0" fontId="88" fillId="27" borderId="0" xfId="73" quotePrefix="1" applyFont="1" applyFill="1" applyAlignment="1">
      <alignment horizontal="center" vertical="center" wrapText="1"/>
    </xf>
    <xf numFmtId="49" fontId="88" fillId="27" borderId="0" xfId="73" quotePrefix="1" applyNumberFormat="1" applyFont="1" applyFill="1" applyAlignment="1">
      <alignment horizontal="center" vertical="center" wrapText="1"/>
    </xf>
    <xf numFmtId="3" fontId="89" fillId="27" borderId="0" xfId="73" applyNumberFormat="1" applyFont="1" applyFill="1" applyAlignment="1">
      <alignment horizontal="right" vertical="center" wrapText="1"/>
    </xf>
    <xf numFmtId="3" fontId="59" fillId="27" borderId="0" xfId="73" applyNumberFormat="1" applyFont="1" applyFill="1" applyAlignment="1">
      <alignment horizontal="right" vertical="center" wrapText="1"/>
    </xf>
    <xf numFmtId="0" fontId="89" fillId="27" borderId="26" xfId="73" applyFont="1" applyFill="1" applyBorder="1" applyAlignment="1">
      <alignment horizontal="center" vertical="center" wrapText="1"/>
    </xf>
    <xf numFmtId="3" fontId="89" fillId="27" borderId="24" xfId="73" applyNumberFormat="1" applyFont="1" applyFill="1" applyBorder="1" applyAlignment="1">
      <alignment horizontal="right" vertical="center" wrapText="1"/>
    </xf>
    <xf numFmtId="0" fontId="97" fillId="27" borderId="57" xfId="73" applyFont="1" applyFill="1" applyBorder="1" applyAlignment="1">
      <alignment horizontal="center"/>
    </xf>
    <xf numFmtId="0" fontId="59" fillId="27" borderId="16" xfId="73" applyFont="1" applyFill="1" applyBorder="1" applyAlignment="1">
      <alignment horizontal="center" vertical="top" wrapText="1"/>
    </xf>
    <xf numFmtId="0" fontId="89" fillId="27" borderId="16" xfId="73" applyFont="1" applyFill="1" applyBorder="1" applyAlignment="1">
      <alignment horizontal="center" vertical="top" wrapText="1"/>
    </xf>
    <xf numFmtId="0" fontId="89" fillId="27" borderId="77" xfId="73" applyFont="1" applyFill="1" applyBorder="1" applyAlignment="1">
      <alignment horizontal="center" vertical="top" wrapText="1"/>
    </xf>
    <xf numFmtId="0" fontId="59" fillId="27" borderId="77" xfId="73" applyFont="1" applyFill="1" applyBorder="1" applyAlignment="1">
      <alignment horizontal="center" vertical="top" wrapText="1"/>
    </xf>
    <xf numFmtId="0" fontId="59" fillId="27" borderId="46" xfId="73" applyFont="1" applyFill="1" applyBorder="1" applyAlignment="1">
      <alignment horizontal="center" vertical="top" wrapText="1"/>
    </xf>
    <xf numFmtId="0" fontId="59" fillId="27" borderId="12" xfId="73" applyFont="1" applyFill="1" applyBorder="1" applyAlignment="1">
      <alignment horizontal="center" vertical="top" wrapText="1"/>
    </xf>
    <xf numFmtId="0" fontId="89" fillId="27" borderId="79" xfId="73" applyFont="1" applyFill="1" applyBorder="1" applyAlignment="1">
      <alignment horizontal="center" vertical="center" wrapText="1"/>
    </xf>
    <xf numFmtId="0" fontId="89" fillId="27" borderId="14" xfId="73" applyFont="1" applyFill="1" applyBorder="1" applyAlignment="1">
      <alignment vertical="center" wrapText="1"/>
    </xf>
    <xf numFmtId="0" fontId="88" fillId="27" borderId="14" xfId="73" applyFont="1" applyFill="1" applyBorder="1" applyAlignment="1">
      <alignment horizontal="center" vertical="center" wrapText="1"/>
    </xf>
    <xf numFmtId="0" fontId="88" fillId="27" borderId="14" xfId="73" quotePrefix="1" applyFont="1" applyFill="1" applyBorder="1" applyAlignment="1">
      <alignment horizontal="center" vertical="center" wrapText="1"/>
    </xf>
    <xf numFmtId="3" fontId="89" fillId="27" borderId="14" xfId="73" applyNumberFormat="1" applyFont="1" applyFill="1" applyBorder="1" applyAlignment="1">
      <alignment horizontal="right" vertical="center" wrapText="1"/>
    </xf>
    <xf numFmtId="3" fontId="59" fillId="27" borderId="14" xfId="73" applyNumberFormat="1" applyFont="1" applyFill="1" applyBorder="1" applyAlignment="1">
      <alignment horizontal="right" vertical="center" wrapText="1"/>
    </xf>
    <xf numFmtId="3" fontId="59" fillId="27" borderId="76" xfId="73" applyNumberFormat="1" applyFont="1" applyFill="1" applyBorder="1" applyAlignment="1">
      <alignment horizontal="right" vertical="center" wrapText="1"/>
    </xf>
    <xf numFmtId="3" fontId="89" fillId="27" borderId="25" xfId="73" applyNumberFormat="1" applyFont="1" applyFill="1" applyBorder="1" applyAlignment="1">
      <alignment horizontal="right" vertical="center" wrapText="1"/>
    </xf>
    <xf numFmtId="3" fontId="89" fillId="27" borderId="35" xfId="73" applyNumberFormat="1" applyFont="1" applyFill="1" applyBorder="1" applyAlignment="1">
      <alignment horizontal="right" vertical="center" wrapText="1"/>
    </xf>
    <xf numFmtId="0" fontId="89" fillId="27" borderId="19" xfId="73" applyFont="1" applyFill="1" applyBorder="1" applyAlignment="1">
      <alignment vertical="center" wrapText="1"/>
    </xf>
    <xf numFmtId="0" fontId="88" fillId="27" borderId="19" xfId="73" applyFont="1" applyFill="1" applyBorder="1" applyAlignment="1">
      <alignment horizontal="center" vertical="center" wrapText="1"/>
    </xf>
    <xf numFmtId="0" fontId="88" fillId="27" borderId="13" xfId="73" quotePrefix="1" applyFont="1" applyFill="1" applyBorder="1" applyAlignment="1">
      <alignment horizontal="center" vertical="center" wrapText="1"/>
    </xf>
    <xf numFmtId="3" fontId="89" fillId="27" borderId="40" xfId="73" applyNumberFormat="1" applyFont="1" applyFill="1" applyBorder="1" applyAlignment="1">
      <alignment horizontal="right" vertical="center" wrapText="1"/>
    </xf>
    <xf numFmtId="3" fontId="59" fillId="27" borderId="40" xfId="73" applyNumberFormat="1" applyFont="1" applyFill="1" applyBorder="1" applyAlignment="1">
      <alignment horizontal="right" vertical="center" wrapText="1"/>
    </xf>
    <xf numFmtId="3" fontId="59" fillId="27" borderId="30" xfId="73" applyNumberFormat="1" applyFont="1" applyFill="1" applyBorder="1" applyAlignment="1">
      <alignment horizontal="right" vertical="center" wrapText="1"/>
    </xf>
    <xf numFmtId="3" fontId="89" fillId="27" borderId="74" xfId="73" applyNumberFormat="1" applyFont="1" applyFill="1" applyBorder="1" applyAlignment="1">
      <alignment horizontal="right" vertical="center" wrapText="1"/>
    </xf>
    <xf numFmtId="3" fontId="89" fillId="27" borderId="30" xfId="73" applyNumberFormat="1" applyFont="1" applyFill="1" applyBorder="1" applyAlignment="1">
      <alignment horizontal="right" vertical="center" wrapText="1"/>
    </xf>
    <xf numFmtId="0" fontId="88" fillId="27" borderId="40" xfId="73" applyFont="1" applyFill="1" applyBorder="1" applyAlignment="1">
      <alignment horizontal="center" vertical="center" wrapText="1"/>
    </xf>
    <xf numFmtId="0" fontId="88" fillId="27" borderId="40" xfId="73" quotePrefix="1" applyFont="1" applyFill="1" applyBorder="1" applyAlignment="1">
      <alignment horizontal="center" vertical="center" wrapText="1"/>
    </xf>
    <xf numFmtId="0" fontId="103" fillId="27" borderId="17" xfId="73" applyFont="1" applyFill="1" applyBorder="1"/>
    <xf numFmtId="3" fontId="103" fillId="27" borderId="17" xfId="73" applyNumberFormat="1" applyFont="1" applyFill="1" applyBorder="1"/>
    <xf numFmtId="3" fontId="103" fillId="27" borderId="18" xfId="73" applyNumberFormat="1" applyFont="1" applyFill="1" applyBorder="1"/>
    <xf numFmtId="3" fontId="103" fillId="27" borderId="53" xfId="73" applyNumberFormat="1" applyFont="1" applyFill="1" applyBorder="1"/>
    <xf numFmtId="0" fontId="89" fillId="27" borderId="0" xfId="73" applyFont="1" applyFill="1" applyAlignment="1">
      <alignment horizontal="left" vertical="center" wrapText="1"/>
    </xf>
    <xf numFmtId="0" fontId="89" fillId="27" borderId="0" xfId="73" applyFont="1" applyFill="1" applyAlignment="1">
      <alignment horizontal="center" vertical="center" textRotation="90" wrapText="1"/>
    </xf>
    <xf numFmtId="3" fontId="89" fillId="27" borderId="0" xfId="73" applyNumberFormat="1" applyFont="1" applyFill="1" applyAlignment="1">
      <alignment horizontal="center" vertical="top" wrapText="1"/>
    </xf>
    <xf numFmtId="0" fontId="93" fillId="27" borderId="0" xfId="73" applyFont="1" applyFill="1" applyAlignment="1">
      <alignment horizontal="center" vertical="top"/>
    </xf>
    <xf numFmtId="0" fontId="93" fillId="27" borderId="0" xfId="73" applyFont="1" applyFill="1" applyAlignment="1">
      <alignment horizontal="left" vertical="top"/>
    </xf>
    <xf numFmtId="0" fontId="93" fillId="27" borderId="0" xfId="73" applyFont="1" applyFill="1" applyAlignment="1">
      <alignment vertical="top"/>
    </xf>
    <xf numFmtId="3" fontId="93" fillId="27" borderId="0" xfId="73" applyNumberFormat="1" applyFont="1" applyFill="1" applyAlignment="1">
      <alignment vertical="top"/>
    </xf>
    <xf numFmtId="0" fontId="93" fillId="27" borderId="0" xfId="73" applyFont="1" applyFill="1" applyAlignment="1">
      <alignment horizontal="center" vertical="center"/>
    </xf>
    <xf numFmtId="0" fontId="93" fillId="27" borderId="0" xfId="73" applyFont="1" applyFill="1" applyAlignment="1">
      <alignment horizontal="left"/>
    </xf>
    <xf numFmtId="0" fontId="93" fillId="27" borderId="0" xfId="73" applyFont="1" applyFill="1"/>
    <xf numFmtId="3" fontId="93" fillId="27" borderId="0" xfId="73" applyNumberFormat="1" applyFont="1" applyFill="1"/>
    <xf numFmtId="0" fontId="49" fillId="27" borderId="0" xfId="73" applyFont="1" applyFill="1" applyAlignment="1">
      <alignment horizontal="left"/>
    </xf>
    <xf numFmtId="0" fontId="49" fillId="27" borderId="0" xfId="73" applyFont="1" applyFill="1" applyAlignment="1">
      <alignment horizontal="center"/>
    </xf>
    <xf numFmtId="0" fontId="48" fillId="27" borderId="0" xfId="73" applyFont="1" applyFill="1" applyAlignment="1">
      <alignment horizontal="left"/>
    </xf>
    <xf numFmtId="0" fontId="48" fillId="27" borderId="0" xfId="73" applyFont="1" applyFill="1"/>
    <xf numFmtId="0" fontId="48" fillId="27" borderId="11" xfId="73" applyFont="1" applyFill="1" applyBorder="1"/>
    <xf numFmtId="0" fontId="59" fillId="27" borderId="79" xfId="73" applyFont="1" applyFill="1" applyBorder="1" applyAlignment="1">
      <alignment horizontal="center" vertical="center" wrapText="1"/>
    </xf>
    <xf numFmtId="0" fontId="59" fillId="27" borderId="14" xfId="73" applyFont="1" applyFill="1" applyBorder="1" applyAlignment="1">
      <alignment vertical="center" wrapText="1"/>
    </xf>
    <xf numFmtId="49" fontId="60" fillId="27" borderId="14" xfId="73" quotePrefix="1" applyNumberFormat="1" applyFont="1" applyFill="1" applyBorder="1" applyAlignment="1">
      <alignment horizontal="center" vertical="center" wrapText="1"/>
    </xf>
    <xf numFmtId="0" fontId="60" fillId="27" borderId="14" xfId="73" quotePrefix="1" applyFont="1" applyFill="1" applyBorder="1" applyAlignment="1">
      <alignment horizontal="center" vertical="center" wrapText="1"/>
    </xf>
    <xf numFmtId="3" fontId="59" fillId="27" borderId="35" xfId="73" applyNumberFormat="1" applyFont="1" applyFill="1" applyBorder="1" applyAlignment="1">
      <alignment horizontal="right" vertical="center" wrapText="1"/>
    </xf>
    <xf numFmtId="3" fontId="59" fillId="27" borderId="79" xfId="73" applyNumberFormat="1" applyFont="1" applyFill="1" applyBorder="1" applyAlignment="1">
      <alignment horizontal="right" vertical="center" wrapText="1"/>
    </xf>
    <xf numFmtId="0" fontId="59" fillId="27" borderId="19" xfId="73" applyFont="1" applyFill="1" applyBorder="1" applyAlignment="1">
      <alignment vertical="center" wrapText="1"/>
    </xf>
    <xf numFmtId="49" fontId="60" fillId="27" borderId="19" xfId="73" quotePrefix="1" applyNumberFormat="1" applyFont="1" applyFill="1" applyBorder="1" applyAlignment="1">
      <alignment horizontal="center" vertical="center" wrapText="1"/>
    </xf>
    <xf numFmtId="0" fontId="60" fillId="27" borderId="19" xfId="73" quotePrefix="1" applyFont="1" applyFill="1" applyBorder="1" applyAlignment="1">
      <alignment horizontal="center" vertical="center" wrapText="1"/>
    </xf>
    <xf numFmtId="3" fontId="59" fillId="27" borderId="19" xfId="73" applyNumberFormat="1" applyFont="1" applyFill="1" applyBorder="1" applyAlignment="1">
      <alignment horizontal="right" vertical="center" wrapText="1"/>
    </xf>
    <xf numFmtId="3" fontId="59" fillId="27" borderId="32" xfId="73" applyNumberFormat="1" applyFont="1" applyFill="1" applyBorder="1" applyAlignment="1">
      <alignment horizontal="right" vertical="center" wrapText="1"/>
    </xf>
    <xf numFmtId="3" fontId="59" fillId="27" borderId="64" xfId="73" applyNumberFormat="1" applyFont="1" applyFill="1" applyBorder="1" applyAlignment="1">
      <alignment horizontal="right" vertical="center" wrapText="1"/>
    </xf>
    <xf numFmtId="0" fontId="59" fillId="27" borderId="40" xfId="73" applyFont="1" applyFill="1" applyBorder="1" applyAlignment="1">
      <alignment vertical="center" wrapText="1"/>
    </xf>
    <xf numFmtId="49" fontId="60" fillId="27" borderId="40" xfId="73" quotePrefix="1" applyNumberFormat="1" applyFont="1" applyFill="1" applyBorder="1" applyAlignment="1">
      <alignment horizontal="center" vertical="center" wrapText="1"/>
    </xf>
    <xf numFmtId="0" fontId="60" fillId="27" borderId="40" xfId="73" quotePrefix="1" applyFont="1" applyFill="1" applyBorder="1" applyAlignment="1">
      <alignment horizontal="center" vertical="center" wrapText="1"/>
    </xf>
    <xf numFmtId="3" fontId="59" fillId="27" borderId="74" xfId="73" applyNumberFormat="1" applyFont="1" applyFill="1" applyBorder="1" applyAlignment="1">
      <alignment horizontal="right" vertical="center" wrapText="1"/>
    </xf>
    <xf numFmtId="0" fontId="59" fillId="27" borderId="16" xfId="73" applyFont="1" applyFill="1" applyBorder="1" applyAlignment="1">
      <alignment vertical="center" wrapText="1"/>
    </xf>
    <xf numFmtId="1" fontId="103" fillId="27" borderId="17" xfId="73" applyNumberFormat="1" applyFont="1" applyFill="1" applyBorder="1"/>
    <xf numFmtId="0" fontId="103" fillId="27" borderId="0" xfId="73" applyFont="1" applyFill="1" applyAlignment="1">
      <alignment horizontal="center"/>
    </xf>
    <xf numFmtId="1" fontId="103" fillId="27" borderId="0" xfId="73" applyNumberFormat="1" applyFont="1" applyFill="1"/>
    <xf numFmtId="0" fontId="103" fillId="27" borderId="0" xfId="73" applyFont="1" applyFill="1"/>
    <xf numFmtId="0" fontId="59" fillId="27" borderId="0" xfId="73" applyFont="1" applyFill="1" applyAlignment="1">
      <alignment horizontal="center" vertical="center" wrapText="1"/>
    </xf>
    <xf numFmtId="0" fontId="59" fillId="27" borderId="0" xfId="73" applyFont="1" applyFill="1" applyAlignment="1">
      <alignment horizontal="left" vertical="center" wrapText="1"/>
    </xf>
    <xf numFmtId="49" fontId="60" fillId="27" borderId="0" xfId="73" quotePrefix="1" applyNumberFormat="1" applyFont="1" applyFill="1" applyAlignment="1">
      <alignment horizontal="center" vertical="center" wrapText="1"/>
    </xf>
    <xf numFmtId="0" fontId="60" fillId="27" borderId="0" xfId="73" quotePrefix="1" applyFont="1" applyFill="1" applyAlignment="1">
      <alignment horizontal="center" vertical="center" wrapText="1"/>
    </xf>
    <xf numFmtId="3" fontId="48" fillId="27" borderId="0" xfId="73" applyNumberFormat="1" applyFont="1" applyFill="1"/>
    <xf numFmtId="3" fontId="48" fillId="27" borderId="0" xfId="73" applyNumberFormat="1" applyFont="1" applyFill="1" applyAlignment="1">
      <alignment vertical="center"/>
    </xf>
    <xf numFmtId="0" fontId="48" fillId="27" borderId="0" xfId="73" applyFont="1" applyFill="1" applyAlignment="1">
      <alignment horizontal="center"/>
    </xf>
    <xf numFmtId="0" fontId="59" fillId="27" borderId="118" xfId="73" applyFont="1" applyFill="1" applyBorder="1" applyAlignment="1">
      <alignment horizontal="center" vertical="top" wrapText="1"/>
    </xf>
    <xf numFmtId="0" fontId="60" fillId="27" borderId="13" xfId="73" quotePrefix="1" applyFont="1" applyFill="1" applyBorder="1" applyAlignment="1">
      <alignment horizontal="center" vertical="center" wrapText="1"/>
    </xf>
    <xf numFmtId="3" fontId="59" fillId="27" borderId="13" xfId="73" applyNumberFormat="1" applyFont="1" applyFill="1" applyBorder="1" applyAlignment="1">
      <alignment horizontal="right" vertical="center"/>
    </xf>
    <xf numFmtId="3" fontId="59" fillId="27" borderId="31" xfId="73" applyNumberFormat="1" applyFont="1" applyFill="1" applyBorder="1" applyAlignment="1">
      <alignment horizontal="right" vertical="center"/>
    </xf>
    <xf numFmtId="3" fontId="59" fillId="27" borderId="52" xfId="73" applyNumberFormat="1" applyFont="1" applyFill="1" applyBorder="1" applyAlignment="1">
      <alignment horizontal="right" vertical="center"/>
    </xf>
    <xf numFmtId="49" fontId="60" fillId="27" borderId="19" xfId="73" quotePrefix="1" applyNumberFormat="1" applyFont="1" applyFill="1" applyBorder="1" applyAlignment="1">
      <alignment horizontal="center" vertical="center"/>
    </xf>
    <xf numFmtId="3" fontId="59" fillId="27" borderId="19" xfId="73" applyNumberFormat="1" applyFont="1" applyFill="1" applyBorder="1" applyAlignment="1">
      <alignment horizontal="right" vertical="center"/>
    </xf>
    <xf numFmtId="3" fontId="59" fillId="27" borderId="32" xfId="73" applyNumberFormat="1" applyFont="1" applyFill="1" applyBorder="1" applyAlignment="1">
      <alignment horizontal="right" vertical="center"/>
    </xf>
    <xf numFmtId="3" fontId="59" fillId="27" borderId="64" xfId="73" applyNumberFormat="1" applyFont="1" applyFill="1" applyBorder="1" applyAlignment="1">
      <alignment horizontal="right" vertical="center"/>
    </xf>
    <xf numFmtId="49" fontId="60" fillId="27" borderId="13" xfId="73" quotePrefix="1" applyNumberFormat="1" applyFont="1" applyFill="1" applyBorder="1" applyAlignment="1">
      <alignment horizontal="center" vertical="center" wrapText="1"/>
    </xf>
    <xf numFmtId="0" fontId="49" fillId="27" borderId="0" xfId="73" applyFont="1" applyFill="1" applyAlignment="1">
      <alignment horizontal="center" vertical="center"/>
    </xf>
    <xf numFmtId="0" fontId="49" fillId="27" borderId="0" xfId="73" applyFont="1" applyFill="1" applyAlignment="1">
      <alignment horizontal="left" vertical="center" wrapText="1"/>
    </xf>
    <xf numFmtId="49" fontId="49" fillId="27" borderId="0" xfId="73" applyNumberFormat="1" applyFont="1" applyFill="1" applyAlignment="1">
      <alignment horizontal="center"/>
    </xf>
    <xf numFmtId="0" fontId="48" fillId="27" borderId="0" xfId="73" applyFont="1" applyFill="1" applyAlignment="1">
      <alignment horizontal="center" vertical="center"/>
    </xf>
    <xf numFmtId="0" fontId="59" fillId="27" borderId="66" xfId="73" applyFont="1" applyFill="1" applyBorder="1" applyAlignment="1">
      <alignment horizontal="center" vertical="center" wrapText="1"/>
    </xf>
    <xf numFmtId="0" fontId="59" fillId="27" borderId="15" xfId="73" applyFont="1" applyFill="1" applyBorder="1" applyAlignment="1">
      <alignment vertical="center" wrapText="1"/>
    </xf>
    <xf numFmtId="49" fontId="60" fillId="27" borderId="14" xfId="73" quotePrefix="1" applyNumberFormat="1" applyFont="1" applyFill="1" applyBorder="1" applyAlignment="1">
      <alignment horizontal="center" vertical="center"/>
    </xf>
    <xf numFmtId="49" fontId="60" fillId="27" borderId="40" xfId="73" quotePrefix="1" applyNumberFormat="1" applyFont="1" applyFill="1" applyBorder="1" applyAlignment="1">
      <alignment horizontal="center" vertical="center"/>
    </xf>
    <xf numFmtId="3" fontId="59" fillId="27" borderId="40" xfId="73" applyNumberFormat="1" applyFont="1" applyFill="1" applyBorder="1" applyAlignment="1">
      <alignment horizontal="right" vertical="center"/>
    </xf>
    <xf numFmtId="3" fontId="59" fillId="27" borderId="30" xfId="73" applyNumberFormat="1" applyFont="1" applyFill="1" applyBorder="1" applyAlignment="1">
      <alignment horizontal="right" vertical="center"/>
    </xf>
    <xf numFmtId="3" fontId="59" fillId="27" borderId="74" xfId="73" applyNumberFormat="1" applyFont="1" applyFill="1" applyBorder="1" applyAlignment="1">
      <alignment horizontal="right" vertical="center"/>
    </xf>
    <xf numFmtId="0" fontId="48" fillId="27" borderId="0" xfId="73" applyFont="1" applyFill="1" applyAlignment="1">
      <alignment vertical="center" wrapText="1"/>
    </xf>
    <xf numFmtId="49" fontId="49" fillId="27" borderId="0" xfId="73" quotePrefix="1" applyNumberFormat="1" applyFont="1" applyFill="1" applyAlignment="1">
      <alignment horizontal="center"/>
    </xf>
    <xf numFmtId="3" fontId="48" fillId="27" borderId="0" xfId="73" applyNumberFormat="1" applyFont="1" applyFill="1" applyAlignment="1">
      <alignment horizontal="right" vertical="center"/>
    </xf>
    <xf numFmtId="0" fontId="59" fillId="27" borderId="64" xfId="73" applyFont="1" applyFill="1" applyBorder="1" applyAlignment="1">
      <alignment horizontal="center" vertical="center" wrapText="1"/>
    </xf>
    <xf numFmtId="3" fontId="93" fillId="27" borderId="27" xfId="73" applyNumberFormat="1" applyFont="1" applyFill="1" applyBorder="1"/>
    <xf numFmtId="3" fontId="59" fillId="27" borderId="14" xfId="73" applyNumberFormat="1" applyFont="1" applyFill="1" applyBorder="1" applyAlignment="1">
      <alignment horizontal="right" vertical="center"/>
    </xf>
    <xf numFmtId="3" fontId="59" fillId="27" borderId="35" xfId="73" applyNumberFormat="1" applyFont="1" applyFill="1" applyBorder="1" applyAlignment="1">
      <alignment horizontal="right" vertical="center"/>
    </xf>
    <xf numFmtId="3" fontId="59" fillId="27" borderId="79" xfId="73" applyNumberFormat="1" applyFont="1" applyFill="1" applyBorder="1" applyAlignment="1">
      <alignment horizontal="right" vertical="center"/>
    </xf>
    <xf numFmtId="49" fontId="60" fillId="27" borderId="13" xfId="73" quotePrefix="1" applyNumberFormat="1" applyFont="1" applyFill="1" applyBorder="1" applyAlignment="1">
      <alignment horizontal="center" vertical="center"/>
    </xf>
    <xf numFmtId="49" fontId="60" fillId="27" borderId="44" xfId="73" quotePrefix="1" applyNumberFormat="1" applyFont="1" applyFill="1" applyBorder="1" applyAlignment="1">
      <alignment horizontal="center" vertical="center"/>
    </xf>
    <xf numFmtId="0" fontId="93" fillId="27" borderId="0" xfId="73" applyFont="1" applyFill="1" applyAlignment="1">
      <alignment horizontal="center"/>
    </xf>
    <xf numFmtId="0" fontId="49" fillId="0" borderId="57" xfId="73" applyFont="1" applyBorder="1" applyAlignment="1">
      <alignment horizontal="center"/>
    </xf>
    <xf numFmtId="0" fontId="59" fillId="0" borderId="40" xfId="73" applyFont="1" applyBorder="1" applyAlignment="1">
      <alignment horizontal="center" vertical="top" wrapText="1"/>
    </xf>
    <xf numFmtId="0" fontId="59" fillId="0" borderId="51" xfId="73" applyFont="1" applyBorder="1" applyAlignment="1">
      <alignment horizontal="center" vertical="top" wrapText="1"/>
    </xf>
    <xf numFmtId="0" fontId="59" fillId="0" borderId="21" xfId="73" applyFont="1" applyBorder="1" applyAlignment="1">
      <alignment horizontal="center" vertical="top" wrapText="1"/>
    </xf>
    <xf numFmtId="0" fontId="59" fillId="0" borderId="30" xfId="73" applyFont="1" applyBorder="1" applyAlignment="1">
      <alignment horizontal="center" vertical="top" wrapText="1"/>
    </xf>
    <xf numFmtId="0" fontId="60" fillId="0" borderId="14" xfId="73" quotePrefix="1" applyFont="1" applyBorder="1" applyAlignment="1">
      <alignment horizontal="center" vertical="center" wrapText="1"/>
    </xf>
    <xf numFmtId="3" fontId="59" fillId="0" borderId="14" xfId="73" applyNumberFormat="1" applyFont="1" applyBorder="1" applyAlignment="1">
      <alignment horizontal="right" vertical="center" wrapText="1"/>
    </xf>
    <xf numFmtId="3" fontId="59" fillId="0" borderId="35" xfId="73" applyNumberFormat="1" applyFont="1" applyBorder="1" applyAlignment="1">
      <alignment horizontal="right" vertical="center" wrapText="1"/>
    </xf>
    <xf numFmtId="3" fontId="59" fillId="0" borderId="79" xfId="73" applyNumberFormat="1" applyFont="1" applyBorder="1" applyAlignment="1">
      <alignment horizontal="right" vertical="center" wrapText="1"/>
    </xf>
    <xf numFmtId="49" fontId="60" fillId="0" borderId="19" xfId="73" applyNumberFormat="1" applyFont="1" applyBorder="1" applyAlignment="1">
      <alignment horizontal="center" vertical="center"/>
    </xf>
    <xf numFmtId="49" fontId="60" fillId="0" borderId="19" xfId="73" quotePrefix="1" applyNumberFormat="1" applyFont="1" applyBorder="1" applyAlignment="1">
      <alignment horizontal="center" vertical="center"/>
    </xf>
    <xf numFmtId="0" fontId="60" fillId="0" borderId="13" xfId="73" quotePrefix="1" applyFont="1" applyBorder="1" applyAlignment="1">
      <alignment horizontal="center" vertical="center" wrapText="1"/>
    </xf>
    <xf numFmtId="3" fontId="59" fillId="0" borderId="19" xfId="73" applyNumberFormat="1" applyFont="1" applyBorder="1" applyAlignment="1">
      <alignment horizontal="right" vertical="center" wrapText="1"/>
    </xf>
    <xf numFmtId="3" fontId="59" fillId="0" borderId="32" xfId="73" applyNumberFormat="1" applyFont="1" applyBorder="1" applyAlignment="1">
      <alignment horizontal="right" vertical="center" wrapText="1"/>
    </xf>
    <xf numFmtId="3" fontId="59" fillId="0" borderId="64" xfId="73" applyNumberFormat="1" applyFont="1" applyBorder="1" applyAlignment="1">
      <alignment horizontal="right" vertical="center" wrapText="1"/>
    </xf>
    <xf numFmtId="49" fontId="60" fillId="0" borderId="40" xfId="73" quotePrefix="1" applyNumberFormat="1" applyFont="1" applyBorder="1" applyAlignment="1">
      <alignment horizontal="center" vertical="center"/>
    </xf>
    <xf numFmtId="3" fontId="59" fillId="0" borderId="40" xfId="73" applyNumberFormat="1" applyFont="1" applyBorder="1" applyAlignment="1">
      <alignment horizontal="right" vertical="center" wrapText="1"/>
    </xf>
    <xf numFmtId="3" fontId="59" fillId="0" borderId="30" xfId="73" applyNumberFormat="1" applyFont="1" applyBorder="1" applyAlignment="1">
      <alignment horizontal="right" vertical="center" wrapText="1"/>
    </xf>
    <xf numFmtId="3" fontId="59" fillId="0" borderId="74" xfId="73" applyNumberFormat="1" applyFont="1" applyBorder="1" applyAlignment="1">
      <alignment horizontal="right" vertical="center" wrapText="1"/>
    </xf>
    <xf numFmtId="0" fontId="60" fillId="0" borderId="19" xfId="73" quotePrefix="1" applyFont="1" applyBorder="1" applyAlignment="1">
      <alignment horizontal="center" vertical="center" wrapText="1"/>
    </xf>
    <xf numFmtId="0" fontId="89" fillId="27" borderId="27" xfId="73" applyFont="1" applyFill="1" applyBorder="1" applyAlignment="1">
      <alignment horizontal="center"/>
    </xf>
    <xf numFmtId="0" fontId="89" fillId="27" borderId="0" xfId="73" applyFont="1" applyFill="1" applyAlignment="1">
      <alignment horizontal="center"/>
    </xf>
    <xf numFmtId="0" fontId="89" fillId="27" borderId="0" xfId="73" applyFont="1" applyFill="1"/>
    <xf numFmtId="3" fontId="89" fillId="27" borderId="0" xfId="73" applyNumberFormat="1" applyFont="1" applyFill="1"/>
    <xf numFmtId="0" fontId="59" fillId="27" borderId="52" xfId="73" applyFont="1" applyFill="1" applyBorder="1" applyAlignment="1">
      <alignment horizontal="center" vertical="center" wrapText="1"/>
    </xf>
    <xf numFmtId="0" fontId="59" fillId="27" borderId="13" xfId="73" applyFont="1" applyFill="1" applyBorder="1" applyAlignment="1">
      <alignment vertical="center" wrapText="1"/>
    </xf>
    <xf numFmtId="3" fontId="59" fillId="27" borderId="13" xfId="73" applyNumberFormat="1" applyFont="1" applyFill="1" applyBorder="1" applyAlignment="1">
      <alignment horizontal="right" vertical="center" wrapText="1"/>
    </xf>
    <xf numFmtId="3" fontId="59" fillId="27" borderId="31" xfId="73" applyNumberFormat="1" applyFont="1" applyFill="1" applyBorder="1" applyAlignment="1">
      <alignment horizontal="right" vertical="center" wrapText="1"/>
    </xf>
    <xf numFmtId="3" fontId="59" fillId="27" borderId="52" xfId="73" applyNumberFormat="1" applyFont="1" applyFill="1" applyBorder="1" applyAlignment="1">
      <alignment horizontal="right" vertical="center" wrapText="1"/>
    </xf>
    <xf numFmtId="0" fontId="104" fillId="27" borderId="17" xfId="73" applyFont="1" applyFill="1" applyBorder="1"/>
    <xf numFmtId="3" fontId="104" fillId="27" borderId="18" xfId="73" applyNumberFormat="1" applyFont="1" applyFill="1" applyBorder="1" applyAlignment="1">
      <alignment horizontal="right" vertical="center"/>
    </xf>
    <xf numFmtId="0" fontId="60" fillId="27" borderId="0" xfId="73" applyFont="1" applyFill="1" applyAlignment="1">
      <alignment horizontal="center"/>
    </xf>
    <xf numFmtId="49" fontId="60" fillId="27" borderId="0" xfId="73" applyNumberFormat="1" applyFont="1" applyFill="1"/>
    <xf numFmtId="49" fontId="59" fillId="27" borderId="0" xfId="73" applyNumberFormat="1" applyFont="1" applyFill="1" applyAlignment="1">
      <alignment horizontal="center"/>
    </xf>
    <xf numFmtId="176" fontId="59" fillId="27" borderId="0" xfId="73" applyNumberFormat="1" applyFont="1" applyFill="1" applyAlignment="1">
      <alignment horizontal="center" vertical="top" wrapText="1"/>
    </xf>
    <xf numFmtId="0" fontId="32" fillId="27" borderId="0" xfId="73" applyFont="1" applyFill="1" applyAlignment="1">
      <alignment horizontal="center" vertical="center" wrapText="1"/>
    </xf>
    <xf numFmtId="49" fontId="49" fillId="27" borderId="0" xfId="73" applyNumberFormat="1" applyFont="1" applyFill="1"/>
    <xf numFmtId="49" fontId="48" fillId="27" borderId="0" xfId="73" applyNumberFormat="1" applyFont="1" applyFill="1" applyAlignment="1">
      <alignment horizontal="center"/>
    </xf>
    <xf numFmtId="3" fontId="32" fillId="27" borderId="0" xfId="73" applyNumberFormat="1" applyFont="1" applyFill="1" applyAlignment="1">
      <alignment horizontal="center" vertical="top" wrapText="1"/>
    </xf>
    <xf numFmtId="0" fontId="97" fillId="27" borderId="0" xfId="73" applyFont="1" applyFill="1" applyAlignment="1">
      <alignment horizontal="center" vertical="center"/>
    </xf>
    <xf numFmtId="0" fontId="97" fillId="27" borderId="0" xfId="73" applyFont="1" applyFill="1" applyAlignment="1">
      <alignment horizontal="left"/>
    </xf>
    <xf numFmtId="0" fontId="97" fillId="27" borderId="0" xfId="73" applyFont="1" applyFill="1" applyAlignment="1">
      <alignment horizontal="center"/>
    </xf>
    <xf numFmtId="0" fontId="93" fillId="27" borderId="11" xfId="73" applyFont="1" applyFill="1" applyBorder="1"/>
    <xf numFmtId="177" fontId="59" fillId="27" borderId="14" xfId="41" applyNumberFormat="1" applyFont="1" applyFill="1" applyBorder="1" applyAlignment="1">
      <alignment horizontal="right" vertical="center" wrapText="1"/>
    </xf>
    <xf numFmtId="177" fontId="89" fillId="27" borderId="14" xfId="41" applyNumberFormat="1" applyFont="1" applyFill="1" applyBorder="1" applyAlignment="1">
      <alignment horizontal="right" vertical="center" wrapText="1"/>
    </xf>
    <xf numFmtId="177" fontId="59" fillId="27" borderId="35" xfId="41" applyNumberFormat="1" applyFont="1" applyFill="1" applyBorder="1" applyAlignment="1">
      <alignment horizontal="right" vertical="center" wrapText="1"/>
    </xf>
    <xf numFmtId="177" fontId="89" fillId="27" borderId="79" xfId="41" applyNumberFormat="1" applyFont="1" applyFill="1" applyBorder="1" applyAlignment="1">
      <alignment horizontal="right" vertical="center" wrapText="1"/>
    </xf>
    <xf numFmtId="177" fontId="59" fillId="27" borderId="19" xfId="41" applyNumberFormat="1" applyFont="1" applyFill="1" applyBorder="1" applyAlignment="1">
      <alignment horizontal="right" vertical="center" wrapText="1"/>
    </xf>
    <xf numFmtId="177" fontId="89" fillId="27" borderId="19" xfId="41" applyNumberFormat="1" applyFont="1" applyFill="1" applyBorder="1" applyAlignment="1">
      <alignment horizontal="right" vertical="center" wrapText="1"/>
    </xf>
    <xf numFmtId="177" fontId="59" fillId="27" borderId="32" xfId="41" applyNumberFormat="1" applyFont="1" applyFill="1" applyBorder="1" applyAlignment="1">
      <alignment horizontal="right" vertical="center" wrapText="1"/>
    </xf>
    <xf numFmtId="177" fontId="89" fillId="27" borderId="64" xfId="41" applyNumberFormat="1" applyFont="1" applyFill="1" applyBorder="1" applyAlignment="1">
      <alignment horizontal="right" vertical="center" wrapText="1"/>
    </xf>
    <xf numFmtId="177" fontId="59" fillId="27" borderId="64" xfId="41" applyNumberFormat="1" applyFont="1" applyFill="1" applyBorder="1" applyAlignment="1">
      <alignment horizontal="right" vertical="center" wrapText="1"/>
    </xf>
    <xf numFmtId="0" fontId="88" fillId="27" borderId="19" xfId="73" quotePrefix="1" applyFont="1" applyFill="1" applyBorder="1" applyAlignment="1">
      <alignment horizontal="center" vertical="center" wrapText="1"/>
    </xf>
    <xf numFmtId="168" fontId="88" fillId="27" borderId="19" xfId="73" quotePrefix="1" applyNumberFormat="1" applyFont="1" applyFill="1" applyBorder="1" applyAlignment="1">
      <alignment horizontal="center" vertical="center" wrapText="1"/>
    </xf>
    <xf numFmtId="0" fontId="89" fillId="27" borderId="64" xfId="73" applyFont="1" applyFill="1" applyBorder="1" applyAlignment="1">
      <alignment horizontal="center" vertical="center" wrapText="1"/>
    </xf>
    <xf numFmtId="0" fontId="59" fillId="0" borderId="16" xfId="73" applyFont="1" applyBorder="1" applyAlignment="1">
      <alignment horizontal="center" vertical="top" wrapText="1"/>
    </xf>
    <xf numFmtId="0" fontId="89" fillId="0" borderId="16" xfId="73" applyFont="1" applyBorder="1" applyAlignment="1">
      <alignment horizontal="center" vertical="top" wrapText="1"/>
    </xf>
    <xf numFmtId="0" fontId="89" fillId="0" borderId="77" xfId="73" applyFont="1" applyBorder="1" applyAlignment="1">
      <alignment horizontal="center" vertical="top" wrapText="1"/>
    </xf>
    <xf numFmtId="0" fontId="59" fillId="0" borderId="12" xfId="73" applyFont="1" applyBorder="1" applyAlignment="1">
      <alignment horizontal="center" vertical="top" wrapText="1"/>
    </xf>
    <xf numFmtId="3" fontId="89" fillId="0" borderId="40" xfId="73" applyNumberFormat="1" applyFont="1" applyBorder="1" applyAlignment="1">
      <alignment horizontal="center" vertical="center" wrapText="1"/>
    </xf>
    <xf numFmtId="0" fontId="89" fillId="0" borderId="20" xfId="73" applyFont="1" applyBorder="1" applyAlignment="1">
      <alignment horizontal="center" vertical="center" wrapText="1"/>
    </xf>
    <xf numFmtId="0" fontId="89" fillId="0" borderId="19" xfId="73" applyFont="1" applyBorder="1" applyAlignment="1">
      <alignment horizontal="center" vertical="center" wrapText="1"/>
    </xf>
    <xf numFmtId="0" fontId="89" fillId="0" borderId="40" xfId="73" applyFont="1" applyBorder="1" applyAlignment="1">
      <alignment horizontal="center" vertical="center" wrapText="1"/>
    </xf>
    <xf numFmtId="3" fontId="104" fillId="0" borderId="17" xfId="73" applyNumberFormat="1" applyFont="1" applyBorder="1" applyAlignment="1">
      <alignment vertical="center"/>
    </xf>
    <xf numFmtId="3" fontId="104" fillId="0" borderId="18" xfId="73" applyNumberFormat="1" applyFont="1" applyBorder="1" applyAlignment="1">
      <alignment vertical="center"/>
    </xf>
    <xf numFmtId="3" fontId="104" fillId="0" borderId="53" xfId="73" applyNumberFormat="1" applyFont="1" applyBorder="1" applyAlignment="1">
      <alignment vertical="center"/>
    </xf>
    <xf numFmtId="0" fontId="36" fillId="0" borderId="39" xfId="0" applyFont="1" applyBorder="1" applyAlignment="1">
      <alignment horizontal="center" vertical="center" textRotation="90" wrapText="1"/>
    </xf>
    <xf numFmtId="0" fontId="36" fillId="0" borderId="53" xfId="0" applyFont="1" applyBorder="1" applyAlignment="1">
      <alignment horizontal="center" vertical="center" textRotation="90" wrapText="1"/>
    </xf>
    <xf numFmtId="0" fontId="36" fillId="0" borderId="17" xfId="0" applyFont="1" applyBorder="1" applyAlignment="1">
      <alignment horizontal="center" vertical="center" wrapText="1"/>
    </xf>
    <xf numFmtId="0" fontId="36" fillId="0" borderId="44" xfId="0" applyFont="1" applyBorder="1" applyAlignment="1">
      <alignment horizontal="center" vertical="center" wrapText="1"/>
    </xf>
    <xf numFmtId="0" fontId="36" fillId="0" borderId="18" xfId="0" applyFont="1" applyBorder="1" applyAlignment="1">
      <alignment horizontal="center" vertical="center" wrapText="1"/>
    </xf>
    <xf numFmtId="3" fontId="37" fillId="0" borderId="39" xfId="41" applyNumberFormat="1" applyFont="1" applyFill="1" applyBorder="1" applyAlignment="1">
      <alignment horizontal="center" vertical="center"/>
    </xf>
    <xf numFmtId="3" fontId="36" fillId="0" borderId="40" xfId="41" applyNumberFormat="1" applyFont="1" applyFill="1" applyBorder="1" applyAlignment="1">
      <alignment horizontal="right" vertical="center"/>
    </xf>
    <xf numFmtId="3" fontId="36" fillId="24" borderId="40" xfId="41" applyNumberFormat="1" applyFont="1" applyFill="1" applyBorder="1" applyAlignment="1">
      <alignment horizontal="right" vertical="center"/>
    </xf>
    <xf numFmtId="3" fontId="36" fillId="0" borderId="44" xfId="41" applyNumberFormat="1" applyFont="1" applyFill="1" applyBorder="1" applyAlignment="1">
      <alignment horizontal="right" vertical="center"/>
    </xf>
    <xf numFmtId="3" fontId="36" fillId="0" borderId="30" xfId="41" applyNumberFormat="1" applyFont="1" applyFill="1" applyBorder="1" applyAlignment="1">
      <alignment horizontal="right" vertical="center"/>
    </xf>
    <xf numFmtId="3" fontId="36" fillId="0" borderId="21" xfId="41" applyNumberFormat="1" applyFont="1" applyFill="1" applyBorder="1" applyAlignment="1">
      <alignment horizontal="center" vertical="center"/>
    </xf>
    <xf numFmtId="3" fontId="36" fillId="0" borderId="74" xfId="41" applyNumberFormat="1" applyFont="1" applyFill="1" applyBorder="1" applyAlignment="1">
      <alignment horizontal="center" vertical="center"/>
    </xf>
    <xf numFmtId="3" fontId="35" fillId="0" borderId="17" xfId="41" applyNumberFormat="1" applyFont="1" applyFill="1" applyBorder="1" applyAlignment="1">
      <alignment horizontal="center" vertical="center"/>
    </xf>
    <xf numFmtId="0" fontId="93" fillId="27" borderId="0" xfId="73" applyFont="1" applyFill="1" applyAlignment="1">
      <alignment horizontal="right"/>
    </xf>
    <xf numFmtId="0" fontId="59" fillId="0" borderId="118" xfId="73" applyFont="1" applyBorder="1" applyAlignment="1">
      <alignment horizontal="center" vertical="top" wrapText="1"/>
    </xf>
    <xf numFmtId="3" fontId="89" fillId="0" borderId="74" xfId="73" applyNumberFormat="1" applyFont="1" applyBorder="1" applyAlignment="1">
      <alignment horizontal="center" vertical="center" wrapText="1"/>
    </xf>
    <xf numFmtId="0" fontId="97" fillId="0" borderId="144" xfId="73" applyFont="1" applyBorder="1" applyAlignment="1">
      <alignment horizontal="center" vertical="center"/>
    </xf>
    <xf numFmtId="3" fontId="89" fillId="0" borderId="30" xfId="73" applyNumberFormat="1" applyFont="1" applyBorder="1" applyAlignment="1">
      <alignment horizontal="center" vertical="center" wrapText="1"/>
    </xf>
    <xf numFmtId="0" fontId="34" fillId="24" borderId="0" xfId="0" applyFont="1" applyFill="1" applyAlignment="1">
      <alignment vertical="top" wrapText="1"/>
    </xf>
    <xf numFmtId="168" fontId="34" fillId="24" borderId="0" xfId="0" applyNumberFormat="1" applyFont="1" applyFill="1" applyAlignment="1">
      <alignment vertical="top" wrapText="1"/>
    </xf>
    <xf numFmtId="168" fontId="107" fillId="24" borderId="0" xfId="0" applyNumberFormat="1" applyFont="1" applyFill="1"/>
    <xf numFmtId="0" fontId="32" fillId="24" borderId="27" xfId="0" applyFont="1" applyFill="1" applyBorder="1"/>
    <xf numFmtId="0" fontId="32" fillId="24" borderId="103" xfId="0" applyFont="1" applyFill="1" applyBorder="1"/>
    <xf numFmtId="168" fontId="33" fillId="24" borderId="0" xfId="0" applyNumberFormat="1" applyFont="1" applyFill="1"/>
    <xf numFmtId="0" fontId="63" fillId="24" borderId="0" xfId="0" applyFont="1" applyFill="1"/>
    <xf numFmtId="0" fontId="32" fillId="24" borderId="24" xfId="0" applyFont="1" applyFill="1" applyBorder="1"/>
    <xf numFmtId="168" fontId="42" fillId="24" borderId="0" xfId="0" applyNumberFormat="1" applyFont="1" applyFill="1"/>
    <xf numFmtId="0" fontId="108" fillId="24" borderId="0" xfId="0" applyFont="1" applyFill="1"/>
    <xf numFmtId="0" fontId="42" fillId="24" borderId="24" xfId="0" applyFont="1" applyFill="1" applyBorder="1"/>
    <xf numFmtId="0" fontId="33" fillId="24" borderId="24" xfId="0" applyFont="1" applyFill="1" applyBorder="1"/>
    <xf numFmtId="168" fontId="32" fillId="24" borderId="102" xfId="0" applyNumberFormat="1" applyFont="1" applyFill="1" applyBorder="1"/>
    <xf numFmtId="0" fontId="63" fillId="24" borderId="27" xfId="0" applyFont="1" applyFill="1" applyBorder="1"/>
    <xf numFmtId="168" fontId="32" fillId="24" borderId="26" xfId="0" applyNumberFormat="1" applyFont="1" applyFill="1" applyBorder="1"/>
    <xf numFmtId="0" fontId="32" fillId="24" borderId="33" xfId="0" applyFont="1" applyFill="1" applyBorder="1"/>
    <xf numFmtId="3" fontId="32" fillId="24" borderId="11" xfId="0" applyNumberFormat="1" applyFont="1" applyFill="1" applyBorder="1"/>
    <xf numFmtId="0" fontId="32" fillId="24" borderId="11" xfId="0" applyFont="1" applyFill="1" applyBorder="1"/>
    <xf numFmtId="0" fontId="32" fillId="24" borderId="34" xfId="0" applyFont="1" applyFill="1" applyBorder="1"/>
    <xf numFmtId="3" fontId="59" fillId="27" borderId="64" xfId="41" applyNumberFormat="1" applyFont="1" applyFill="1" applyBorder="1" applyAlignment="1">
      <alignment horizontal="right" vertical="center" wrapText="1"/>
    </xf>
    <xf numFmtId="3" fontId="59" fillId="27" borderId="19" xfId="41" applyNumberFormat="1" applyFont="1" applyFill="1" applyBorder="1" applyAlignment="1">
      <alignment horizontal="right" vertical="center" wrapText="1"/>
    </xf>
    <xf numFmtId="3" fontId="59" fillId="27" borderId="32" xfId="41" applyNumberFormat="1" applyFont="1" applyFill="1" applyBorder="1" applyAlignment="1">
      <alignment horizontal="right" vertical="center" wrapText="1"/>
    </xf>
    <xf numFmtId="3" fontId="104" fillId="27" borderId="17" xfId="73" applyNumberFormat="1" applyFont="1" applyFill="1" applyBorder="1"/>
    <xf numFmtId="3" fontId="104" fillId="27" borderId="18" xfId="73" applyNumberFormat="1" applyFont="1" applyFill="1" applyBorder="1"/>
    <xf numFmtId="3" fontId="104" fillId="27" borderId="53" xfId="73" applyNumberFormat="1" applyFont="1" applyFill="1" applyBorder="1"/>
    <xf numFmtId="49" fontId="60" fillId="0" borderId="14" xfId="73" quotePrefix="1" applyNumberFormat="1" applyFont="1" applyBorder="1" applyAlignment="1">
      <alignment horizontal="center" vertical="center" wrapText="1"/>
    </xf>
    <xf numFmtId="49" fontId="60" fillId="0" borderId="13" xfId="73" quotePrefix="1" applyNumberFormat="1" applyFont="1" applyBorder="1" applyAlignment="1">
      <alignment horizontal="center" vertical="center" wrapText="1"/>
    </xf>
    <xf numFmtId="49" fontId="60" fillId="0" borderId="13" xfId="73" applyNumberFormat="1" applyFont="1" applyBorder="1" applyAlignment="1">
      <alignment horizontal="center" vertical="center"/>
    </xf>
    <xf numFmtId="49" fontId="60" fillId="0" borderId="13" xfId="73" quotePrefix="1" applyNumberFormat="1" applyFont="1" applyBorder="1" applyAlignment="1">
      <alignment horizontal="center" vertical="center"/>
    </xf>
    <xf numFmtId="0" fontId="59" fillId="27" borderId="74" xfId="73" applyFont="1" applyFill="1" applyBorder="1" applyAlignment="1">
      <alignment horizontal="center" vertical="center" wrapText="1"/>
    </xf>
    <xf numFmtId="49" fontId="88" fillId="27" borderId="14" xfId="73" quotePrefix="1" applyNumberFormat="1" applyFont="1" applyFill="1" applyBorder="1" applyAlignment="1">
      <alignment horizontal="center" vertical="center" wrapText="1"/>
    </xf>
    <xf numFmtId="49" fontId="88" fillId="27" borderId="40" xfId="73" quotePrefix="1" applyNumberFormat="1" applyFont="1" applyFill="1" applyBorder="1" applyAlignment="1">
      <alignment horizontal="center" vertical="center" wrapText="1"/>
    </xf>
    <xf numFmtId="0" fontId="89" fillId="27" borderId="52" xfId="73" applyFont="1" applyFill="1" applyBorder="1" applyAlignment="1">
      <alignment horizontal="center" vertical="center" wrapText="1"/>
    </xf>
    <xf numFmtId="3" fontId="36" fillId="0" borderId="43" xfId="41" quotePrefix="1" applyNumberFormat="1" applyFont="1" applyFill="1" applyBorder="1" applyAlignment="1">
      <alignment horizontal="center" vertical="center"/>
    </xf>
    <xf numFmtId="3" fontId="36" fillId="0" borderId="49" xfId="41" quotePrefix="1" applyNumberFormat="1" applyFont="1" applyFill="1" applyBorder="1" applyAlignment="1">
      <alignment horizontal="center" vertical="center"/>
    </xf>
    <xf numFmtId="3" fontId="36" fillId="24" borderId="44" xfId="41" applyNumberFormat="1" applyFont="1" applyFill="1" applyBorder="1" applyAlignment="1">
      <alignment horizontal="right" vertical="center"/>
    </xf>
    <xf numFmtId="3" fontId="37" fillId="0" borderId="13" xfId="41" applyNumberFormat="1" applyFont="1" applyFill="1" applyBorder="1" applyAlignment="1">
      <alignment horizontal="right" vertical="center"/>
    </xf>
    <xf numFmtId="3" fontId="36" fillId="0" borderId="45" xfId="41" applyNumberFormat="1" applyFont="1" applyFill="1" applyBorder="1" applyAlignment="1">
      <alignment horizontal="right" vertical="center"/>
    </xf>
    <xf numFmtId="3" fontId="37" fillId="0" borderId="53" xfId="41" applyNumberFormat="1" applyFont="1" applyFill="1" applyBorder="1" applyAlignment="1">
      <alignment horizontal="center" vertical="center"/>
    </xf>
    <xf numFmtId="0" fontId="37" fillId="0" borderId="53" xfId="0" applyFont="1" applyBorder="1" applyAlignment="1">
      <alignment horizontal="left" vertical="center" wrapText="1"/>
    </xf>
    <xf numFmtId="3" fontId="37" fillId="0" borderId="53" xfId="41" applyNumberFormat="1" applyFont="1" applyFill="1" applyBorder="1" applyAlignment="1">
      <alignment horizontal="right" vertical="center"/>
    </xf>
    <xf numFmtId="3" fontId="37" fillId="0" borderId="17" xfId="41" applyNumberFormat="1" applyFont="1" applyFill="1" applyBorder="1" applyAlignment="1">
      <alignment horizontal="right" vertical="center"/>
    </xf>
    <xf numFmtId="3" fontId="37" fillId="24" borderId="17" xfId="41" applyNumberFormat="1" applyFont="1" applyFill="1" applyBorder="1" applyAlignment="1">
      <alignment horizontal="right" vertical="center"/>
    </xf>
    <xf numFmtId="3" fontId="37" fillId="0" borderId="18" xfId="41" applyNumberFormat="1" applyFont="1" applyFill="1" applyBorder="1" applyAlignment="1">
      <alignment horizontal="right" vertical="center"/>
    </xf>
    <xf numFmtId="3" fontId="36" fillId="0" borderId="40" xfId="41" applyNumberFormat="1" applyFont="1" applyFill="1" applyBorder="1" applyAlignment="1">
      <alignment horizontal="center" vertical="center"/>
    </xf>
    <xf numFmtId="3" fontId="36" fillId="0" borderId="20" xfId="41" applyNumberFormat="1" applyFont="1" applyFill="1" applyBorder="1" applyAlignment="1">
      <alignment horizontal="center" vertical="center"/>
    </xf>
    <xf numFmtId="3" fontId="36" fillId="0" borderId="19" xfId="41" applyNumberFormat="1" applyFont="1" applyFill="1" applyBorder="1" applyAlignment="1">
      <alignment horizontal="center" vertical="center"/>
    </xf>
    <xf numFmtId="168" fontId="36" fillId="0" borderId="74" xfId="41" applyNumberFormat="1" applyFont="1" applyFill="1" applyBorder="1" applyAlignment="1">
      <alignment horizontal="center" vertical="center"/>
    </xf>
    <xf numFmtId="168" fontId="36" fillId="0" borderId="74" xfId="41" applyNumberFormat="1" applyFont="1" applyFill="1" applyBorder="1" applyAlignment="1">
      <alignment vertical="center"/>
    </xf>
    <xf numFmtId="168" fontId="36" fillId="0" borderId="52" xfId="41" applyNumberFormat="1" applyFont="1" applyFill="1" applyBorder="1" applyAlignment="1">
      <alignment horizontal="center" vertical="center"/>
    </xf>
    <xf numFmtId="168" fontId="37" fillId="27" borderId="19" xfId="41" applyNumberFormat="1" applyFont="1" applyFill="1" applyBorder="1" applyAlignment="1">
      <alignment horizontal="center" vertical="center"/>
    </xf>
    <xf numFmtId="0" fontId="36" fillId="0" borderId="19" xfId="92" quotePrefix="1" applyFont="1" applyBorder="1" applyAlignment="1">
      <alignment horizontal="center" vertical="center"/>
    </xf>
    <xf numFmtId="168" fontId="36" fillId="0" borderId="32" xfId="93" applyNumberFormat="1" applyFont="1" applyFill="1" applyBorder="1" applyAlignment="1">
      <alignment horizontal="center" vertical="center" wrapText="1"/>
    </xf>
    <xf numFmtId="168" fontId="36" fillId="0" borderId="17" xfId="41" applyNumberFormat="1" applyFont="1" applyFill="1" applyBorder="1" applyAlignment="1">
      <alignment horizontal="center" vertical="center" wrapText="1"/>
    </xf>
    <xf numFmtId="49" fontId="89" fillId="27" borderId="20" xfId="73" applyNumberFormat="1" applyFont="1" applyFill="1" applyBorder="1" applyAlignment="1">
      <alignment horizontal="center" vertical="center" wrapText="1"/>
    </xf>
    <xf numFmtId="49" fontId="89" fillId="27" borderId="64" xfId="73" applyNumberFormat="1" applyFont="1" applyFill="1" applyBorder="1" applyAlignment="1">
      <alignment horizontal="center" vertical="center" wrapText="1"/>
    </xf>
    <xf numFmtId="0" fontId="60" fillId="0" borderId="44" xfId="73" quotePrefix="1" applyFont="1" applyBorder="1" applyAlignment="1">
      <alignment horizontal="center" vertical="center" wrapText="1"/>
    </xf>
    <xf numFmtId="49" fontId="60" fillId="0" borderId="44" xfId="73" quotePrefix="1" applyNumberFormat="1" applyFont="1" applyBorder="1" applyAlignment="1">
      <alignment horizontal="center" vertical="center" wrapText="1"/>
    </xf>
    <xf numFmtId="0" fontId="60" fillId="0" borderId="40" xfId="73" quotePrefix="1" applyFont="1" applyBorder="1" applyAlignment="1">
      <alignment horizontal="center" vertical="center" wrapText="1"/>
    </xf>
    <xf numFmtId="49" fontId="59" fillId="27" borderId="19" xfId="73" quotePrefix="1" applyNumberFormat="1" applyFont="1" applyFill="1" applyBorder="1" applyAlignment="1">
      <alignment horizontal="center" vertical="center"/>
    </xf>
    <xf numFmtId="0" fontId="89" fillId="27" borderId="40" xfId="73" applyFont="1" applyFill="1" applyBorder="1" applyAlignment="1">
      <alignment vertical="center" wrapText="1"/>
    </xf>
    <xf numFmtId="0" fontId="36" fillId="0" borderId="14" xfId="0" quotePrefix="1" applyFont="1" applyBorder="1" applyAlignment="1">
      <alignment vertical="center" wrapText="1"/>
    </xf>
    <xf numFmtId="168" fontId="36" fillId="0" borderId="29" xfId="41" applyNumberFormat="1" applyFont="1" applyFill="1" applyBorder="1" applyAlignment="1">
      <alignment horizontal="center" vertical="center" wrapText="1"/>
    </xf>
    <xf numFmtId="168" fontId="36" fillId="0" borderId="36" xfId="41" applyNumberFormat="1" applyFont="1" applyFill="1" applyBorder="1" applyAlignment="1">
      <alignment horizontal="center" vertical="center" wrapText="1"/>
    </xf>
    <xf numFmtId="168" fontId="37" fillId="0" borderId="40" xfId="41" applyNumberFormat="1" applyFont="1" applyFill="1" applyBorder="1" applyAlignment="1">
      <alignment horizontal="center" vertical="center"/>
    </xf>
    <xf numFmtId="168" fontId="36" fillId="24" borderId="10" xfId="41" applyNumberFormat="1" applyFont="1" applyFill="1" applyBorder="1" applyAlignment="1">
      <alignment horizontal="center" vertical="center" wrapText="1"/>
    </xf>
    <xf numFmtId="3" fontId="36" fillId="0" borderId="40" xfId="41" applyNumberFormat="1" applyFont="1" applyFill="1" applyBorder="1" applyAlignment="1">
      <alignment horizontal="center" vertical="center" wrapText="1"/>
    </xf>
    <xf numFmtId="3" fontId="36" fillId="0" borderId="74" xfId="41" applyNumberFormat="1" applyFont="1" applyFill="1" applyBorder="1" applyAlignment="1">
      <alignment horizontal="center" vertical="center" wrapText="1"/>
    </xf>
    <xf numFmtId="3" fontId="36" fillId="0" borderId="21" xfId="41" applyNumberFormat="1" applyFont="1" applyFill="1" applyBorder="1" applyAlignment="1">
      <alignment horizontal="center" vertical="center" wrapText="1"/>
    </xf>
    <xf numFmtId="0" fontId="93" fillId="0" borderId="17" xfId="92" applyFont="1" applyBorder="1"/>
    <xf numFmtId="49" fontId="36" fillId="0" borderId="16" xfId="92" quotePrefix="1" applyNumberFormat="1" applyFont="1" applyBorder="1" applyAlignment="1">
      <alignment horizontal="center" vertical="center"/>
    </xf>
    <xf numFmtId="168" fontId="36" fillId="27" borderId="18" xfId="93" applyNumberFormat="1" applyFont="1" applyFill="1" applyBorder="1" applyAlignment="1">
      <alignment horizontal="center" vertical="center" wrapText="1"/>
    </xf>
    <xf numFmtId="0" fontId="36" fillId="0" borderId="48" xfId="92" applyFont="1" applyBorder="1" applyAlignment="1">
      <alignment horizontal="center" vertical="center"/>
    </xf>
    <xf numFmtId="49" fontId="36" fillId="0" borderId="29" xfId="92" quotePrefix="1" applyNumberFormat="1" applyFont="1" applyBorder="1" applyAlignment="1">
      <alignment horizontal="center" vertical="center"/>
    </xf>
    <xf numFmtId="49" fontId="36" fillId="24" borderId="29" xfId="92" applyNumberFormat="1" applyFont="1" applyFill="1" applyBorder="1" applyAlignment="1">
      <alignment horizontal="center" vertical="center"/>
    </xf>
    <xf numFmtId="0" fontId="36" fillId="0" borderId="15" xfId="92" applyFont="1" applyBorder="1" applyAlignment="1">
      <alignment horizontal="left" vertical="center" wrapText="1"/>
    </xf>
    <xf numFmtId="168" fontId="36" fillId="27" borderId="78" xfId="93" applyNumberFormat="1" applyFont="1" applyFill="1" applyBorder="1" applyAlignment="1">
      <alignment horizontal="center" vertical="center" wrapText="1"/>
    </xf>
    <xf numFmtId="0" fontId="89" fillId="0" borderId="14" xfId="92" applyFont="1" applyBorder="1" applyAlignment="1">
      <alignment vertical="center" wrapText="1"/>
    </xf>
    <xf numFmtId="0" fontId="89" fillId="0" borderId="19" xfId="92" applyFont="1" applyBorder="1" applyAlignment="1">
      <alignment vertical="center" wrapText="1"/>
    </xf>
    <xf numFmtId="0" fontId="109" fillId="27" borderId="0" xfId="0" applyFont="1" applyFill="1"/>
    <xf numFmtId="0" fontId="109" fillId="27" borderId="0" xfId="0" applyFont="1" applyFill="1" applyAlignment="1">
      <alignment horizontal="center" vertical="center"/>
    </xf>
    <xf numFmtId="0" fontId="37" fillId="24" borderId="0" xfId="0" applyFont="1" applyFill="1" applyAlignment="1">
      <alignment horizontal="center" vertical="center"/>
    </xf>
    <xf numFmtId="168" fontId="37" fillId="24" borderId="0" xfId="0" applyNumberFormat="1" applyFont="1" applyFill="1" applyAlignment="1">
      <alignment vertical="center"/>
    </xf>
    <xf numFmtId="168" fontId="37" fillId="24" borderId="0" xfId="0" applyNumberFormat="1" applyFont="1" applyFill="1"/>
    <xf numFmtId="168" fontId="38" fillId="24" borderId="0" xfId="0" applyNumberFormat="1" applyFont="1" applyFill="1"/>
    <xf numFmtId="0" fontId="38" fillId="24" borderId="0" xfId="0" applyFont="1" applyFill="1"/>
    <xf numFmtId="0" fontId="37" fillId="24" borderId="34" xfId="0" applyFont="1" applyFill="1" applyBorder="1" applyAlignment="1">
      <alignment vertical="center"/>
    </xf>
    <xf numFmtId="168" fontId="36" fillId="0" borderId="0" xfId="41" applyNumberFormat="1" applyFont="1" applyFill="1" applyBorder="1" applyAlignment="1">
      <alignment horizontal="center" vertical="center" wrapText="1"/>
    </xf>
    <xf numFmtId="168" fontId="36" fillId="24" borderId="17" xfId="41" applyNumberFormat="1" applyFont="1" applyFill="1" applyBorder="1" applyAlignment="1">
      <alignment horizontal="center" vertical="center" wrapText="1"/>
    </xf>
    <xf numFmtId="0" fontId="88" fillId="0" borderId="17" xfId="0" applyFont="1" applyBorder="1" applyAlignment="1">
      <alignment horizontal="center" vertical="center" wrapText="1"/>
    </xf>
    <xf numFmtId="168" fontId="36" fillId="0" borderId="161" xfId="41" applyNumberFormat="1" applyFont="1" applyFill="1" applyBorder="1" applyAlignment="1">
      <alignment horizontal="center" vertical="center" wrapText="1"/>
    </xf>
    <xf numFmtId="0" fontId="36" fillId="0" borderId="29" xfId="0" applyFont="1" applyBorder="1"/>
    <xf numFmtId="168" fontId="36" fillId="0" borderId="29" xfId="41" applyNumberFormat="1" applyFont="1" applyFill="1" applyBorder="1"/>
    <xf numFmtId="168" fontId="36" fillId="0" borderId="161" xfId="41" applyNumberFormat="1" applyFont="1" applyFill="1" applyBorder="1" applyAlignment="1">
      <alignment vertical="center"/>
    </xf>
    <xf numFmtId="168" fontId="36" fillId="0" borderId="36" xfId="41" applyNumberFormat="1" applyFont="1" applyFill="1" applyBorder="1" applyAlignment="1">
      <alignment horizontal="center" vertical="center"/>
    </xf>
    <xf numFmtId="0" fontId="35" fillId="0" borderId="0" xfId="0" applyFont="1" applyAlignment="1">
      <alignment vertical="center"/>
    </xf>
    <xf numFmtId="0" fontId="36" fillId="24" borderId="17" xfId="0" applyFont="1" applyFill="1" applyBorder="1" applyAlignment="1">
      <alignment vertical="center" wrapText="1"/>
    </xf>
    <xf numFmtId="0" fontId="36" fillId="24" borderId="18" xfId="0" applyFont="1" applyFill="1" applyBorder="1" applyAlignment="1">
      <alignment vertical="center" wrapText="1"/>
    </xf>
    <xf numFmtId="168" fontId="37" fillId="24" borderId="0" xfId="41" applyNumberFormat="1" applyFont="1" applyFill="1" applyBorder="1" applyAlignment="1">
      <alignment horizontal="center" vertical="center" wrapText="1"/>
    </xf>
    <xf numFmtId="0" fontId="36" fillId="24" borderId="23" xfId="0" applyFont="1" applyFill="1" applyBorder="1" applyAlignment="1">
      <alignment horizontal="center" vertical="center" wrapText="1"/>
    </xf>
    <xf numFmtId="0" fontId="36" fillId="0" borderId="10" xfId="0" applyFont="1" applyBorder="1" applyAlignment="1">
      <alignment horizontal="center" vertical="center" textRotation="90"/>
    </xf>
    <xf numFmtId="168" fontId="36" fillId="0" borderId="10" xfId="41" applyNumberFormat="1" applyFont="1" applyFill="1" applyBorder="1" applyAlignment="1">
      <alignment horizontal="center" vertical="center" wrapText="1"/>
    </xf>
    <xf numFmtId="168" fontId="37" fillId="24" borderId="14" xfId="41" applyNumberFormat="1" applyFont="1" applyFill="1" applyBorder="1" applyAlignment="1">
      <alignment horizontal="center" vertical="center" wrapText="1"/>
    </xf>
    <xf numFmtId="168" fontId="37" fillId="24" borderId="19" xfId="41" applyNumberFormat="1" applyFont="1" applyFill="1" applyBorder="1" applyAlignment="1">
      <alignment horizontal="center" vertical="center" wrapText="1"/>
    </xf>
    <xf numFmtId="168" fontId="36" fillId="24" borderId="14" xfId="41" applyNumberFormat="1" applyFont="1" applyFill="1" applyBorder="1" applyAlignment="1">
      <alignment horizontal="center" vertical="center" wrapText="1"/>
    </xf>
    <xf numFmtId="168" fontId="36" fillId="24" borderId="19" xfId="41" applyNumberFormat="1" applyFont="1" applyFill="1" applyBorder="1" applyAlignment="1">
      <alignment horizontal="center" vertical="center" wrapText="1"/>
    </xf>
    <xf numFmtId="168" fontId="36" fillId="24" borderId="35" xfId="41" applyNumberFormat="1" applyFont="1" applyFill="1" applyBorder="1" applyAlignment="1">
      <alignment horizontal="center" vertical="center" wrapText="1"/>
    </xf>
    <xf numFmtId="168" fontId="36" fillId="24" borderId="32" xfId="41" applyNumberFormat="1" applyFont="1" applyFill="1" applyBorder="1" applyAlignment="1">
      <alignment horizontal="center" vertical="center" wrapText="1"/>
    </xf>
    <xf numFmtId="168" fontId="37" fillId="27" borderId="0" xfId="41" applyNumberFormat="1" applyFont="1" applyFill="1" applyBorder="1" applyAlignment="1">
      <alignment horizontal="center" vertical="center" wrapText="1"/>
    </xf>
    <xf numFmtId="168" fontId="39" fillId="24" borderId="0" xfId="41" applyNumberFormat="1" applyFont="1" applyFill="1" applyBorder="1"/>
    <xf numFmtId="168" fontId="38" fillId="27" borderId="22" xfId="41" applyNumberFormat="1" applyFont="1" applyFill="1" applyBorder="1" applyAlignment="1">
      <alignment vertical="center" wrapText="1"/>
    </xf>
    <xf numFmtId="168" fontId="38" fillId="27" borderId="23" xfId="41" applyNumberFormat="1" applyFont="1" applyFill="1" applyBorder="1" applyAlignment="1">
      <alignment vertical="center" wrapText="1"/>
    </xf>
    <xf numFmtId="0" fontId="37" fillId="24" borderId="26" xfId="0" applyFont="1" applyFill="1" applyBorder="1" applyAlignment="1">
      <alignment horizontal="center" vertical="center"/>
    </xf>
    <xf numFmtId="0" fontId="37" fillId="24" borderId="24" xfId="0" applyFont="1" applyFill="1" applyBorder="1" applyAlignment="1">
      <alignment vertical="center"/>
    </xf>
    <xf numFmtId="0" fontId="36" fillId="24" borderId="26" xfId="0" applyFont="1" applyFill="1" applyBorder="1"/>
    <xf numFmtId="0" fontId="59" fillId="27" borderId="49" xfId="73" applyFont="1" applyFill="1" applyBorder="1" applyAlignment="1">
      <alignment horizontal="center" vertical="center" wrapText="1"/>
    </xf>
    <xf numFmtId="49" fontId="36" fillId="0" borderId="43" xfId="0" quotePrefix="1" applyNumberFormat="1" applyFont="1" applyBorder="1" applyAlignment="1">
      <alignment horizontal="center" vertical="center"/>
    </xf>
    <xf numFmtId="0" fontId="89" fillId="0" borderId="19" xfId="0" applyFont="1" applyBorder="1" applyAlignment="1">
      <alignment vertical="center" wrapText="1"/>
    </xf>
    <xf numFmtId="168" fontId="101" fillId="24" borderId="0" xfId="0" applyNumberFormat="1" applyFont="1" applyFill="1" applyAlignment="1">
      <alignment vertical="top" wrapText="1"/>
    </xf>
    <xf numFmtId="49" fontId="88" fillId="27" borderId="19" xfId="73" quotePrefix="1" applyNumberFormat="1" applyFont="1" applyFill="1" applyBorder="1" applyAlignment="1">
      <alignment horizontal="center" vertical="center" wrapText="1"/>
    </xf>
    <xf numFmtId="3" fontId="89" fillId="27" borderId="79" xfId="73" applyNumberFormat="1" applyFont="1" applyFill="1" applyBorder="1" applyAlignment="1">
      <alignment horizontal="right" vertical="center" wrapText="1"/>
    </xf>
    <xf numFmtId="0" fontId="97" fillId="27" borderId="144" xfId="73" applyFont="1" applyFill="1" applyBorder="1" applyAlignment="1">
      <alignment horizontal="center"/>
    </xf>
    <xf numFmtId="3" fontId="48" fillId="27" borderId="0" xfId="73" applyNumberFormat="1" applyFont="1" applyFill="1" applyAlignment="1">
      <alignment horizontal="center" vertical="center"/>
    </xf>
    <xf numFmtId="49" fontId="60" fillId="27" borderId="44" xfId="73" quotePrefix="1" applyNumberFormat="1" applyFont="1" applyFill="1" applyBorder="1" applyAlignment="1">
      <alignment horizontal="center" vertical="center" wrapText="1"/>
    </xf>
    <xf numFmtId="3" fontId="104" fillId="27" borderId="17" xfId="73" applyNumberFormat="1" applyFont="1" applyFill="1" applyBorder="1" applyAlignment="1">
      <alignment horizontal="right" vertical="center"/>
    </xf>
    <xf numFmtId="3" fontId="104" fillId="27" borderId="53" xfId="73" applyNumberFormat="1" applyFont="1" applyFill="1" applyBorder="1" applyAlignment="1">
      <alignment horizontal="right" vertical="center"/>
    </xf>
    <xf numFmtId="0" fontId="59" fillId="0" borderId="74" xfId="73" applyFont="1" applyBorder="1" applyAlignment="1">
      <alignment horizontal="center" vertical="top" wrapText="1"/>
    </xf>
    <xf numFmtId="0" fontId="49" fillId="0" borderId="144" xfId="73" applyFont="1" applyBorder="1" applyAlignment="1">
      <alignment horizontal="center"/>
    </xf>
    <xf numFmtId="3" fontId="59" fillId="27" borderId="44" xfId="73" applyNumberFormat="1" applyFont="1" applyFill="1" applyBorder="1" applyAlignment="1">
      <alignment horizontal="right" vertical="center" wrapText="1"/>
    </xf>
    <xf numFmtId="3" fontId="59" fillId="27" borderId="45" xfId="73" applyNumberFormat="1" applyFont="1" applyFill="1" applyBorder="1" applyAlignment="1">
      <alignment horizontal="right" vertical="center" wrapText="1"/>
    </xf>
    <xf numFmtId="3" fontId="59" fillId="27" borderId="49" xfId="73" applyNumberFormat="1" applyFont="1" applyFill="1" applyBorder="1" applyAlignment="1">
      <alignment horizontal="right" vertical="center" wrapText="1"/>
    </xf>
    <xf numFmtId="0" fontId="89" fillId="27" borderId="13" xfId="73" applyFont="1" applyFill="1" applyBorder="1" applyAlignment="1">
      <alignment vertical="center" wrapText="1"/>
    </xf>
    <xf numFmtId="0" fontId="89" fillId="27" borderId="14" xfId="73" applyFont="1" applyFill="1" applyBorder="1" applyAlignment="1">
      <alignment horizontal="left" vertical="center" wrapText="1"/>
    </xf>
    <xf numFmtId="49" fontId="60" fillId="0" borderId="19" xfId="73" quotePrefix="1" applyNumberFormat="1" applyFont="1" applyBorder="1" applyAlignment="1">
      <alignment horizontal="center" vertical="center" wrapText="1"/>
    </xf>
    <xf numFmtId="177" fontId="59" fillId="27" borderId="13" xfId="41" applyNumberFormat="1" applyFont="1" applyFill="1" applyBorder="1" applyAlignment="1">
      <alignment horizontal="right" vertical="center" wrapText="1"/>
    </xf>
    <xf numFmtId="177" fontId="89" fillId="27" borderId="13" xfId="41" applyNumberFormat="1" applyFont="1" applyFill="1" applyBorder="1" applyAlignment="1">
      <alignment horizontal="right" vertical="center" wrapText="1"/>
    </xf>
    <xf numFmtId="177" fontId="59" fillId="27" borderId="31" xfId="41" applyNumberFormat="1" applyFont="1" applyFill="1" applyBorder="1" applyAlignment="1">
      <alignment horizontal="right" vertical="center" wrapText="1"/>
    </xf>
    <xf numFmtId="177" fontId="89" fillId="27" borderId="52" xfId="41" applyNumberFormat="1" applyFont="1" applyFill="1" applyBorder="1" applyAlignment="1">
      <alignment horizontal="right" vertical="center" wrapText="1"/>
    </xf>
    <xf numFmtId="0" fontId="97" fillId="0" borderId="61" xfId="92" applyFont="1" applyBorder="1" applyAlignment="1">
      <alignment horizontal="center" vertical="center"/>
    </xf>
    <xf numFmtId="0" fontId="89" fillId="27" borderId="74" xfId="73" applyFont="1" applyFill="1" applyBorder="1" applyAlignment="1">
      <alignment horizontal="center" vertical="center" wrapText="1"/>
    </xf>
    <xf numFmtId="0" fontId="38" fillId="24" borderId="61" xfId="0" applyFont="1" applyFill="1" applyBorder="1" applyAlignment="1">
      <alignment horizontal="center" vertical="center" wrapText="1"/>
    </xf>
    <xf numFmtId="0" fontId="36" fillId="0" borderId="15" xfId="0" applyFont="1" applyBorder="1" applyAlignment="1">
      <alignment horizontal="center" vertical="center" wrapText="1"/>
    </xf>
    <xf numFmtId="0" fontId="36" fillId="24" borderId="15" xfId="0" applyFont="1" applyFill="1" applyBorder="1" applyAlignment="1">
      <alignment horizontal="center" vertical="center" wrapText="1"/>
    </xf>
    <xf numFmtId="0" fontId="36" fillId="27" borderId="14" xfId="0" applyFont="1" applyFill="1" applyBorder="1" applyAlignment="1">
      <alignment horizontal="center" vertical="center" wrapText="1"/>
    </xf>
    <xf numFmtId="3" fontId="35" fillId="0" borderId="18" xfId="41" applyNumberFormat="1" applyFont="1" applyFill="1" applyBorder="1" applyAlignment="1">
      <alignment horizontal="center" vertical="center"/>
    </xf>
    <xf numFmtId="49" fontId="36" fillId="0" borderId="16" xfId="0" applyNumberFormat="1" applyFont="1" applyBorder="1" applyAlignment="1">
      <alignment horizontal="center" vertical="center"/>
    </xf>
    <xf numFmtId="49" fontId="36" fillId="0" borderId="14" xfId="0" applyNumberFormat="1" applyFont="1" applyBorder="1" applyAlignment="1">
      <alignment horizontal="center" vertical="center"/>
    </xf>
    <xf numFmtId="0" fontId="89" fillId="27" borderId="13" xfId="73" applyFont="1" applyFill="1" applyBorder="1" applyAlignment="1">
      <alignment horizontal="center" vertical="center" wrapText="1"/>
    </xf>
    <xf numFmtId="0" fontId="89" fillId="27" borderId="41" xfId="73" applyFont="1" applyFill="1" applyBorder="1" applyAlignment="1">
      <alignment horizontal="center" vertical="center" wrapText="1"/>
    </xf>
    <xf numFmtId="0" fontId="89" fillId="27" borderId="19" xfId="73" applyFont="1" applyFill="1" applyBorder="1" applyAlignment="1">
      <alignment horizontal="left" vertical="center" wrapText="1"/>
    </xf>
    <xf numFmtId="0" fontId="89" fillId="27" borderId="19" xfId="73" applyFont="1" applyFill="1" applyBorder="1" applyAlignment="1">
      <alignment horizontal="center" vertical="center" wrapText="1"/>
    </xf>
    <xf numFmtId="0" fontId="89" fillId="27" borderId="20" xfId="73" applyFont="1" applyFill="1" applyBorder="1" applyAlignment="1">
      <alignment horizontal="center" vertical="center" wrapText="1"/>
    </xf>
    <xf numFmtId="0" fontId="89" fillId="27" borderId="25" xfId="73" applyFont="1" applyFill="1" applyBorder="1" applyAlignment="1">
      <alignment horizontal="center" vertical="center" wrapText="1"/>
    </xf>
    <xf numFmtId="0" fontId="36" fillId="0" borderId="53" xfId="0" applyFont="1" applyBorder="1" applyAlignment="1">
      <alignment horizontal="center" vertical="center" wrapText="1"/>
    </xf>
    <xf numFmtId="0" fontId="36" fillId="27" borderId="18" xfId="0" applyFont="1" applyFill="1" applyBorder="1" applyAlignment="1">
      <alignment horizontal="center" vertical="center"/>
    </xf>
    <xf numFmtId="0" fontId="49" fillId="0" borderId="10" xfId="110" applyFont="1" applyBorder="1" applyAlignment="1">
      <alignment horizontal="center" vertical="center" wrapText="1"/>
    </xf>
    <xf numFmtId="1" fontId="104" fillId="27" borderId="17" xfId="73" applyNumberFormat="1" applyFont="1" applyFill="1" applyBorder="1"/>
    <xf numFmtId="3" fontId="37" fillId="24" borderId="53" xfId="41" applyNumberFormat="1" applyFont="1" applyFill="1" applyBorder="1" applyAlignment="1">
      <alignment horizontal="right" vertical="center"/>
    </xf>
    <xf numFmtId="3" fontId="36" fillId="24" borderId="49" xfId="41" applyNumberFormat="1" applyFont="1" applyFill="1" applyBorder="1" applyAlignment="1">
      <alignment horizontal="right" vertical="center"/>
    </xf>
    <xf numFmtId="3" fontId="36" fillId="24" borderId="74" xfId="41" applyNumberFormat="1" applyFont="1" applyFill="1" applyBorder="1" applyAlignment="1">
      <alignment horizontal="right" vertical="center"/>
    </xf>
    <xf numFmtId="3" fontId="35" fillId="0" borderId="53" xfId="41" applyNumberFormat="1" applyFont="1" applyFill="1" applyBorder="1" applyAlignment="1">
      <alignment horizontal="center" vertical="center"/>
    </xf>
    <xf numFmtId="0" fontId="36" fillId="24" borderId="18" xfId="0" applyFont="1" applyFill="1" applyBorder="1" applyAlignment="1">
      <alignment horizontal="center" vertical="center" wrapText="1"/>
    </xf>
    <xf numFmtId="3" fontId="37" fillId="27" borderId="18" xfId="41" applyNumberFormat="1" applyFont="1" applyFill="1" applyBorder="1" applyAlignment="1">
      <alignment horizontal="right" vertical="center"/>
    </xf>
    <xf numFmtId="3" fontId="36" fillId="27" borderId="45" xfId="41" applyNumberFormat="1" applyFont="1" applyFill="1" applyBorder="1" applyAlignment="1">
      <alignment horizontal="right" vertical="center"/>
    </xf>
    <xf numFmtId="3" fontId="36" fillId="27" borderId="30" xfId="41" applyNumberFormat="1" applyFont="1" applyFill="1" applyBorder="1" applyAlignment="1">
      <alignment horizontal="right" vertical="center"/>
    </xf>
    <xf numFmtId="3" fontId="36" fillId="0" borderId="49" xfId="41" applyNumberFormat="1" applyFont="1" applyFill="1" applyBorder="1" applyAlignment="1">
      <alignment horizontal="right" vertical="center"/>
    </xf>
    <xf numFmtId="3" fontId="36" fillId="0" borderId="74" xfId="41" applyNumberFormat="1" applyFont="1" applyFill="1" applyBorder="1" applyAlignment="1">
      <alignment horizontal="right" vertical="center"/>
    </xf>
    <xf numFmtId="168" fontId="37" fillId="24" borderId="18" xfId="41" applyNumberFormat="1" applyFont="1" applyFill="1" applyBorder="1" applyAlignment="1">
      <alignment vertical="center"/>
    </xf>
    <xf numFmtId="0" fontId="93" fillId="0" borderId="18" xfId="97" applyFont="1" applyBorder="1" applyAlignment="1">
      <alignment horizontal="center" vertical="center" wrapText="1"/>
    </xf>
    <xf numFmtId="5" fontId="0" fillId="27" borderId="32" xfId="0" applyNumberFormat="1" applyFill="1" applyBorder="1"/>
    <xf numFmtId="5" fontId="0" fillId="27" borderId="12" xfId="0" applyNumberFormat="1" applyFill="1" applyBorder="1"/>
    <xf numFmtId="0" fontId="0" fillId="27" borderId="32" xfId="0" applyFill="1" applyBorder="1"/>
    <xf numFmtId="170" fontId="48" fillId="27" borderId="32" xfId="98" applyNumberFormat="1" applyFont="1" applyFill="1" applyBorder="1"/>
    <xf numFmtId="0" fontId="0" fillId="27" borderId="12" xfId="0" applyFill="1" applyBorder="1"/>
    <xf numFmtId="170" fontId="0" fillId="27" borderId="35" xfId="0" applyNumberFormat="1" applyFill="1" applyBorder="1"/>
    <xf numFmtId="170" fontId="0" fillId="27" borderId="32" xfId="0" applyNumberFormat="1" applyFill="1" applyBorder="1"/>
    <xf numFmtId="171" fontId="0" fillId="27" borderId="12" xfId="79" applyNumberFormat="1" applyFont="1" applyFill="1" applyBorder="1"/>
    <xf numFmtId="171" fontId="0" fillId="27" borderId="32" xfId="79" applyNumberFormat="1" applyFont="1" applyFill="1" applyBorder="1"/>
    <xf numFmtId="171" fontId="55" fillId="27" borderId="12" xfId="79" applyNumberFormat="1" applyFont="1" applyFill="1" applyBorder="1"/>
    <xf numFmtId="175" fontId="55" fillId="27" borderId="45" xfId="0" applyNumberFormat="1" applyFont="1" applyFill="1" applyBorder="1"/>
    <xf numFmtId="0" fontId="0" fillId="27" borderId="45" xfId="0" applyFill="1" applyBorder="1"/>
    <xf numFmtId="171" fontId="0" fillId="27" borderId="23" xfId="0" applyNumberFormat="1" applyFill="1" applyBorder="1"/>
    <xf numFmtId="168" fontId="38" fillId="27" borderId="17" xfId="93" applyNumberFormat="1" applyFont="1" applyFill="1" applyBorder="1" applyAlignment="1">
      <alignment horizontal="center" vertical="center" wrapText="1"/>
    </xf>
    <xf numFmtId="168" fontId="38" fillId="27" borderId="18" xfId="93" applyNumberFormat="1" applyFont="1" applyFill="1" applyBorder="1" applyAlignment="1">
      <alignment horizontal="center" vertical="center" wrapText="1"/>
    </xf>
    <xf numFmtId="168" fontId="37" fillId="0" borderId="10" xfId="0" applyNumberFormat="1" applyFont="1" applyBorder="1" applyAlignment="1">
      <alignment vertical="center"/>
    </xf>
    <xf numFmtId="168" fontId="36" fillId="27" borderId="118" xfId="41" applyNumberFormat="1" applyFont="1" applyFill="1" applyBorder="1" applyAlignment="1">
      <alignment horizontal="center" vertical="center"/>
    </xf>
    <xf numFmtId="0" fontId="36" fillId="27" borderId="17" xfId="0" applyFont="1" applyFill="1" applyBorder="1" applyAlignment="1">
      <alignment vertical="center" wrapText="1"/>
    </xf>
    <xf numFmtId="0" fontId="36" fillId="0" borderId="17" xfId="0" applyFont="1" applyBorder="1" applyAlignment="1">
      <alignment horizontal="left" vertical="center" wrapText="1"/>
    </xf>
    <xf numFmtId="168" fontId="36" fillId="27" borderId="17" xfId="41" applyNumberFormat="1" applyFont="1" applyFill="1" applyBorder="1"/>
    <xf numFmtId="168" fontId="37" fillId="27" borderId="17" xfId="41" applyNumberFormat="1" applyFont="1" applyFill="1" applyBorder="1" applyAlignment="1">
      <alignment horizontal="center" vertical="center"/>
    </xf>
    <xf numFmtId="0" fontId="37" fillId="0" borderId="39" xfId="0" applyFont="1" applyBorder="1" applyAlignment="1">
      <alignment vertical="center"/>
    </xf>
    <xf numFmtId="0" fontId="36" fillId="27" borderId="53" xfId="0" applyFont="1" applyFill="1" applyBorder="1" applyAlignment="1">
      <alignment vertical="center" wrapText="1"/>
    </xf>
    <xf numFmtId="168" fontId="36" fillId="27" borderId="53" xfId="41" applyNumberFormat="1" applyFont="1" applyFill="1" applyBorder="1" applyAlignment="1">
      <alignment vertical="center"/>
    </xf>
    <xf numFmtId="168" fontId="37" fillId="27" borderId="53" xfId="41" applyNumberFormat="1" applyFont="1" applyFill="1" applyBorder="1" applyAlignment="1">
      <alignment horizontal="center" vertical="center"/>
    </xf>
    <xf numFmtId="168" fontId="37" fillId="27" borderId="18" xfId="41" applyNumberFormat="1" applyFont="1" applyFill="1" applyBorder="1" applyAlignment="1">
      <alignment horizontal="center" vertical="center"/>
    </xf>
    <xf numFmtId="168" fontId="37" fillId="0" borderId="17" xfId="41" applyNumberFormat="1" applyFont="1" applyBorder="1" applyAlignment="1">
      <alignment horizontal="center" vertical="center"/>
    </xf>
    <xf numFmtId="168" fontId="36" fillId="0" borderId="31" xfId="41" applyNumberFormat="1" applyFont="1" applyFill="1" applyBorder="1" applyAlignment="1">
      <alignment vertical="center"/>
    </xf>
    <xf numFmtId="0" fontId="35" fillId="0" borderId="17" xfId="0" applyFont="1" applyBorder="1"/>
    <xf numFmtId="168" fontId="36" fillId="27" borderId="23" xfId="50" applyNumberFormat="1" applyFont="1" applyFill="1" applyBorder="1" applyAlignment="1">
      <alignment horizontal="center" vertical="center" wrapText="1"/>
    </xf>
    <xf numFmtId="168" fontId="37" fillId="0" borderId="53" xfId="41" applyNumberFormat="1" applyFont="1" applyBorder="1" applyAlignment="1">
      <alignment horizontal="center" vertical="center"/>
    </xf>
    <xf numFmtId="168" fontId="37" fillId="0" borderId="18" xfId="41" applyNumberFormat="1" applyFont="1" applyBorder="1" applyAlignment="1">
      <alignment horizontal="center" vertical="center"/>
    </xf>
    <xf numFmtId="168" fontId="38" fillId="24" borderId="10" xfId="0" applyNumberFormat="1" applyFont="1" applyFill="1" applyBorder="1" applyAlignment="1">
      <alignment vertical="center"/>
    </xf>
    <xf numFmtId="0" fontId="36" fillId="27" borderId="20" xfId="0" applyFont="1" applyFill="1" applyBorder="1" applyAlignment="1">
      <alignment horizontal="center" vertical="center"/>
    </xf>
    <xf numFmtId="0" fontId="36" fillId="27" borderId="41" xfId="0" applyFont="1" applyFill="1" applyBorder="1" applyAlignment="1">
      <alignment horizontal="center" vertical="center"/>
    </xf>
    <xf numFmtId="0" fontId="36" fillId="27" borderId="41" xfId="0" applyFont="1" applyFill="1" applyBorder="1" applyAlignment="1">
      <alignment vertical="center"/>
    </xf>
    <xf numFmtId="0" fontId="99" fillId="27" borderId="26" xfId="98" applyFont="1" applyFill="1" applyBorder="1" applyAlignment="1">
      <alignment horizontal="center" vertical="center"/>
    </xf>
    <xf numFmtId="0" fontId="10" fillId="0" borderId="39" xfId="63" applyFont="1" applyBorder="1" applyAlignment="1">
      <alignment horizontal="center" vertical="center" wrapText="1"/>
    </xf>
    <xf numFmtId="0" fontId="10" fillId="0" borderId="17" xfId="63" applyFont="1" applyBorder="1" applyAlignment="1">
      <alignment horizontal="center" vertical="center" wrapText="1"/>
    </xf>
    <xf numFmtId="0" fontId="10" fillId="0" borderId="18" xfId="63" applyFont="1" applyBorder="1" applyAlignment="1">
      <alignment horizontal="center" vertical="center" wrapText="1"/>
    </xf>
    <xf numFmtId="0" fontId="0" fillId="27" borderId="11" xfId="0" applyFill="1" applyBorder="1"/>
    <xf numFmtId="0" fontId="0" fillId="27" borderId="34" xfId="0" applyFill="1" applyBorder="1"/>
    <xf numFmtId="0" fontId="48" fillId="24" borderId="15" xfId="63" applyFont="1" applyFill="1" applyBorder="1" applyAlignment="1">
      <alignment horizontal="center" vertical="center" wrapText="1"/>
    </xf>
    <xf numFmtId="5" fontId="32" fillId="0" borderId="15" xfId="63" applyNumberFormat="1" applyFont="1" applyBorder="1" applyAlignment="1">
      <alignment horizontal="right" vertical="center" wrapText="1"/>
    </xf>
    <xf numFmtId="0" fontId="48" fillId="24" borderId="21" xfId="63" applyFont="1" applyFill="1" applyBorder="1" applyAlignment="1">
      <alignment horizontal="center" wrapText="1"/>
    </xf>
    <xf numFmtId="0" fontId="48" fillId="24" borderId="40" xfId="63" applyFont="1" applyFill="1" applyBorder="1" applyAlignment="1">
      <alignment horizontal="left" vertical="center"/>
    </xf>
    <xf numFmtId="49" fontId="60" fillId="0" borderId="40" xfId="73" quotePrefix="1" applyNumberFormat="1" applyFont="1" applyBorder="1" applyAlignment="1">
      <alignment horizontal="center" vertical="center" wrapText="1"/>
    </xf>
    <xf numFmtId="49" fontId="96" fillId="0" borderId="19" xfId="92" applyNumberFormat="1" applyFont="1" applyBorder="1" applyAlignment="1">
      <alignment horizontal="center" vertical="center" wrapText="1"/>
    </xf>
    <xf numFmtId="168" fontId="37" fillId="27" borderId="40" xfId="41" applyNumberFormat="1" applyFont="1" applyFill="1" applyBorder="1" applyAlignment="1">
      <alignment horizontal="center" vertical="center"/>
    </xf>
    <xf numFmtId="0" fontId="33" fillId="27" borderId="0" xfId="73" applyFont="1" applyFill="1" applyAlignment="1">
      <alignment horizontal="center"/>
    </xf>
    <xf numFmtId="0" fontId="59" fillId="27" borderId="16" xfId="73" applyFont="1" applyFill="1" applyBorder="1" applyAlignment="1">
      <alignment horizontal="left" vertical="center" wrapText="1"/>
    </xf>
    <xf numFmtId="0" fontId="89" fillId="27" borderId="16" xfId="73" applyFont="1" applyFill="1" applyBorder="1" applyAlignment="1">
      <alignment horizontal="left" vertical="center" wrapText="1"/>
    </xf>
    <xf numFmtId="0" fontId="59" fillId="27" borderId="14" xfId="73" applyFont="1" applyFill="1" applyBorder="1" applyAlignment="1">
      <alignment horizontal="center" vertical="center"/>
    </xf>
    <xf numFmtId="0" fontId="59" fillId="27" borderId="19" xfId="73" applyFont="1" applyFill="1" applyBorder="1" applyAlignment="1">
      <alignment horizontal="center" vertical="center"/>
    </xf>
    <xf numFmtId="49" fontId="60" fillId="27" borderId="16" xfId="73" quotePrefix="1" applyNumberFormat="1" applyFont="1" applyFill="1" applyBorder="1" applyAlignment="1">
      <alignment horizontal="center" vertical="center" wrapText="1"/>
    </xf>
    <xf numFmtId="49" fontId="60" fillId="27" borderId="16" xfId="73" quotePrefix="1" applyNumberFormat="1" applyFont="1" applyFill="1" applyBorder="1" applyAlignment="1">
      <alignment horizontal="center" vertical="center"/>
    </xf>
    <xf numFmtId="0" fontId="60" fillId="27" borderId="16" xfId="73" quotePrefix="1" applyFont="1" applyFill="1" applyBorder="1" applyAlignment="1">
      <alignment horizontal="center" vertical="center" wrapText="1"/>
    </xf>
    <xf numFmtId="3" fontId="59" fillId="27" borderId="16" xfId="73" applyNumberFormat="1" applyFont="1" applyFill="1" applyBorder="1" applyAlignment="1">
      <alignment horizontal="right" vertical="center"/>
    </xf>
    <xf numFmtId="0" fontId="34" fillId="27" borderId="12" xfId="0" quotePrefix="1" applyFont="1" applyFill="1" applyBorder="1" applyAlignment="1">
      <alignment vertical="center" wrapText="1"/>
    </xf>
    <xf numFmtId="0" fontId="36" fillId="27" borderId="40" xfId="0" applyFont="1" applyFill="1" applyBorder="1" applyAlignment="1">
      <alignment horizontal="left" vertical="center" wrapText="1"/>
    </xf>
    <xf numFmtId="49" fontId="36" fillId="0" borderId="51" xfId="0" quotePrefix="1" applyNumberFormat="1" applyFont="1" applyBorder="1" applyAlignment="1">
      <alignment horizontal="center" vertical="center" wrapText="1"/>
    </xf>
    <xf numFmtId="49" fontId="36" fillId="0" borderId="19" xfId="0" applyNumberFormat="1" applyFont="1" applyBorder="1" applyAlignment="1">
      <alignment horizontal="center" vertical="center" wrapText="1"/>
    </xf>
    <xf numFmtId="49" fontId="36" fillId="0" borderId="19" xfId="41" applyNumberFormat="1" applyFont="1" applyFill="1" applyBorder="1" applyAlignment="1">
      <alignment horizontal="center" vertical="center" wrapText="1"/>
    </xf>
    <xf numFmtId="49" fontId="36" fillId="0" borderId="32" xfId="41" applyNumberFormat="1" applyFont="1" applyFill="1" applyBorder="1" applyAlignment="1">
      <alignment horizontal="center" vertical="center" wrapText="1"/>
    </xf>
    <xf numFmtId="49" fontId="36" fillId="0" borderId="16" xfId="41" applyNumberFormat="1" applyFont="1" applyFill="1" applyBorder="1" applyAlignment="1">
      <alignment horizontal="center" vertical="center" wrapText="1"/>
    </xf>
    <xf numFmtId="49" fontId="36" fillId="0" borderId="12" xfId="41" applyNumberFormat="1" applyFont="1" applyFill="1" applyBorder="1" applyAlignment="1">
      <alignment horizontal="center" vertical="center" wrapText="1"/>
    </xf>
    <xf numFmtId="168" fontId="36" fillId="0" borderId="20" xfId="41" applyNumberFormat="1" applyFont="1" applyFill="1" applyBorder="1" applyAlignment="1">
      <alignment horizontal="center" vertical="center"/>
    </xf>
    <xf numFmtId="168" fontId="36" fillId="0" borderId="20" xfId="41" applyNumberFormat="1" applyFont="1" applyFill="1" applyBorder="1" applyAlignment="1">
      <alignment vertical="center"/>
    </xf>
    <xf numFmtId="168" fontId="36" fillId="0" borderId="46" xfId="41" applyNumberFormat="1" applyFont="1" applyFill="1" applyBorder="1" applyAlignment="1">
      <alignment vertical="center"/>
    </xf>
    <xf numFmtId="0" fontId="37" fillId="0" borderId="28" xfId="0" applyFont="1" applyBorder="1" applyAlignment="1">
      <alignment vertical="center"/>
    </xf>
    <xf numFmtId="0" fontId="37" fillId="0" borderId="22" xfId="0" applyFont="1" applyBorder="1" applyAlignment="1">
      <alignment vertical="center"/>
    </xf>
    <xf numFmtId="168" fontId="37" fillId="0" borderId="39" xfId="41" applyNumberFormat="1" applyFont="1" applyFill="1" applyBorder="1" applyAlignment="1">
      <alignment horizontal="center" vertical="center"/>
    </xf>
    <xf numFmtId="168" fontId="36" fillId="0" borderId="18" xfId="41" applyNumberFormat="1" applyFont="1" applyFill="1" applyBorder="1" applyAlignment="1">
      <alignment horizontal="center" vertical="center"/>
    </xf>
    <xf numFmtId="49" fontId="36" fillId="0" borderId="25" xfId="0" applyNumberFormat="1" applyFont="1" applyBorder="1" applyAlignment="1">
      <alignment horizontal="center" vertical="center"/>
    </xf>
    <xf numFmtId="0" fontId="37" fillId="0" borderId="14" xfId="0" applyFont="1" applyBorder="1" applyAlignment="1">
      <alignment horizontal="center" vertical="center"/>
    </xf>
    <xf numFmtId="168" fontId="36" fillId="0" borderId="25" xfId="41" applyNumberFormat="1" applyFont="1" applyFill="1" applyBorder="1" applyAlignment="1">
      <alignment vertical="center"/>
    </xf>
    <xf numFmtId="49" fontId="36" fillId="27" borderId="14" xfId="0" quotePrefix="1" applyNumberFormat="1" applyFont="1" applyFill="1" applyBorder="1" applyAlignment="1">
      <alignment horizontal="center" vertical="center"/>
    </xf>
    <xf numFmtId="0" fontId="36" fillId="0" borderId="16" xfId="0" applyFont="1" applyBorder="1" applyAlignment="1">
      <alignment horizontal="left" vertical="center"/>
    </xf>
    <xf numFmtId="0" fontId="59" fillId="27" borderId="16" xfId="73" applyFont="1" applyFill="1" applyBorder="1" applyAlignment="1">
      <alignment horizontal="center" vertical="center"/>
    </xf>
    <xf numFmtId="0" fontId="59" fillId="0" borderId="40" xfId="73" applyFont="1" applyBorder="1" applyAlignment="1">
      <alignment vertical="center" wrapText="1"/>
    </xf>
    <xf numFmtId="49" fontId="32" fillId="0" borderId="28" xfId="0" applyNumberFormat="1" applyFont="1" applyBorder="1" applyAlignment="1">
      <alignment horizontal="center" vertical="center" wrapText="1"/>
    </xf>
    <xf numFmtId="49" fontId="96" fillId="0" borderId="16" xfId="92" applyNumberFormat="1" applyFont="1" applyBorder="1" applyAlignment="1">
      <alignment horizontal="center" vertical="center" wrapText="1"/>
    </xf>
    <xf numFmtId="3" fontId="89" fillId="27" borderId="19" xfId="73" applyNumberFormat="1" applyFont="1" applyFill="1" applyBorder="1" applyAlignment="1">
      <alignment horizontal="right" vertical="center" wrapText="1"/>
    </xf>
    <xf numFmtId="0" fontId="36" fillId="0" borderId="17" xfId="0" quotePrefix="1" applyFont="1" applyBorder="1" applyAlignment="1">
      <alignment horizontal="center" vertical="center"/>
    </xf>
    <xf numFmtId="49" fontId="111" fillId="0" borderId="10" xfId="0" applyNumberFormat="1" applyFont="1" applyBorder="1" applyAlignment="1">
      <alignment horizontal="center" vertical="center" wrapText="1"/>
    </xf>
    <xf numFmtId="168" fontId="36" fillId="24" borderId="32" xfId="93" applyNumberFormat="1" applyFont="1" applyFill="1" applyBorder="1" applyAlignment="1">
      <alignment horizontal="center" vertical="center" wrapText="1"/>
    </xf>
    <xf numFmtId="0" fontId="36" fillId="0" borderId="19" xfId="0" quotePrefix="1" applyFont="1" applyBorder="1" applyAlignment="1">
      <alignment vertical="center" wrapText="1"/>
    </xf>
    <xf numFmtId="0" fontId="34" fillId="0" borderId="10" xfId="0" quotePrefix="1" applyFont="1" applyBorder="1" applyAlignment="1">
      <alignment horizontal="center" vertical="center" wrapText="1"/>
    </xf>
    <xf numFmtId="0" fontId="34" fillId="0" borderId="10" xfId="0" applyFont="1" applyBorder="1" applyAlignment="1">
      <alignment horizontal="center" vertical="center" wrapText="1"/>
    </xf>
    <xf numFmtId="0" fontId="34" fillId="27" borderId="10" xfId="0" applyFont="1" applyFill="1" applyBorder="1" applyAlignment="1">
      <alignment horizontal="center" vertical="center" wrapText="1"/>
    </xf>
    <xf numFmtId="0" fontId="32" fillId="27" borderId="10" xfId="0" applyFont="1" applyFill="1" applyBorder="1" applyAlignment="1">
      <alignment horizontal="center" vertical="center" wrapText="1"/>
    </xf>
    <xf numFmtId="0" fontId="35" fillId="27" borderId="10" xfId="0" applyFont="1" applyFill="1" applyBorder="1" applyAlignment="1">
      <alignment horizontal="center" vertical="center"/>
    </xf>
    <xf numFmtId="168" fontId="32" fillId="24" borderId="10" xfId="49" applyNumberFormat="1" applyFont="1" applyFill="1" applyBorder="1" applyAlignment="1">
      <alignment horizontal="center" vertical="center" wrapText="1"/>
    </xf>
    <xf numFmtId="168" fontId="34" fillId="27" borderId="10" xfId="49" applyNumberFormat="1" applyFont="1" applyFill="1" applyBorder="1" applyAlignment="1">
      <alignment horizontal="center" vertical="center" wrapText="1"/>
    </xf>
    <xf numFmtId="0" fontId="35" fillId="24" borderId="10" xfId="71" applyFont="1" applyFill="1" applyBorder="1" applyAlignment="1">
      <alignment horizontal="center" vertical="center"/>
    </xf>
    <xf numFmtId="168" fontId="34" fillId="0" borderId="10" xfId="49" applyNumberFormat="1" applyFont="1" applyFill="1" applyBorder="1" applyAlignment="1">
      <alignment horizontal="center" vertical="center" wrapText="1"/>
    </xf>
    <xf numFmtId="168" fontId="34" fillId="0" borderId="10" xfId="50" applyNumberFormat="1" applyFont="1" applyFill="1" applyBorder="1" applyAlignment="1">
      <alignment horizontal="center" vertical="center" wrapText="1"/>
    </xf>
    <xf numFmtId="0" fontId="35" fillId="24" borderId="10" xfId="72" applyFont="1" applyFill="1" applyBorder="1" applyAlignment="1">
      <alignment horizontal="center" vertical="center"/>
    </xf>
    <xf numFmtId="168" fontId="32" fillId="24" borderId="10" xfId="50" applyNumberFormat="1" applyFont="1" applyFill="1" applyBorder="1" applyAlignment="1">
      <alignment horizontal="center" vertical="center" wrapText="1"/>
    </xf>
    <xf numFmtId="168" fontId="34" fillId="27" borderId="10" xfId="50" applyNumberFormat="1" applyFont="1" applyFill="1" applyBorder="1" applyAlignment="1">
      <alignment horizontal="center" vertical="center" wrapText="1"/>
    </xf>
    <xf numFmtId="168" fontId="32" fillId="24" borderId="65" xfId="50" applyNumberFormat="1" applyFont="1" applyFill="1" applyBorder="1" applyAlignment="1">
      <alignment horizontal="center" vertical="center" wrapText="1"/>
    </xf>
    <xf numFmtId="0" fontId="36" fillId="24" borderId="29" xfId="0" applyFont="1" applyFill="1" applyBorder="1" applyAlignment="1">
      <alignment horizontal="center" vertical="center"/>
    </xf>
    <xf numFmtId="0" fontId="36" fillId="24" borderId="10" xfId="0" applyFont="1" applyFill="1" applyBorder="1" applyAlignment="1">
      <alignment horizontal="center" vertical="center" wrapText="1"/>
    </xf>
    <xf numFmtId="0" fontId="37" fillId="0" borderId="17" xfId="0" applyFont="1" applyBorder="1" applyAlignment="1">
      <alignment horizontal="center" vertical="center"/>
    </xf>
    <xf numFmtId="0" fontId="36" fillId="0" borderId="43" xfId="0" applyFont="1" applyBorder="1" applyAlignment="1">
      <alignment horizontal="center" vertical="center"/>
    </xf>
    <xf numFmtId="0" fontId="36" fillId="0" borderId="44" xfId="0" applyFont="1" applyBorder="1" applyAlignment="1">
      <alignment horizontal="center" vertical="center"/>
    </xf>
    <xf numFmtId="0" fontId="37" fillId="24" borderId="17" xfId="0" applyFont="1" applyFill="1" applyBorder="1" applyAlignment="1">
      <alignment horizontal="center" vertical="center"/>
    </xf>
    <xf numFmtId="0" fontId="36" fillId="27" borderId="17" xfId="0" applyFont="1" applyFill="1" applyBorder="1" applyAlignment="1">
      <alignment horizontal="center" vertical="center"/>
    </xf>
    <xf numFmtId="0" fontId="36" fillId="0" borderId="10" xfId="0" applyFont="1" applyBorder="1" applyAlignment="1">
      <alignment horizontal="center" vertical="center" textRotation="90" wrapText="1"/>
    </xf>
    <xf numFmtId="0" fontId="36" fillId="0" borderId="39" xfId="0" applyFont="1" applyBorder="1" applyAlignment="1">
      <alignment horizontal="center" vertical="center"/>
    </xf>
    <xf numFmtId="0" fontId="36" fillId="0" borderId="17" xfId="0" applyFont="1" applyBorder="1" applyAlignment="1">
      <alignment horizontal="center" vertical="center"/>
    </xf>
    <xf numFmtId="0" fontId="37" fillId="0" borderId="39" xfId="0" applyFont="1" applyBorder="1" applyAlignment="1">
      <alignment horizontal="left" vertical="center"/>
    </xf>
    <xf numFmtId="0" fontId="36" fillId="24" borderId="22" xfId="0" applyFont="1" applyFill="1" applyBorder="1" applyAlignment="1">
      <alignment horizontal="center" vertical="center"/>
    </xf>
    <xf numFmtId="0" fontId="36" fillId="24" borderId="23" xfId="0" applyFont="1" applyFill="1" applyBorder="1" applyAlignment="1">
      <alignment horizontal="center" vertical="center"/>
    </xf>
    <xf numFmtId="0" fontId="37" fillId="24" borderId="28" xfId="0" applyFont="1" applyFill="1" applyBorder="1" applyAlignment="1">
      <alignment horizontal="center" vertical="center"/>
    </xf>
    <xf numFmtId="0" fontId="37" fillId="24" borderId="22" xfId="0" applyFont="1" applyFill="1" applyBorder="1" applyAlignment="1">
      <alignment horizontal="center" vertical="center"/>
    </xf>
    <xf numFmtId="170" fontId="33" fillId="27" borderId="22" xfId="81" applyNumberFormat="1" applyFont="1" applyFill="1" applyBorder="1" applyAlignment="1"/>
    <xf numFmtId="0" fontId="36" fillId="24" borderId="17" xfId="92" applyFont="1" applyFill="1" applyBorder="1" applyAlignment="1">
      <alignment horizontal="center" vertical="center"/>
    </xf>
    <xf numFmtId="0" fontId="89" fillId="27" borderId="40" xfId="73" applyFont="1" applyFill="1" applyBorder="1" applyAlignment="1">
      <alignment horizontal="left" vertical="center" wrapText="1"/>
    </xf>
    <xf numFmtId="0" fontId="89" fillId="27" borderId="13" xfId="73" applyFont="1" applyFill="1" applyBorder="1" applyAlignment="1">
      <alignment horizontal="left" vertical="center" wrapText="1"/>
    </xf>
    <xf numFmtId="0" fontId="89" fillId="27" borderId="40" xfId="73" applyFont="1" applyFill="1" applyBorder="1" applyAlignment="1">
      <alignment horizontal="center" vertical="center" wrapText="1"/>
    </xf>
    <xf numFmtId="0" fontId="89" fillId="27" borderId="21" xfId="73" applyFont="1" applyFill="1" applyBorder="1" applyAlignment="1">
      <alignment horizontal="center" vertical="center" wrapText="1"/>
    </xf>
    <xf numFmtId="0" fontId="36" fillId="27" borderId="21" xfId="0" applyFont="1" applyFill="1" applyBorder="1" applyAlignment="1">
      <alignment horizontal="center" vertical="center"/>
    </xf>
    <xf numFmtId="0" fontId="89" fillId="27" borderId="46" xfId="73" applyFont="1" applyFill="1" applyBorder="1" applyAlignment="1">
      <alignment horizontal="center" vertical="center" wrapText="1"/>
    </xf>
    <xf numFmtId="0" fontId="89" fillId="27" borderId="14" xfId="73" applyFont="1" applyFill="1" applyBorder="1" applyAlignment="1">
      <alignment horizontal="center" vertical="center" wrapText="1"/>
    </xf>
    <xf numFmtId="0" fontId="89" fillId="27" borderId="16" xfId="73" applyFont="1" applyFill="1" applyBorder="1" applyAlignment="1">
      <alignment horizontal="center" vertical="center" wrapText="1"/>
    </xf>
    <xf numFmtId="0" fontId="36" fillId="0" borderId="19" xfId="0" quotePrefix="1" applyFont="1" applyBorder="1" applyAlignment="1">
      <alignment horizontal="left" vertical="center" wrapText="1"/>
    </xf>
    <xf numFmtId="0" fontId="89" fillId="0" borderId="13" xfId="0" applyFont="1" applyBorder="1" applyAlignment="1">
      <alignment horizontal="left" vertical="center" wrapText="1"/>
    </xf>
    <xf numFmtId="0" fontId="59" fillId="27" borderId="44" xfId="73" applyFont="1" applyFill="1" applyBorder="1" applyAlignment="1">
      <alignment horizontal="left" vertical="center" wrapText="1"/>
    </xf>
    <xf numFmtId="0" fontId="59" fillId="27" borderId="13" xfId="73" applyFont="1" applyFill="1" applyBorder="1" applyAlignment="1">
      <alignment horizontal="left" vertical="center" wrapText="1"/>
    </xf>
    <xf numFmtId="0" fontId="59" fillId="27" borderId="44" xfId="73" applyFont="1" applyFill="1" applyBorder="1" applyAlignment="1">
      <alignment horizontal="center" vertical="center" wrapText="1"/>
    </xf>
    <xf numFmtId="0" fontId="59" fillId="27" borderId="13" xfId="73" applyFont="1" applyFill="1" applyBorder="1" applyAlignment="1">
      <alignment horizontal="center" vertical="center" wrapText="1"/>
    </xf>
    <xf numFmtId="0" fontId="59" fillId="27" borderId="47" xfId="73" applyFont="1" applyFill="1" applyBorder="1" applyAlignment="1">
      <alignment horizontal="center" vertical="center" wrapText="1"/>
    </xf>
    <xf numFmtId="0" fontId="59" fillId="27" borderId="43" xfId="73" applyFont="1" applyFill="1" applyBorder="1" applyAlignment="1">
      <alignment horizontal="center" vertical="center" wrapText="1"/>
    </xf>
    <xf numFmtId="0" fontId="59" fillId="27" borderId="41" xfId="73" applyFont="1" applyFill="1" applyBorder="1" applyAlignment="1">
      <alignment horizontal="center" vertical="center" wrapText="1"/>
    </xf>
    <xf numFmtId="0" fontId="59" fillId="27" borderId="21" xfId="73" applyFont="1" applyFill="1" applyBorder="1" applyAlignment="1">
      <alignment horizontal="center" vertical="center" wrapText="1"/>
    </xf>
    <xf numFmtId="0" fontId="59" fillId="27" borderId="19" xfId="73" applyFont="1" applyFill="1" applyBorder="1" applyAlignment="1">
      <alignment horizontal="left" vertical="center" wrapText="1"/>
    </xf>
    <xf numFmtId="0" fontId="59" fillId="27" borderId="19" xfId="73" applyFont="1" applyFill="1" applyBorder="1" applyAlignment="1">
      <alignment horizontal="center" vertical="center" wrapText="1"/>
    </xf>
    <xf numFmtId="0" fontId="59" fillId="27" borderId="20" xfId="73" applyFont="1" applyFill="1" applyBorder="1" applyAlignment="1">
      <alignment horizontal="center" vertical="center" wrapText="1"/>
    </xf>
    <xf numFmtId="0" fontId="59" fillId="27" borderId="40" xfId="73" applyFont="1" applyFill="1" applyBorder="1" applyAlignment="1">
      <alignment horizontal="left" vertical="center" wrapText="1"/>
    </xf>
    <xf numFmtId="0" fontId="59" fillId="27" borderId="40" xfId="73" applyFont="1" applyFill="1" applyBorder="1" applyAlignment="1">
      <alignment horizontal="center" vertical="center" wrapText="1"/>
    </xf>
    <xf numFmtId="0" fontId="59" fillId="27" borderId="14" xfId="73" applyFont="1" applyFill="1" applyBorder="1" applyAlignment="1">
      <alignment horizontal="center" vertical="center" wrapText="1"/>
    </xf>
    <xf numFmtId="0" fontId="59" fillId="27" borderId="16" xfId="73" applyFont="1" applyFill="1" applyBorder="1" applyAlignment="1">
      <alignment horizontal="center" vertical="center" wrapText="1"/>
    </xf>
    <xf numFmtId="0" fontId="49" fillId="27" borderId="35" xfId="73" applyFont="1" applyFill="1" applyBorder="1" applyAlignment="1">
      <alignment horizontal="center"/>
    </xf>
    <xf numFmtId="0" fontId="59" fillId="27" borderId="25" xfId="73" applyFont="1" applyFill="1" applyBorder="1" applyAlignment="1">
      <alignment horizontal="center" vertical="center" wrapText="1"/>
    </xf>
    <xf numFmtId="0" fontId="59" fillId="27" borderId="46" xfId="73" applyFont="1" applyFill="1" applyBorder="1" applyAlignment="1">
      <alignment horizontal="center" vertical="center" wrapText="1"/>
    </xf>
    <xf numFmtId="0" fontId="59" fillId="27" borderId="13" xfId="73" applyFont="1" applyFill="1" applyBorder="1" applyAlignment="1">
      <alignment horizontal="center" vertical="center"/>
    </xf>
    <xf numFmtId="49" fontId="59" fillId="27" borderId="13" xfId="73" applyNumberFormat="1" applyFont="1" applyFill="1" applyBorder="1" applyAlignment="1">
      <alignment horizontal="center" vertical="center" wrapText="1"/>
    </xf>
    <xf numFmtId="0" fontId="49" fillId="27" borderId="57" xfId="73" applyFont="1" applyFill="1" applyBorder="1" applyAlignment="1">
      <alignment horizontal="center"/>
    </xf>
    <xf numFmtId="0" fontId="49" fillId="27" borderId="144" xfId="73" applyFont="1" applyFill="1" applyBorder="1" applyAlignment="1">
      <alignment horizontal="center"/>
    </xf>
    <xf numFmtId="0" fontId="59" fillId="0" borderId="13" xfId="73" applyFont="1" applyBorder="1" applyAlignment="1">
      <alignment horizontal="left" vertical="center" wrapText="1"/>
    </xf>
    <xf numFmtId="0" fontId="59" fillId="0" borderId="13" xfId="73" applyFont="1" applyBorder="1" applyAlignment="1">
      <alignment horizontal="center" vertical="center" wrapText="1"/>
    </xf>
    <xf numFmtId="0" fontId="59" fillId="0" borderId="41" xfId="73" applyFont="1" applyBorder="1" applyAlignment="1">
      <alignment horizontal="center" vertical="center" wrapText="1"/>
    </xf>
    <xf numFmtId="0" fontId="59" fillId="0" borderId="19" xfId="73" applyFont="1" applyBorder="1" applyAlignment="1">
      <alignment horizontal="left" vertical="center" wrapText="1"/>
    </xf>
    <xf numFmtId="0" fontId="59" fillId="0" borderId="19" xfId="73" applyFont="1" applyBorder="1" applyAlignment="1">
      <alignment horizontal="center" vertical="center" wrapText="1"/>
    </xf>
    <xf numFmtId="0" fontId="59" fillId="0" borderId="20" xfId="73" applyFont="1" applyBorder="1" applyAlignment="1">
      <alignment horizontal="center" vertical="center" wrapText="1"/>
    </xf>
    <xf numFmtId="0" fontId="59" fillId="0" borderId="40" xfId="73" applyFont="1" applyBorder="1" applyAlignment="1">
      <alignment horizontal="left" vertical="center" wrapText="1"/>
    </xf>
    <xf numFmtId="0" fontId="59" fillId="0" borderId="40" xfId="73" applyFont="1" applyBorder="1" applyAlignment="1">
      <alignment horizontal="center" vertical="center" wrapText="1"/>
    </xf>
    <xf numFmtId="0" fontId="59" fillId="0" borderId="21" xfId="73" applyFont="1" applyBorder="1" applyAlignment="1">
      <alignment horizontal="center" vertical="center" wrapText="1"/>
    </xf>
    <xf numFmtId="0" fontId="59" fillId="0" borderId="44" xfId="73" applyFont="1" applyBorder="1" applyAlignment="1">
      <alignment horizontal="left" vertical="center" wrapText="1"/>
    </xf>
    <xf numFmtId="0" fontId="59" fillId="0" borderId="44" xfId="73" applyFont="1" applyBorder="1" applyAlignment="1">
      <alignment horizontal="center" vertical="center" wrapText="1"/>
    </xf>
    <xf numFmtId="0" fontId="59" fillId="0" borderId="43" xfId="73" applyFont="1" applyBorder="1" applyAlignment="1">
      <alignment horizontal="center" vertical="center" wrapText="1"/>
    </xf>
    <xf numFmtId="0" fontId="59" fillId="0" borderId="52" xfId="73" applyFont="1" applyBorder="1" applyAlignment="1">
      <alignment horizontal="center" vertical="center" wrapText="1"/>
    </xf>
    <xf numFmtId="0" fontId="89" fillId="0" borderId="25" xfId="73" applyFont="1" applyBorder="1" applyAlignment="1">
      <alignment horizontal="center" vertical="center" wrapText="1"/>
    </xf>
    <xf numFmtId="0" fontId="89" fillId="0" borderId="14" xfId="73" applyFont="1" applyBorder="1" applyAlignment="1">
      <alignment horizontal="center" vertical="center" wrapText="1"/>
    </xf>
    <xf numFmtId="0" fontId="89" fillId="0" borderId="16" xfId="73" applyFont="1" applyBorder="1" applyAlignment="1">
      <alignment horizontal="center" vertical="center" wrapText="1"/>
    </xf>
    <xf numFmtId="168" fontId="37" fillId="24" borderId="13" xfId="41" applyNumberFormat="1" applyFont="1" applyFill="1" applyBorder="1" applyAlignment="1">
      <alignment horizontal="center" vertical="center" wrapText="1"/>
    </xf>
    <xf numFmtId="168" fontId="36" fillId="24" borderId="13" xfId="41" applyNumberFormat="1" applyFont="1" applyFill="1" applyBorder="1" applyAlignment="1">
      <alignment horizontal="center" vertical="center" wrapText="1"/>
    </xf>
    <xf numFmtId="168" fontId="36" fillId="24" borderId="31" xfId="41" applyNumberFormat="1" applyFont="1" applyFill="1" applyBorder="1" applyAlignment="1">
      <alignment horizontal="center" vertical="center" wrapText="1"/>
    </xf>
    <xf numFmtId="168" fontId="37" fillId="24" borderId="16" xfId="41" applyNumberFormat="1" applyFont="1" applyFill="1" applyBorder="1" applyAlignment="1">
      <alignment horizontal="center" vertical="center" wrapText="1"/>
    </xf>
    <xf numFmtId="168" fontId="36" fillId="24" borderId="16" xfId="41" applyNumberFormat="1" applyFont="1" applyFill="1" applyBorder="1" applyAlignment="1">
      <alignment horizontal="center" vertical="center" wrapText="1"/>
    </xf>
    <xf numFmtId="168" fontId="36" fillId="24" borderId="12" xfId="41" applyNumberFormat="1" applyFont="1" applyFill="1" applyBorder="1" applyAlignment="1">
      <alignment horizontal="center" vertical="center" wrapText="1"/>
    </xf>
    <xf numFmtId="0" fontId="36" fillId="0" borderId="13" xfId="0" applyFont="1" applyBorder="1" applyAlignment="1">
      <alignment horizontal="center" vertical="center" wrapText="1"/>
    </xf>
    <xf numFmtId="0" fontId="36" fillId="0" borderId="23" xfId="0" applyFont="1" applyBorder="1" applyAlignment="1">
      <alignment horizontal="center" vertical="center"/>
    </xf>
    <xf numFmtId="0" fontId="54" fillId="27" borderId="0" xfId="0" applyFont="1" applyFill="1" applyAlignment="1">
      <alignment vertical="center"/>
    </xf>
    <xf numFmtId="49" fontId="36" fillId="0" borderId="48" xfId="0" applyNumberFormat="1" applyFont="1" applyBorder="1" applyAlignment="1">
      <alignment horizontal="center" vertical="center"/>
    </xf>
    <xf numFmtId="49" fontId="36" fillId="0" borderId="29" xfId="0" quotePrefix="1" applyNumberFormat="1" applyFont="1" applyBorder="1" applyAlignment="1">
      <alignment horizontal="center" vertical="center"/>
    </xf>
    <xf numFmtId="49" fontId="36" fillId="0" borderId="44" xfId="0" quotePrefix="1" applyNumberFormat="1" applyFont="1" applyBorder="1" applyAlignment="1">
      <alignment horizontal="center" vertical="center" wrapText="1"/>
    </xf>
    <xf numFmtId="168" fontId="36" fillId="0" borderId="162" xfId="41" applyNumberFormat="1" applyFont="1" applyFill="1" applyBorder="1" applyAlignment="1">
      <alignment vertical="center"/>
    </xf>
    <xf numFmtId="49" fontId="36" fillId="27" borderId="41" xfId="0" applyNumberFormat="1" applyFont="1" applyFill="1" applyBorder="1" applyAlignment="1">
      <alignment horizontal="center" vertical="center"/>
    </xf>
    <xf numFmtId="49" fontId="36" fillId="27" borderId="13" xfId="0" quotePrefix="1" applyNumberFormat="1" applyFont="1" applyFill="1" applyBorder="1" applyAlignment="1">
      <alignment horizontal="center" vertical="center"/>
    </xf>
    <xf numFmtId="168" fontId="36" fillId="27" borderId="44" xfId="41" applyNumberFormat="1" applyFont="1" applyFill="1" applyBorder="1" applyAlignment="1">
      <alignment horizontal="center" vertical="center"/>
    </xf>
    <xf numFmtId="168" fontId="36" fillId="27" borderId="13" xfId="41" applyNumberFormat="1" applyFont="1" applyFill="1" applyBorder="1"/>
    <xf numFmtId="168" fontId="36" fillId="27" borderId="13" xfId="41" applyNumberFormat="1" applyFont="1" applyFill="1" applyBorder="1" applyAlignment="1">
      <alignment vertical="center"/>
    </xf>
    <xf numFmtId="49" fontId="36" fillId="27" borderId="46" xfId="0" applyNumberFormat="1" applyFont="1" applyFill="1" applyBorder="1" applyAlignment="1">
      <alignment horizontal="center" vertical="center"/>
    </xf>
    <xf numFmtId="0" fontId="36" fillId="27" borderId="16" xfId="0" applyFont="1" applyFill="1" applyBorder="1" applyAlignment="1">
      <alignment horizontal="left" vertical="center" wrapText="1"/>
    </xf>
    <xf numFmtId="168" fontId="37" fillId="27" borderId="16" xfId="41" applyNumberFormat="1" applyFont="1" applyFill="1" applyBorder="1" applyAlignment="1">
      <alignment horizontal="center" vertical="center"/>
    </xf>
    <xf numFmtId="168" fontId="36" fillId="27" borderId="16" xfId="41" applyNumberFormat="1" applyFont="1" applyFill="1" applyBorder="1" applyAlignment="1">
      <alignment horizontal="center" vertical="center"/>
    </xf>
    <xf numFmtId="168" fontId="36" fillId="27" borderId="12" xfId="41" applyNumberFormat="1" applyFont="1" applyFill="1" applyBorder="1" applyAlignment="1">
      <alignment horizontal="center" vertical="center"/>
    </xf>
    <xf numFmtId="168" fontId="36" fillId="27" borderId="16" xfId="41" applyNumberFormat="1" applyFont="1" applyFill="1" applyBorder="1"/>
    <xf numFmtId="168" fontId="36" fillId="27" borderId="16" xfId="41" applyNumberFormat="1" applyFont="1" applyFill="1" applyBorder="1" applyAlignment="1">
      <alignment vertical="center"/>
    </xf>
    <xf numFmtId="49" fontId="36" fillId="0" borderId="25" xfId="0" quotePrefix="1" applyNumberFormat="1" applyFont="1" applyBorder="1" applyAlignment="1">
      <alignment horizontal="center" vertical="center"/>
    </xf>
    <xf numFmtId="49" fontId="36" fillId="0" borderId="14" xfId="0" quotePrefix="1" applyNumberFormat="1" applyFont="1" applyBorder="1" applyAlignment="1">
      <alignment horizontal="center" vertical="center"/>
    </xf>
    <xf numFmtId="0" fontId="36" fillId="0" borderId="14" xfId="0" applyFont="1" applyBorder="1" applyAlignment="1">
      <alignment horizontal="left" vertical="center"/>
    </xf>
    <xf numFmtId="168" fontId="37" fillId="27" borderId="14" xfId="41" applyNumberFormat="1" applyFont="1" applyFill="1" applyBorder="1" applyAlignment="1">
      <alignment horizontal="center" vertical="center"/>
    </xf>
    <xf numFmtId="168" fontId="36" fillId="27" borderId="14" xfId="41" applyNumberFormat="1" applyFont="1" applyFill="1" applyBorder="1" applyAlignment="1">
      <alignment horizontal="center" vertical="center"/>
    </xf>
    <xf numFmtId="168" fontId="36" fillId="27" borderId="35" xfId="41" applyNumberFormat="1" applyFont="1" applyFill="1" applyBorder="1" applyAlignment="1">
      <alignment horizontal="center" vertical="center"/>
    </xf>
    <xf numFmtId="0" fontId="36" fillId="0" borderId="19" xfId="0" applyFont="1" applyBorder="1" applyAlignment="1">
      <alignment horizontal="left" vertical="center"/>
    </xf>
    <xf numFmtId="168" fontId="36" fillId="27" borderId="79" xfId="41" applyNumberFormat="1" applyFont="1" applyFill="1" applyBorder="1" applyAlignment="1">
      <alignment horizontal="center" vertical="center"/>
    </xf>
    <xf numFmtId="0" fontId="99" fillId="27" borderId="0" xfId="98" applyFont="1" applyFill="1" applyAlignment="1">
      <alignment horizontal="center" vertical="center"/>
    </xf>
    <xf numFmtId="170" fontId="98" fillId="27" borderId="0" xfId="0" applyNumberFormat="1" applyFont="1" applyFill="1"/>
    <xf numFmtId="170" fontId="98" fillId="27" borderId="24" xfId="0" applyNumberFormat="1" applyFont="1" applyFill="1" applyBorder="1"/>
    <xf numFmtId="0" fontId="34" fillId="0" borderId="17" xfId="0" applyFont="1" applyBorder="1" applyAlignment="1">
      <alignment vertical="center" wrapText="1"/>
    </xf>
    <xf numFmtId="0" fontId="36" fillId="0" borderId="29" xfId="0" applyFont="1" applyBorder="1" applyAlignment="1">
      <alignment horizontal="left" vertical="center" wrapText="1"/>
    </xf>
    <xf numFmtId="168" fontId="59" fillId="27" borderId="81" xfId="41" applyNumberFormat="1" applyFont="1" applyFill="1" applyBorder="1" applyAlignment="1">
      <alignment horizontal="center" vertical="center" wrapText="1"/>
    </xf>
    <xf numFmtId="0" fontId="34" fillId="0" borderId="10" xfId="0" quotePrefix="1" applyFont="1" applyBorder="1" applyAlignment="1">
      <alignment horizontal="center" vertical="center" wrapText="1"/>
    </xf>
    <xf numFmtId="0" fontId="34" fillId="0" borderId="10" xfId="0" applyFont="1" applyBorder="1" applyAlignment="1">
      <alignment horizontal="center" vertical="center" wrapText="1"/>
    </xf>
    <xf numFmtId="0" fontId="35" fillId="27" borderId="10" xfId="0" applyFont="1" applyFill="1" applyBorder="1" applyAlignment="1">
      <alignment horizontal="center" vertical="center"/>
    </xf>
    <xf numFmtId="165" fontId="33" fillId="27" borderId="10" xfId="0" applyNumberFormat="1" applyFont="1" applyFill="1" applyBorder="1" applyAlignment="1">
      <alignment horizontal="center" vertical="center" wrapText="1"/>
    </xf>
    <xf numFmtId="0" fontId="32" fillId="0" borderId="10" xfId="0" applyFont="1" applyBorder="1" applyAlignment="1">
      <alignment horizontal="center" vertical="center" wrapText="1"/>
    </xf>
    <xf numFmtId="0" fontId="32" fillId="27" borderId="10" xfId="0" applyFont="1" applyFill="1" applyBorder="1" applyAlignment="1">
      <alignment horizontal="center" vertical="center" wrapText="1"/>
    </xf>
    <xf numFmtId="0" fontId="34" fillId="27" borderId="10" xfId="0" quotePrefix="1" applyFont="1" applyFill="1" applyBorder="1" applyAlignment="1">
      <alignment horizontal="center" vertical="center" wrapText="1"/>
    </xf>
    <xf numFmtId="0" fontId="34" fillId="27" borderId="10" xfId="0" applyFont="1" applyFill="1" applyBorder="1" applyAlignment="1">
      <alignment horizontal="center" vertical="center" wrapText="1"/>
    </xf>
    <xf numFmtId="0" fontId="34" fillId="0" borderId="61" xfId="0" quotePrefix="1" applyFont="1" applyBorder="1" applyAlignment="1">
      <alignment horizontal="center" vertical="center" wrapText="1"/>
    </xf>
    <xf numFmtId="0" fontId="34" fillId="0" borderId="65" xfId="0" quotePrefix="1" applyFont="1" applyBorder="1" applyAlignment="1">
      <alignment horizontal="center" vertical="center" wrapText="1"/>
    </xf>
    <xf numFmtId="0" fontId="34" fillId="0" borderId="28"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23" xfId="0" applyFont="1" applyBorder="1" applyAlignment="1">
      <alignment horizontal="center" vertical="center" wrapText="1"/>
    </xf>
    <xf numFmtId="0" fontId="32" fillId="27" borderId="102" xfId="0" applyFont="1" applyFill="1" applyBorder="1" applyAlignment="1">
      <alignment horizontal="center" vertical="center" wrapText="1"/>
    </xf>
    <xf numFmtId="0" fontId="32" fillId="27" borderId="33" xfId="0" applyFont="1" applyFill="1" applyBorder="1" applyAlignment="1">
      <alignment horizontal="center" vertical="center" wrapText="1"/>
    </xf>
    <xf numFmtId="0" fontId="32" fillId="27" borderId="61" xfId="0" applyFont="1" applyFill="1" applyBorder="1" applyAlignment="1">
      <alignment horizontal="center" vertical="center" wrapText="1"/>
    </xf>
    <xf numFmtId="0" fontId="32" fillId="27" borderId="65" xfId="0" applyFont="1" applyFill="1" applyBorder="1" applyAlignment="1">
      <alignment horizontal="center" vertical="center" wrapText="1"/>
    </xf>
    <xf numFmtId="0" fontId="32" fillId="0" borderId="10" xfId="0" quotePrefix="1" applyFont="1" applyBorder="1" applyAlignment="1">
      <alignment horizontal="center" vertical="center" wrapText="1"/>
    </xf>
    <xf numFmtId="0" fontId="34" fillId="0" borderId="61" xfId="0" applyFont="1" applyBorder="1" applyAlignment="1">
      <alignment horizontal="center" vertical="center" wrapText="1"/>
    </xf>
    <xf numFmtId="0" fontId="34" fillId="0" borderId="81" xfId="0" applyFont="1" applyBorder="1" applyAlignment="1">
      <alignment horizontal="center" vertical="center" wrapText="1"/>
    </xf>
    <xf numFmtId="0" fontId="34" fillId="0" borderId="65" xfId="0" applyFont="1" applyBorder="1" applyAlignment="1">
      <alignment horizontal="center" vertical="center" wrapText="1"/>
    </xf>
    <xf numFmtId="168" fontId="34" fillId="27" borderId="10" xfId="49" applyNumberFormat="1" applyFont="1" applyFill="1" applyBorder="1" applyAlignment="1">
      <alignment horizontal="center" vertical="center" wrapText="1"/>
    </xf>
    <xf numFmtId="0" fontId="35" fillId="24" borderId="102" xfId="71" applyFont="1" applyFill="1" applyBorder="1" applyAlignment="1">
      <alignment horizontal="center" vertical="center"/>
    </xf>
    <xf numFmtId="0" fontId="35" fillId="24" borderId="27" xfId="71" applyFont="1" applyFill="1" applyBorder="1" applyAlignment="1">
      <alignment horizontal="center" vertical="center"/>
    </xf>
    <xf numFmtId="0" fontId="35" fillId="24" borderId="103" xfId="71" applyFont="1" applyFill="1" applyBorder="1" applyAlignment="1">
      <alignment horizontal="center" vertical="center"/>
    </xf>
    <xf numFmtId="0" fontId="35" fillId="24" borderId="33" xfId="71" applyFont="1" applyFill="1" applyBorder="1" applyAlignment="1">
      <alignment horizontal="center" vertical="center"/>
    </xf>
    <xf numFmtId="0" fontId="35" fillId="24" borderId="11" xfId="71" applyFont="1" applyFill="1" applyBorder="1" applyAlignment="1">
      <alignment horizontal="center" vertical="center"/>
    </xf>
    <xf numFmtId="0" fontId="35" fillId="24" borderId="34" xfId="71" applyFont="1" applyFill="1" applyBorder="1" applyAlignment="1">
      <alignment horizontal="center" vertical="center"/>
    </xf>
    <xf numFmtId="168" fontId="34" fillId="27" borderId="28" xfId="49" applyNumberFormat="1" applyFont="1" applyFill="1" applyBorder="1" applyAlignment="1">
      <alignment horizontal="center" vertical="center" wrapText="1"/>
    </xf>
    <xf numFmtId="168" fontId="34" fillId="27" borderId="22" xfId="49" applyNumberFormat="1" applyFont="1" applyFill="1" applyBorder="1" applyAlignment="1">
      <alignment horizontal="center" vertical="center" wrapText="1"/>
    </xf>
    <xf numFmtId="168" fontId="34" fillId="27" borderId="23" xfId="49" applyNumberFormat="1" applyFont="1" applyFill="1" applyBorder="1" applyAlignment="1">
      <alignment horizontal="center" vertical="center" wrapText="1"/>
    </xf>
    <xf numFmtId="165" fontId="33" fillId="24" borderId="10" xfId="71" applyNumberFormat="1" applyFont="1" applyFill="1" applyBorder="1" applyAlignment="1">
      <alignment horizontal="center" vertical="center" wrapText="1"/>
    </xf>
    <xf numFmtId="0" fontId="35" fillId="24" borderId="10" xfId="71" applyFont="1" applyFill="1" applyBorder="1" applyAlignment="1">
      <alignment horizontal="center" vertical="center"/>
    </xf>
    <xf numFmtId="168" fontId="32" fillId="24" borderId="10" xfId="49" applyNumberFormat="1" applyFont="1" applyFill="1" applyBorder="1" applyAlignment="1">
      <alignment horizontal="center" vertical="center" wrapText="1"/>
    </xf>
    <xf numFmtId="168" fontId="34" fillId="27" borderId="10" xfId="49" quotePrefix="1" applyNumberFormat="1" applyFont="1" applyFill="1" applyBorder="1" applyAlignment="1">
      <alignment horizontal="center" vertical="center" wrapText="1"/>
    </xf>
    <xf numFmtId="168" fontId="34" fillId="27" borderId="61" xfId="49" applyNumberFormat="1" applyFont="1" applyFill="1" applyBorder="1" applyAlignment="1">
      <alignment horizontal="center" vertical="center" wrapText="1"/>
    </xf>
    <xf numFmtId="168" fontId="34" fillId="27" borderId="65" xfId="49" applyNumberFormat="1" applyFont="1" applyFill="1" applyBorder="1" applyAlignment="1">
      <alignment horizontal="center" vertical="center" wrapText="1"/>
    </xf>
    <xf numFmtId="168" fontId="32" fillId="24" borderId="10" xfId="49" quotePrefix="1" applyNumberFormat="1" applyFont="1" applyFill="1" applyBorder="1" applyAlignment="1">
      <alignment horizontal="center" vertical="center" wrapText="1"/>
    </xf>
    <xf numFmtId="168" fontId="34" fillId="0" borderId="10" xfId="49" applyNumberFormat="1" applyFont="1" applyFill="1" applyBorder="1" applyAlignment="1">
      <alignment horizontal="center" vertical="center" wrapText="1"/>
    </xf>
    <xf numFmtId="168" fontId="34" fillId="0" borderId="10" xfId="50" applyNumberFormat="1" applyFont="1" applyFill="1" applyBorder="1" applyAlignment="1">
      <alignment horizontal="center" vertical="center" wrapText="1"/>
    </xf>
    <xf numFmtId="168" fontId="34" fillId="27" borderId="28" xfId="50" applyNumberFormat="1" applyFont="1" applyFill="1" applyBorder="1" applyAlignment="1">
      <alignment horizontal="center" vertical="center" wrapText="1"/>
    </xf>
    <xf numFmtId="168" fontId="34" fillId="27" borderId="22" xfId="50" applyNumberFormat="1" applyFont="1" applyFill="1" applyBorder="1" applyAlignment="1">
      <alignment horizontal="center" vertical="center" wrapText="1"/>
    </xf>
    <xf numFmtId="168" fontId="34" fillId="27" borderId="23" xfId="50" applyNumberFormat="1" applyFont="1" applyFill="1" applyBorder="1" applyAlignment="1">
      <alignment horizontal="center" vertical="center" wrapText="1"/>
    </xf>
    <xf numFmtId="168" fontId="32" fillId="24" borderId="10" xfId="50" applyNumberFormat="1" applyFont="1" applyFill="1" applyBorder="1" applyAlignment="1">
      <alignment horizontal="center" vertical="center" wrapText="1"/>
    </xf>
    <xf numFmtId="168" fontId="34" fillId="27" borderId="10" xfId="50" applyNumberFormat="1" applyFont="1" applyFill="1" applyBorder="1" applyAlignment="1">
      <alignment horizontal="center" vertical="center" wrapText="1"/>
    </xf>
    <xf numFmtId="0" fontId="35" fillId="24" borderId="102" xfId="72" applyFont="1" applyFill="1" applyBorder="1" applyAlignment="1">
      <alignment horizontal="center" vertical="center"/>
    </xf>
    <xf numFmtId="0" fontId="35" fillId="24" borderId="27" xfId="72" applyFont="1" applyFill="1" applyBorder="1" applyAlignment="1">
      <alignment horizontal="center" vertical="center"/>
    </xf>
    <xf numFmtId="0" fontId="35" fillId="24" borderId="103" xfId="72" applyFont="1" applyFill="1" applyBorder="1" applyAlignment="1">
      <alignment horizontal="center" vertical="center"/>
    </xf>
    <xf numFmtId="0" fontId="35" fillId="24" borderId="33" xfId="72" applyFont="1" applyFill="1" applyBorder="1" applyAlignment="1">
      <alignment horizontal="center" vertical="center"/>
    </xf>
    <xf numFmtId="0" fontId="35" fillId="24" borderId="11" xfId="72" applyFont="1" applyFill="1" applyBorder="1" applyAlignment="1">
      <alignment horizontal="center" vertical="center"/>
    </xf>
    <xf numFmtId="0" fontId="35" fillId="24" borderId="34" xfId="72" applyFont="1" applyFill="1" applyBorder="1" applyAlignment="1">
      <alignment horizontal="center" vertical="center"/>
    </xf>
    <xf numFmtId="165" fontId="33" fillId="24" borderId="10" xfId="72" applyNumberFormat="1" applyFont="1" applyFill="1" applyBorder="1" applyAlignment="1">
      <alignment horizontal="center" vertical="center" wrapText="1"/>
    </xf>
    <xf numFmtId="0" fontId="35" fillId="24" borderId="10" xfId="72" applyFont="1" applyFill="1" applyBorder="1" applyAlignment="1">
      <alignment horizontal="center" vertical="center"/>
    </xf>
    <xf numFmtId="168" fontId="32" fillId="24" borderId="65" xfId="50" applyNumberFormat="1" applyFont="1" applyFill="1" applyBorder="1" applyAlignment="1">
      <alignment horizontal="center" vertical="center" wrapText="1"/>
    </xf>
    <xf numFmtId="168" fontId="34" fillId="27" borderId="61" xfId="50" applyNumberFormat="1" applyFont="1" applyFill="1" applyBorder="1" applyAlignment="1">
      <alignment horizontal="center" vertical="center" wrapText="1"/>
    </xf>
    <xf numFmtId="168" fontId="34" fillId="27" borderId="65" xfId="50" applyNumberFormat="1" applyFont="1" applyFill="1" applyBorder="1" applyAlignment="1">
      <alignment horizontal="center" vertical="center" wrapText="1"/>
    </xf>
    <xf numFmtId="168" fontId="34" fillId="24" borderId="61" xfId="50" quotePrefix="1" applyNumberFormat="1" applyFont="1" applyFill="1" applyBorder="1" applyAlignment="1">
      <alignment horizontal="center" vertical="center" wrapText="1"/>
    </xf>
    <xf numFmtId="168" fontId="34" fillId="24" borderId="65" xfId="50" quotePrefix="1" applyNumberFormat="1" applyFont="1" applyFill="1" applyBorder="1" applyAlignment="1">
      <alignment horizontal="center" vertical="center" wrapText="1"/>
    </xf>
    <xf numFmtId="0" fontId="32" fillId="27" borderId="28" xfId="0" applyFont="1" applyFill="1" applyBorder="1" applyAlignment="1">
      <alignment horizontal="center" vertical="center" wrapText="1"/>
    </xf>
    <xf numFmtId="0" fontId="32" fillId="27" borderId="22" xfId="0" applyFont="1" applyFill="1" applyBorder="1" applyAlignment="1">
      <alignment horizontal="center" vertical="center" wrapText="1"/>
    </xf>
    <xf numFmtId="0" fontId="32" fillId="27" borderId="23" xfId="0" applyFont="1" applyFill="1" applyBorder="1" applyAlignment="1">
      <alignment horizontal="center" vertical="center" wrapText="1"/>
    </xf>
    <xf numFmtId="0" fontId="34" fillId="27" borderId="28" xfId="0" applyFont="1" applyFill="1" applyBorder="1" applyAlignment="1">
      <alignment horizontal="center" vertical="center" wrapText="1"/>
    </xf>
    <xf numFmtId="0" fontId="34" fillId="27" borderId="23" xfId="0" applyFont="1" applyFill="1" applyBorder="1" applyAlignment="1">
      <alignment horizontal="center" vertical="center" wrapText="1"/>
    </xf>
    <xf numFmtId="0" fontId="34" fillId="27" borderId="22" xfId="0" applyFont="1" applyFill="1" applyBorder="1" applyAlignment="1">
      <alignment horizontal="center" vertical="center" wrapText="1"/>
    </xf>
    <xf numFmtId="0" fontId="54" fillId="24" borderId="0" xfId="0" applyFont="1" applyFill="1" applyAlignment="1">
      <alignment horizontal="center" vertical="center"/>
    </xf>
    <xf numFmtId="0" fontId="39" fillId="24" borderId="0" xfId="0" applyFont="1" applyFill="1" applyAlignment="1">
      <alignment horizontal="center"/>
    </xf>
    <xf numFmtId="0" fontId="37" fillId="24" borderId="39" xfId="0" applyFont="1" applyFill="1" applyBorder="1" applyAlignment="1">
      <alignment horizontal="center" vertical="center" wrapText="1"/>
    </xf>
    <xf numFmtId="0" fontId="37" fillId="24" borderId="17" xfId="0" applyFont="1" applyFill="1" applyBorder="1" applyAlignment="1">
      <alignment horizontal="center" vertical="center" wrapText="1"/>
    </xf>
    <xf numFmtId="0" fontId="38" fillId="24" borderId="39" xfId="0" applyFont="1" applyFill="1" applyBorder="1" applyAlignment="1">
      <alignment horizontal="center" vertical="center"/>
    </xf>
    <xf numFmtId="0" fontId="38" fillId="27" borderId="17" xfId="0" applyFont="1" applyFill="1" applyBorder="1" applyAlignment="1">
      <alignment horizontal="center" vertical="center"/>
    </xf>
    <xf numFmtId="0" fontId="36" fillId="24" borderId="39" xfId="0" applyFont="1" applyFill="1" applyBorder="1" applyAlignment="1">
      <alignment horizontal="center" vertical="center"/>
    </xf>
    <xf numFmtId="0" fontId="36" fillId="24" borderId="17" xfId="0" applyFont="1" applyFill="1" applyBorder="1" applyAlignment="1">
      <alignment horizontal="center" vertical="center"/>
    </xf>
    <xf numFmtId="0" fontId="36" fillId="24" borderId="61" xfId="92" applyFont="1" applyFill="1" applyBorder="1" applyAlignment="1">
      <alignment horizontal="center" vertical="center" textRotation="90"/>
    </xf>
    <xf numFmtId="0" fontId="36" fillId="24" borderId="65" xfId="92" applyFont="1" applyFill="1" applyBorder="1" applyAlignment="1">
      <alignment horizontal="center" vertical="center" textRotation="90"/>
    </xf>
    <xf numFmtId="0" fontId="36" fillId="24" borderId="61" xfId="92" applyFont="1" applyFill="1" applyBorder="1" applyAlignment="1">
      <alignment horizontal="center" vertical="center" wrapText="1"/>
    </xf>
    <xf numFmtId="0" fontId="36" fillId="24" borderId="65" xfId="92" applyFont="1" applyFill="1" applyBorder="1" applyAlignment="1">
      <alignment horizontal="center" vertical="center" wrapText="1"/>
    </xf>
    <xf numFmtId="0" fontId="36" fillId="27" borderId="61" xfId="0" applyFont="1" applyFill="1" applyBorder="1" applyAlignment="1">
      <alignment horizontal="center" vertical="center"/>
    </xf>
    <xf numFmtId="0" fontId="36" fillId="27" borderId="65" xfId="0" applyFont="1" applyFill="1" applyBorder="1" applyAlignment="1">
      <alignment horizontal="center" vertical="center"/>
    </xf>
    <xf numFmtId="49" fontId="37" fillId="24" borderId="28" xfId="0" quotePrefix="1" applyNumberFormat="1" applyFont="1" applyFill="1" applyBorder="1" applyAlignment="1">
      <alignment horizontal="center" vertical="center"/>
    </xf>
    <xf numFmtId="49" fontId="37" fillId="24" borderId="22" xfId="0" quotePrefix="1" applyNumberFormat="1" applyFont="1" applyFill="1" applyBorder="1" applyAlignment="1">
      <alignment horizontal="center" vertical="center"/>
    </xf>
    <xf numFmtId="49" fontId="37" fillId="24" borderId="53" xfId="0" quotePrefix="1" applyNumberFormat="1" applyFont="1" applyFill="1" applyBorder="1" applyAlignment="1">
      <alignment horizontal="center" vertical="center"/>
    </xf>
    <xf numFmtId="0" fontId="36" fillId="24" borderId="61" xfId="0" applyFont="1" applyFill="1" applyBorder="1" applyAlignment="1">
      <alignment horizontal="center" vertical="center" wrapText="1"/>
    </xf>
    <xf numFmtId="0" fontId="36" fillId="24" borderId="65" xfId="0" applyFont="1" applyFill="1" applyBorder="1" applyAlignment="1">
      <alignment horizontal="center" vertical="center" wrapText="1"/>
    </xf>
    <xf numFmtId="16" fontId="37" fillId="27" borderId="28" xfId="0" applyNumberFormat="1" applyFont="1" applyFill="1" applyBorder="1" applyAlignment="1">
      <alignment horizontal="center" vertical="center"/>
    </xf>
    <xf numFmtId="16" fontId="37" fillId="27" borderId="22" xfId="0" applyNumberFormat="1" applyFont="1" applyFill="1" applyBorder="1" applyAlignment="1">
      <alignment horizontal="center" vertical="center"/>
    </xf>
    <xf numFmtId="0" fontId="36" fillId="27" borderId="39" xfId="0" applyFont="1" applyFill="1" applyBorder="1" applyAlignment="1">
      <alignment horizontal="center" vertical="center"/>
    </xf>
    <xf numFmtId="0" fontId="36" fillId="27" borderId="17" xfId="0" applyFont="1" applyFill="1" applyBorder="1" applyAlignment="1">
      <alignment horizontal="center" vertical="center"/>
    </xf>
    <xf numFmtId="49" fontId="37" fillId="24" borderId="39" xfId="0" quotePrefix="1" applyNumberFormat="1" applyFont="1" applyFill="1" applyBorder="1" applyAlignment="1">
      <alignment horizontal="center" vertical="center"/>
    </xf>
    <xf numFmtId="49" fontId="37" fillId="24" borderId="17" xfId="0" applyNumberFormat="1" applyFont="1" applyFill="1" applyBorder="1" applyAlignment="1">
      <alignment horizontal="center" vertical="center"/>
    </xf>
    <xf numFmtId="0" fontId="36" fillId="0" borderId="28" xfId="0" applyFont="1" applyBorder="1" applyAlignment="1">
      <alignment horizontal="center" vertical="center" wrapText="1"/>
    </xf>
    <xf numFmtId="0" fontId="36" fillId="0" borderId="22" xfId="0" applyFont="1" applyBorder="1" applyAlignment="1">
      <alignment horizontal="center" vertical="center" wrapText="1"/>
    </xf>
    <xf numFmtId="0" fontId="36" fillId="0" borderId="53" xfId="0" applyFont="1" applyBorder="1" applyAlignment="1">
      <alignment horizontal="center" vertical="center" wrapText="1"/>
    </xf>
    <xf numFmtId="0" fontId="40" fillId="24" borderId="10" xfId="0" applyFont="1" applyFill="1" applyBorder="1" applyAlignment="1">
      <alignment horizontal="center" vertical="center"/>
    </xf>
    <xf numFmtId="0" fontId="40" fillId="27" borderId="10" xfId="0" applyFont="1" applyFill="1" applyBorder="1" applyAlignment="1">
      <alignment horizontal="center" vertical="center"/>
    </xf>
    <xf numFmtId="0" fontId="37" fillId="24" borderId="10" xfId="0" applyFont="1" applyFill="1" applyBorder="1" applyAlignment="1">
      <alignment horizontal="center" vertical="center" wrapText="1"/>
    </xf>
    <xf numFmtId="0" fontId="36" fillId="0" borderId="33" xfId="0" applyFont="1" applyBorder="1" applyAlignment="1">
      <alignment horizontal="center" vertical="center"/>
    </xf>
    <xf numFmtId="0" fontId="36" fillId="0" borderId="11" xfId="0" applyFont="1" applyBorder="1" applyAlignment="1">
      <alignment horizontal="center" vertical="center"/>
    </xf>
    <xf numFmtId="0" fontId="36" fillId="0" borderId="159" xfId="0" applyFont="1" applyBorder="1" applyAlignment="1">
      <alignment horizontal="center" vertical="center"/>
    </xf>
    <xf numFmtId="0" fontId="37" fillId="24" borderId="39" xfId="0" applyFont="1" applyFill="1" applyBorder="1" applyAlignment="1">
      <alignment horizontal="center" vertical="center"/>
    </xf>
    <xf numFmtId="0" fontId="37" fillId="24" borderId="17" xfId="0" applyFont="1" applyFill="1" applyBorder="1" applyAlignment="1">
      <alignment horizontal="center" vertical="center"/>
    </xf>
    <xf numFmtId="49" fontId="37" fillId="0" borderId="39" xfId="0" applyNumberFormat="1" applyFont="1" applyBorder="1" applyAlignment="1">
      <alignment horizontal="center" vertical="center"/>
    </xf>
    <xf numFmtId="49" fontId="37" fillId="0" borderId="17" xfId="0" applyNumberFormat="1" applyFont="1" applyBorder="1" applyAlignment="1">
      <alignment horizontal="center" vertical="center"/>
    </xf>
    <xf numFmtId="0" fontId="38" fillId="27" borderId="102" xfId="0" applyFont="1" applyFill="1" applyBorder="1" applyAlignment="1">
      <alignment horizontal="center" vertical="center"/>
    </xf>
    <xf numFmtId="0" fontId="38" fillId="27" borderId="27" xfId="0" applyFont="1" applyFill="1" applyBorder="1" applyAlignment="1">
      <alignment horizontal="center" vertical="center"/>
    </xf>
    <xf numFmtId="0" fontId="38" fillId="27" borderId="103" xfId="0" applyFont="1" applyFill="1" applyBorder="1" applyAlignment="1">
      <alignment horizontal="center" vertical="center"/>
    </xf>
    <xf numFmtId="0" fontId="38" fillId="27" borderId="33" xfId="0" applyFont="1" applyFill="1" applyBorder="1" applyAlignment="1">
      <alignment horizontal="center" vertical="center"/>
    </xf>
    <xf numFmtId="0" fontId="38" fillId="27" borderId="11" xfId="0" applyFont="1" applyFill="1" applyBorder="1" applyAlignment="1">
      <alignment horizontal="center" vertical="center"/>
    </xf>
    <xf numFmtId="0" fontId="38" fillId="27" borderId="34" xfId="0" applyFont="1" applyFill="1" applyBorder="1" applyAlignment="1">
      <alignment horizontal="center" vertical="center"/>
    </xf>
    <xf numFmtId="49" fontId="37" fillId="24" borderId="39" xfId="0" applyNumberFormat="1" applyFont="1" applyFill="1" applyBorder="1" applyAlignment="1">
      <alignment horizontal="center" vertical="center"/>
    </xf>
    <xf numFmtId="0" fontId="37" fillId="0" borderId="39" xfId="0" quotePrefix="1" applyFont="1" applyBorder="1" applyAlignment="1">
      <alignment horizontal="center" vertical="center"/>
    </xf>
    <xf numFmtId="0" fontId="37" fillId="0" borderId="17" xfId="0" applyFont="1" applyBorder="1" applyAlignment="1">
      <alignment horizontal="center" vertical="center"/>
    </xf>
    <xf numFmtId="0" fontId="37" fillId="0" borderId="39" xfId="0" applyFont="1" applyBorder="1" applyAlignment="1">
      <alignment horizontal="center" vertical="center"/>
    </xf>
    <xf numFmtId="0" fontId="36" fillId="0" borderId="43" xfId="0" applyFont="1" applyBorder="1" applyAlignment="1">
      <alignment horizontal="center" vertical="center"/>
    </xf>
    <xf numFmtId="0" fontId="36" fillId="0" borderId="44" xfId="0" applyFont="1" applyBorder="1" applyAlignment="1">
      <alignment horizontal="center" vertical="center"/>
    </xf>
    <xf numFmtId="0" fontId="36" fillId="24" borderId="10" xfId="0" applyFont="1" applyFill="1" applyBorder="1" applyAlignment="1">
      <alignment horizontal="center" vertical="center" textRotation="90"/>
    </xf>
    <xf numFmtId="0" fontId="36" fillId="24" borderId="10" xfId="0" applyFont="1" applyFill="1" applyBorder="1" applyAlignment="1">
      <alignment horizontal="center" vertical="center" textRotation="90" wrapText="1"/>
    </xf>
    <xf numFmtId="0" fontId="36" fillId="24" borderId="10" xfId="0" applyFont="1" applyFill="1" applyBorder="1" applyAlignment="1">
      <alignment horizontal="center" vertical="center"/>
    </xf>
    <xf numFmtId="0" fontId="36" fillId="27" borderId="10" xfId="0" applyFont="1" applyFill="1" applyBorder="1" applyAlignment="1">
      <alignment horizontal="center" vertical="center"/>
    </xf>
    <xf numFmtId="0" fontId="38" fillId="0" borderId="102" xfId="0" applyFont="1" applyBorder="1" applyAlignment="1">
      <alignment horizontal="center" vertical="center"/>
    </xf>
    <xf numFmtId="0" fontId="38" fillId="0" borderId="27" xfId="0" applyFont="1" applyBorder="1" applyAlignment="1">
      <alignment horizontal="center" vertical="center"/>
    </xf>
    <xf numFmtId="0" fontId="38" fillId="0" borderId="103" xfId="0" applyFont="1" applyBorder="1" applyAlignment="1">
      <alignment horizontal="center" vertical="center"/>
    </xf>
    <xf numFmtId="0" fontId="38" fillId="0" borderId="33" xfId="0" applyFont="1" applyBorder="1" applyAlignment="1">
      <alignment horizontal="center" vertical="center"/>
    </xf>
    <xf numFmtId="0" fontId="38" fillId="0" borderId="11" xfId="0" applyFont="1" applyBorder="1" applyAlignment="1">
      <alignment horizontal="center" vertical="center"/>
    </xf>
    <xf numFmtId="0" fontId="38" fillId="0" borderId="34" xfId="0" applyFont="1" applyBorder="1" applyAlignment="1">
      <alignment horizontal="center" vertical="center"/>
    </xf>
    <xf numFmtId="0" fontId="35" fillId="0" borderId="102" xfId="0" applyFont="1" applyBorder="1" applyAlignment="1">
      <alignment horizontal="center" vertical="center"/>
    </xf>
    <xf numFmtId="0" fontId="35" fillId="0" borderId="27" xfId="0" applyFont="1" applyBorder="1" applyAlignment="1">
      <alignment horizontal="center" vertical="center"/>
    </xf>
    <xf numFmtId="0" fontId="35" fillId="0" borderId="103" xfId="0" applyFont="1" applyBorder="1" applyAlignment="1">
      <alignment horizontal="center" vertical="center"/>
    </xf>
    <xf numFmtId="0" fontId="35" fillId="0" borderId="33" xfId="0" applyFont="1" applyBorder="1" applyAlignment="1">
      <alignment horizontal="center" vertical="center"/>
    </xf>
    <xf numFmtId="0" fontId="35" fillId="0" borderId="11" xfId="0" applyFont="1" applyBorder="1" applyAlignment="1">
      <alignment horizontal="center" vertical="center"/>
    </xf>
    <xf numFmtId="0" fontId="35" fillId="0" borderId="34" xfId="0" applyFont="1" applyBorder="1" applyAlignment="1">
      <alignment horizontal="center" vertical="center"/>
    </xf>
    <xf numFmtId="49" fontId="37" fillId="24" borderId="17" xfId="0" quotePrefix="1" applyNumberFormat="1" applyFont="1" applyFill="1" applyBorder="1" applyAlignment="1">
      <alignment horizontal="center" vertical="center"/>
    </xf>
    <xf numFmtId="0" fontId="36" fillId="24" borderId="61" xfId="0" applyFont="1" applyFill="1" applyBorder="1" applyAlignment="1">
      <alignment horizontal="center" vertical="center"/>
    </xf>
    <xf numFmtId="0" fontId="36" fillId="24" borderId="65" xfId="0" applyFont="1" applyFill="1" applyBorder="1" applyAlignment="1">
      <alignment horizontal="center" vertical="center"/>
    </xf>
    <xf numFmtId="0" fontId="36" fillId="24" borderId="48" xfId="0" applyFont="1" applyFill="1" applyBorder="1" applyAlignment="1">
      <alignment horizontal="center" vertical="center"/>
    </xf>
    <xf numFmtId="0" fontId="36" fillId="24" borderId="29" xfId="0" applyFont="1" applyFill="1" applyBorder="1" applyAlignment="1">
      <alignment horizontal="center" vertical="center"/>
    </xf>
    <xf numFmtId="0" fontId="35" fillId="24" borderId="39" xfId="0" applyFont="1" applyFill="1" applyBorder="1" applyAlignment="1">
      <alignment horizontal="center" vertical="center"/>
    </xf>
    <xf numFmtId="0" fontId="35" fillId="27" borderId="17" xfId="0" applyFont="1" applyFill="1" applyBorder="1" applyAlignment="1">
      <alignment horizontal="center" vertical="center"/>
    </xf>
    <xf numFmtId="0" fontId="35" fillId="27" borderId="78" xfId="0" applyFont="1" applyFill="1" applyBorder="1" applyAlignment="1">
      <alignment horizontal="center" vertical="center"/>
    </xf>
    <xf numFmtId="0" fontId="36" fillId="24" borderId="10" xfId="0" applyFont="1" applyFill="1" applyBorder="1" applyAlignment="1">
      <alignment horizontal="center" vertical="center" wrapText="1"/>
    </xf>
    <xf numFmtId="0" fontId="39" fillId="24" borderId="0" xfId="0" applyFont="1" applyFill="1" applyAlignment="1">
      <alignment horizontal="right"/>
    </xf>
    <xf numFmtId="0" fontId="36" fillId="0" borderId="10" xfId="0" applyFont="1" applyBorder="1" applyAlignment="1">
      <alignment horizontal="center" vertical="center" textRotation="90" wrapText="1"/>
    </xf>
    <xf numFmtId="0" fontId="36" fillId="0" borderId="23" xfId="0" applyFont="1" applyBorder="1" applyAlignment="1">
      <alignment horizontal="center" vertical="center" wrapText="1"/>
    </xf>
    <xf numFmtId="0" fontId="36" fillId="0" borderId="61" xfId="0" applyFont="1" applyBorder="1" applyAlignment="1">
      <alignment horizontal="center" vertical="center" textRotation="90" wrapText="1"/>
    </xf>
    <xf numFmtId="0" fontId="36" fillId="0" borderId="65" xfId="0" applyFont="1" applyBorder="1" applyAlignment="1">
      <alignment horizontal="center" vertical="center" textRotation="90" wrapText="1"/>
    </xf>
    <xf numFmtId="0" fontId="36" fillId="0" borderId="39" xfId="0" applyFont="1" applyBorder="1" applyAlignment="1">
      <alignment horizontal="center" vertical="center"/>
    </xf>
    <xf numFmtId="0" fontId="36" fillId="0" borderId="17" xfId="0" applyFont="1" applyBorder="1" applyAlignment="1">
      <alignment horizontal="center" vertical="center"/>
    </xf>
    <xf numFmtId="0" fontId="37" fillId="0" borderId="22" xfId="0" applyFont="1" applyBorder="1" applyAlignment="1">
      <alignment horizontal="center" vertical="center"/>
    </xf>
    <xf numFmtId="0" fontId="37" fillId="0" borderId="23" xfId="0" applyFont="1" applyBorder="1" applyAlignment="1">
      <alignment horizontal="center" vertical="center"/>
    </xf>
    <xf numFmtId="0" fontId="36" fillId="0" borderId="103"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34" xfId="0" applyFont="1" applyBorder="1" applyAlignment="1">
      <alignment horizontal="center" vertical="center" wrapText="1"/>
    </xf>
    <xf numFmtId="0" fontId="36" fillId="0" borderId="61" xfId="0" applyFont="1" applyBorder="1" applyAlignment="1">
      <alignment horizontal="center" vertical="center" wrapText="1"/>
    </xf>
    <xf numFmtId="0" fontId="36" fillId="0" borderId="81" xfId="0" applyFont="1" applyBorder="1" applyAlignment="1">
      <alignment horizontal="center" vertical="center" wrapText="1"/>
    </xf>
    <xf numFmtId="0" fontId="36" fillId="0" borderId="65" xfId="0" applyFont="1" applyBorder="1" applyAlignment="1">
      <alignment horizontal="center" vertical="center" wrapText="1"/>
    </xf>
    <xf numFmtId="0" fontId="36" fillId="0" borderId="10" xfId="0" applyFont="1" applyBorder="1" applyAlignment="1">
      <alignment horizontal="center" vertical="center" wrapText="1"/>
    </xf>
    <xf numFmtId="0" fontId="54" fillId="27" borderId="0" xfId="0" applyFont="1" applyFill="1" applyAlignment="1">
      <alignment horizontal="center" vertical="center"/>
    </xf>
    <xf numFmtId="0" fontId="36" fillId="0" borderId="23" xfId="0" applyFont="1" applyBorder="1" applyAlignment="1">
      <alignment horizontal="center" vertical="center" textRotation="90" wrapText="1"/>
    </xf>
    <xf numFmtId="0" fontId="37" fillId="27" borderId="22" xfId="0" applyFont="1" applyFill="1" applyBorder="1" applyAlignment="1">
      <alignment horizontal="center" vertical="center"/>
    </xf>
    <xf numFmtId="0" fontId="37" fillId="27" borderId="23" xfId="0" applyFont="1" applyFill="1" applyBorder="1" applyAlignment="1">
      <alignment horizontal="center" vertical="center"/>
    </xf>
    <xf numFmtId="0" fontId="36" fillId="27" borderId="23" xfId="0" applyFont="1" applyFill="1" applyBorder="1" applyAlignment="1">
      <alignment horizontal="center" vertical="center" wrapText="1"/>
    </xf>
    <xf numFmtId="0" fontId="36" fillId="27" borderId="10" xfId="0" applyFont="1" applyFill="1" applyBorder="1" applyAlignment="1">
      <alignment horizontal="center" vertical="center" wrapText="1"/>
    </xf>
    <xf numFmtId="0" fontId="36" fillId="27" borderId="60" xfId="0" applyFont="1" applyFill="1" applyBorder="1" applyAlignment="1">
      <alignment horizontal="center" vertical="center" textRotation="90" wrapText="1"/>
    </xf>
    <xf numFmtId="0" fontId="36" fillId="27" borderId="62" xfId="0" applyFont="1" applyFill="1" applyBorder="1" applyAlignment="1">
      <alignment horizontal="center" vertical="center" textRotation="90" wrapText="1"/>
    </xf>
    <xf numFmtId="0" fontId="36" fillId="27" borderId="144" xfId="0" applyFont="1" applyFill="1" applyBorder="1" applyAlignment="1">
      <alignment horizontal="center" vertical="center" wrapText="1"/>
    </xf>
    <xf numFmtId="0" fontId="36" fillId="27" borderId="145" xfId="0" applyFont="1" applyFill="1" applyBorder="1" applyAlignment="1">
      <alignment horizontal="center" vertical="center" wrapText="1"/>
    </xf>
    <xf numFmtId="0" fontId="36" fillId="27" borderId="60" xfId="0" applyFont="1" applyFill="1" applyBorder="1" applyAlignment="1">
      <alignment horizontal="center" vertical="center" wrapText="1"/>
    </xf>
    <xf numFmtId="0" fontId="36" fillId="27" borderId="62" xfId="0" applyFont="1" applyFill="1" applyBorder="1" applyAlignment="1">
      <alignment horizontal="center" vertical="center" wrapText="1"/>
    </xf>
    <xf numFmtId="0" fontId="37" fillId="0" borderId="39" xfId="0" applyFont="1" applyBorder="1" applyAlignment="1">
      <alignment horizontal="left" vertical="center"/>
    </xf>
    <xf numFmtId="0" fontId="37" fillId="0" borderId="17" xfId="0" applyFont="1" applyBorder="1" applyAlignment="1">
      <alignment horizontal="left" vertical="center"/>
    </xf>
    <xf numFmtId="0" fontId="37" fillId="0" borderId="28" xfId="0" applyFont="1" applyBorder="1" applyAlignment="1">
      <alignment horizontal="left" vertical="center"/>
    </xf>
    <xf numFmtId="0" fontId="37" fillId="0" borderId="22" xfId="0" applyFont="1" applyBorder="1" applyAlignment="1">
      <alignment horizontal="left" vertical="center"/>
    </xf>
    <xf numFmtId="0" fontId="37" fillId="0" borderId="53" xfId="0" applyFont="1" applyBorder="1" applyAlignment="1">
      <alignment horizontal="left" vertical="center"/>
    </xf>
    <xf numFmtId="0" fontId="37" fillId="24" borderId="102" xfId="0" applyFont="1" applyFill="1" applyBorder="1" applyAlignment="1">
      <alignment horizontal="center" vertical="center"/>
    </xf>
    <xf numFmtId="0" fontId="37" fillId="24" borderId="27" xfId="0" applyFont="1" applyFill="1" applyBorder="1" applyAlignment="1">
      <alignment horizontal="center" vertical="center"/>
    </xf>
    <xf numFmtId="0" fontId="37" fillId="24" borderId="28" xfId="0" applyFont="1" applyFill="1" applyBorder="1" applyAlignment="1">
      <alignment horizontal="center" vertical="center"/>
    </xf>
    <xf numFmtId="0" fontId="37" fillId="24" borderId="22" xfId="0" applyFont="1" applyFill="1" applyBorder="1" applyAlignment="1">
      <alignment horizontal="center" vertical="center"/>
    </xf>
    <xf numFmtId="0" fontId="37" fillId="24" borderId="28" xfId="0" applyFont="1" applyFill="1" applyBorder="1" applyAlignment="1">
      <alignment horizontal="center" wrapText="1"/>
    </xf>
    <xf numFmtId="0" fontId="37" fillId="24" borderId="22" xfId="0" applyFont="1" applyFill="1" applyBorder="1" applyAlignment="1">
      <alignment horizontal="center" wrapText="1"/>
    </xf>
    <xf numFmtId="0" fontId="37" fillId="24" borderId="23" xfId="0" applyFont="1" applyFill="1" applyBorder="1" applyAlignment="1">
      <alignment horizontal="center" wrapText="1"/>
    </xf>
    <xf numFmtId="0" fontId="36" fillId="24" borderId="22" xfId="0" applyFont="1" applyFill="1" applyBorder="1" applyAlignment="1">
      <alignment horizontal="center" vertical="center"/>
    </xf>
    <xf numFmtId="0" fontId="36" fillId="24" borderId="23" xfId="0" applyFont="1" applyFill="1" applyBorder="1" applyAlignment="1">
      <alignment horizontal="center" vertical="center"/>
    </xf>
    <xf numFmtId="0" fontId="35" fillId="24" borderId="17" xfId="0" applyFont="1" applyFill="1" applyBorder="1" applyAlignment="1">
      <alignment horizontal="center" vertical="center"/>
    </xf>
    <xf numFmtId="0" fontId="37" fillId="0" borderId="10" xfId="0" applyFont="1" applyBorder="1" applyAlignment="1">
      <alignment horizontal="center" vertical="center" wrapText="1"/>
    </xf>
    <xf numFmtId="0" fontId="37" fillId="0" borderId="10" xfId="0" applyFont="1" applyBorder="1" applyAlignment="1">
      <alignment horizontal="center" vertical="center"/>
    </xf>
    <xf numFmtId="0" fontId="36" fillId="27" borderId="0" xfId="0" applyFont="1" applyFill="1" applyAlignment="1">
      <alignment horizontal="center"/>
    </xf>
    <xf numFmtId="0" fontId="36" fillId="0" borderId="39" xfId="0" applyFont="1" applyBorder="1" applyAlignment="1">
      <alignment horizontal="center"/>
    </xf>
    <xf numFmtId="0" fontId="36" fillId="0" borderId="17" xfId="0" applyFont="1" applyBorder="1" applyAlignment="1">
      <alignment horizontal="center"/>
    </xf>
    <xf numFmtId="0" fontId="35" fillId="0" borderId="28" xfId="0" applyFont="1" applyBorder="1" applyAlignment="1">
      <alignment horizontal="center" vertical="center"/>
    </xf>
    <xf numFmtId="0" fontId="35" fillId="0" borderId="22" xfId="0" applyFont="1" applyBorder="1" applyAlignment="1">
      <alignment horizontal="center" vertical="center"/>
    </xf>
    <xf numFmtId="0" fontId="35" fillId="0" borderId="23" xfId="0" applyFont="1" applyBorder="1" applyAlignment="1">
      <alignment horizontal="center" vertical="center"/>
    </xf>
    <xf numFmtId="0" fontId="35" fillId="27" borderId="0" xfId="0" applyFont="1" applyFill="1" applyAlignment="1">
      <alignment horizontal="center" vertical="center"/>
    </xf>
    <xf numFmtId="0" fontId="36" fillId="27" borderId="0" xfId="0" applyFont="1" applyFill="1" applyAlignment="1">
      <alignment horizontal="center" vertical="center"/>
    </xf>
    <xf numFmtId="0" fontId="36" fillId="0" borderId="81" xfId="0" applyFont="1" applyBorder="1" applyAlignment="1">
      <alignment horizontal="center" vertical="center" textRotation="90" wrapText="1"/>
    </xf>
    <xf numFmtId="0" fontId="35" fillId="27" borderId="0" xfId="92" applyFont="1" applyFill="1" applyAlignment="1">
      <alignment horizontal="center" vertical="center"/>
    </xf>
    <xf numFmtId="0" fontId="36" fillId="27" borderId="0" xfId="92" applyFont="1" applyFill="1" applyAlignment="1">
      <alignment horizontal="center" vertical="center"/>
    </xf>
    <xf numFmtId="0" fontId="36" fillId="24" borderId="10" xfId="92" applyFont="1" applyFill="1" applyBorder="1" applyAlignment="1">
      <alignment horizontal="center" vertical="center"/>
    </xf>
    <xf numFmtId="0" fontId="37" fillId="24" borderId="39" xfId="92" applyFont="1" applyFill="1" applyBorder="1" applyAlignment="1">
      <alignment horizontal="center" wrapText="1"/>
    </xf>
    <xf numFmtId="0" fontId="37" fillId="24" borderId="17" xfId="92" applyFont="1" applyFill="1" applyBorder="1" applyAlignment="1">
      <alignment horizontal="center" wrapText="1"/>
    </xf>
    <xf numFmtId="0" fontId="36" fillId="24" borderId="48" xfId="92" applyFont="1" applyFill="1" applyBorder="1" applyAlignment="1">
      <alignment horizontal="center" vertical="center"/>
    </xf>
    <xf numFmtId="0" fontId="36" fillId="24" borderId="29" xfId="92" applyFont="1" applyFill="1" applyBorder="1" applyAlignment="1">
      <alignment horizontal="center" vertical="center"/>
    </xf>
    <xf numFmtId="0" fontId="38" fillId="24" borderId="28" xfId="92" applyFont="1" applyFill="1" applyBorder="1" applyAlignment="1">
      <alignment horizontal="center" vertical="center"/>
    </xf>
    <xf numFmtId="0" fontId="38" fillId="24" borderId="22" xfId="92" applyFont="1" applyFill="1" applyBorder="1" applyAlignment="1">
      <alignment horizontal="center" vertical="center"/>
    </xf>
    <xf numFmtId="0" fontId="39" fillId="24" borderId="39" xfId="92" applyFont="1" applyFill="1" applyBorder="1" applyAlignment="1">
      <alignment horizontal="center" vertical="center"/>
    </xf>
    <xf numFmtId="0" fontId="39" fillId="24" borderId="17" xfId="92" applyFont="1" applyFill="1" applyBorder="1" applyAlignment="1">
      <alignment horizontal="center" vertical="center"/>
    </xf>
    <xf numFmtId="0" fontId="36" fillId="24" borderId="28" xfId="92" applyFont="1" applyFill="1" applyBorder="1" applyAlignment="1">
      <alignment horizontal="center" vertical="center"/>
    </xf>
    <xf numFmtId="0" fontId="36" fillId="24" borderId="22" xfId="92" applyFont="1" applyFill="1" applyBorder="1" applyAlignment="1">
      <alignment horizontal="center" vertical="center"/>
    </xf>
    <xf numFmtId="0" fontId="36" fillId="24" borderId="53" xfId="92" applyFont="1" applyFill="1" applyBorder="1" applyAlignment="1">
      <alignment horizontal="center" vertical="center"/>
    </xf>
    <xf numFmtId="0" fontId="98" fillId="27" borderId="39" xfId="0" applyFont="1" applyFill="1" applyBorder="1" applyAlignment="1">
      <alignment horizontal="center" vertical="center"/>
    </xf>
    <xf numFmtId="0" fontId="98" fillId="27" borderId="17" xfId="0" applyFont="1" applyFill="1" applyBorder="1" applyAlignment="1">
      <alignment horizontal="center" vertical="center"/>
    </xf>
    <xf numFmtId="0" fontId="99" fillId="27" borderId="39" xfId="98" applyFont="1" applyFill="1" applyBorder="1" applyAlignment="1">
      <alignment horizontal="center" vertical="center"/>
    </xf>
    <xf numFmtId="0" fontId="99" fillId="27" borderId="17" xfId="98" applyFont="1" applyFill="1" applyBorder="1" applyAlignment="1">
      <alignment horizontal="center" vertical="center"/>
    </xf>
    <xf numFmtId="0" fontId="40" fillId="33" borderId="28" xfId="0" applyFont="1" applyFill="1" applyBorder="1" applyAlignment="1">
      <alignment horizontal="center"/>
    </xf>
    <xf numFmtId="0" fontId="40" fillId="33" borderId="22" xfId="0" applyFont="1" applyFill="1" applyBorder="1" applyAlignment="1">
      <alignment horizontal="center"/>
    </xf>
    <xf numFmtId="170" fontId="32" fillId="27" borderId="19" xfId="81" applyNumberFormat="1" applyFont="1" applyFill="1" applyBorder="1" applyAlignment="1">
      <alignment horizontal="left"/>
    </xf>
    <xf numFmtId="170" fontId="63" fillId="27" borderId="17" xfId="98" applyNumberFormat="1" applyFont="1" applyFill="1" applyBorder="1" applyAlignment="1">
      <alignment horizontal="left" wrapText="1"/>
    </xf>
    <xf numFmtId="0" fontId="63" fillId="27" borderId="78" xfId="98" applyFont="1" applyFill="1" applyBorder="1" applyAlignment="1">
      <alignment horizontal="left" vertical="center" wrapText="1"/>
    </xf>
    <xf numFmtId="0" fontId="63" fillId="27" borderId="53" xfId="98" applyFont="1" applyFill="1" applyBorder="1" applyAlignment="1">
      <alignment horizontal="left" vertical="center" wrapText="1"/>
    </xf>
    <xf numFmtId="0" fontId="33" fillId="27" borderId="20" xfId="98" applyFont="1" applyFill="1" applyBorder="1" applyAlignment="1">
      <alignment horizontal="center"/>
    </xf>
    <xf numFmtId="0" fontId="33" fillId="27" borderId="19" xfId="98" applyFont="1" applyFill="1" applyBorder="1" applyAlignment="1">
      <alignment horizontal="center"/>
    </xf>
    <xf numFmtId="5" fontId="33" fillId="27" borderId="28" xfId="98" applyNumberFormat="1" applyFont="1" applyFill="1" applyBorder="1" applyAlignment="1">
      <alignment horizontal="center" vertical="center" wrapText="1"/>
    </xf>
    <xf numFmtId="5" fontId="33" fillId="27" borderId="22" xfId="98" applyNumberFormat="1" applyFont="1" applyFill="1" applyBorder="1" applyAlignment="1">
      <alignment horizontal="center" vertical="center" wrapText="1"/>
    </xf>
    <xf numFmtId="5" fontId="33" fillId="27" borderId="23" xfId="98" applyNumberFormat="1" applyFont="1" applyFill="1" applyBorder="1" applyAlignment="1">
      <alignment horizontal="center" vertical="center" wrapText="1"/>
    </xf>
    <xf numFmtId="0" fontId="33" fillId="0" borderId="39" xfId="63" applyFont="1" applyBorder="1" applyAlignment="1">
      <alignment horizontal="center"/>
    </xf>
    <xf numFmtId="0" fontId="33" fillId="0" borderId="78" xfId="63" applyFont="1" applyBorder="1" applyAlignment="1">
      <alignment horizontal="center"/>
    </xf>
    <xf numFmtId="170" fontId="33" fillId="27" borderId="22" xfId="81" applyNumberFormat="1" applyFont="1" applyFill="1" applyBorder="1" applyAlignment="1"/>
    <xf numFmtId="0" fontId="54" fillId="27" borderId="11" xfId="0" applyFont="1" applyFill="1" applyBorder="1" applyAlignment="1">
      <alignment horizontal="center" vertical="center"/>
    </xf>
    <xf numFmtId="5" fontId="63" fillId="27" borderId="17" xfId="98" applyNumberFormat="1" applyFont="1" applyFill="1" applyBorder="1" applyAlignment="1">
      <alignment horizontal="left" vertical="center" wrapText="1"/>
    </xf>
    <xf numFmtId="0" fontId="63" fillId="27" borderId="17" xfId="98" applyFont="1" applyFill="1" applyBorder="1" applyAlignment="1">
      <alignment horizontal="left" vertical="center" wrapText="1"/>
    </xf>
    <xf numFmtId="5" fontId="48" fillId="27" borderId="19" xfId="81" applyNumberFormat="1" applyFont="1" applyFill="1" applyBorder="1" applyAlignment="1">
      <alignment horizontal="left"/>
    </xf>
    <xf numFmtId="5" fontId="48" fillId="27" borderId="19" xfId="98" applyNumberFormat="1" applyFont="1" applyFill="1" applyBorder="1" applyAlignment="1">
      <alignment horizontal="left"/>
    </xf>
    <xf numFmtId="170" fontId="63" fillId="27" borderId="53" xfId="98" applyNumberFormat="1" applyFont="1" applyFill="1" applyBorder="1" applyAlignment="1">
      <alignment horizontal="left" vertical="center" wrapText="1"/>
    </xf>
    <xf numFmtId="170" fontId="63" fillId="27" borderId="17" xfId="98" applyNumberFormat="1" applyFont="1" applyFill="1" applyBorder="1" applyAlignment="1">
      <alignment horizontal="left" vertical="center" wrapText="1"/>
    </xf>
    <xf numFmtId="0" fontId="39" fillId="27" borderId="0" xfId="92" applyFont="1" applyFill="1" applyAlignment="1">
      <alignment horizontal="center" vertical="center"/>
    </xf>
    <xf numFmtId="0" fontId="37" fillId="24" borderId="28" xfId="92" applyFont="1" applyFill="1" applyBorder="1" applyAlignment="1">
      <alignment horizontal="center" vertical="center"/>
    </xf>
    <xf numFmtId="0" fontId="37" fillId="24" borderId="22" xfId="92" applyFont="1" applyFill="1" applyBorder="1" applyAlignment="1">
      <alignment horizontal="center" vertical="center"/>
    </xf>
    <xf numFmtId="0" fontId="36" fillId="24" borderId="39" xfId="92" applyFont="1" applyFill="1" applyBorder="1" applyAlignment="1">
      <alignment horizontal="center" vertical="center"/>
    </xf>
    <xf numFmtId="0" fontId="36" fillId="24" borderId="17" xfId="92" applyFont="1" applyFill="1" applyBorder="1" applyAlignment="1">
      <alignment horizontal="center" vertical="center"/>
    </xf>
    <xf numFmtId="0" fontId="37" fillId="27" borderId="0" xfId="92" applyFont="1" applyFill="1" applyAlignment="1">
      <alignment horizontal="center" vertical="center"/>
    </xf>
    <xf numFmtId="0" fontId="37" fillId="24" borderId="39" xfId="92" applyFont="1" applyFill="1" applyBorder="1" applyAlignment="1">
      <alignment horizontal="center" vertical="center"/>
    </xf>
    <xf numFmtId="0" fontId="37" fillId="24" borderId="17" xfId="92" applyFont="1" applyFill="1" applyBorder="1" applyAlignment="1">
      <alignment horizontal="center" vertical="center"/>
    </xf>
    <xf numFmtId="0" fontId="40" fillId="0" borderId="11" xfId="0" applyFont="1" applyBorder="1" applyAlignment="1">
      <alignment horizontal="center" vertical="center"/>
    </xf>
    <xf numFmtId="0" fontId="49" fillId="0" borderId="10" xfId="0" applyFont="1" applyBorder="1" applyAlignment="1">
      <alignment horizontal="center" wrapText="1"/>
    </xf>
    <xf numFmtId="0" fontId="60" fillId="24" borderId="55" xfId="67" applyFont="1" applyFill="1" applyBorder="1" applyAlignment="1">
      <alignment horizontal="center" vertical="center"/>
    </xf>
    <xf numFmtId="0" fontId="60" fillId="24" borderId="119" xfId="67" applyFont="1" applyFill="1" applyBorder="1" applyAlignment="1">
      <alignment horizontal="center" vertical="center"/>
    </xf>
    <xf numFmtId="0" fontId="60" fillId="24" borderId="100" xfId="67" applyFont="1" applyFill="1" applyBorder="1" applyAlignment="1">
      <alignment horizontal="center" vertical="center"/>
    </xf>
    <xf numFmtId="0" fontId="37" fillId="24" borderId="0" xfId="0" applyFont="1" applyFill="1" applyAlignment="1">
      <alignment horizontal="center" wrapText="1"/>
    </xf>
    <xf numFmtId="0" fontId="59" fillId="24" borderId="119" xfId="67" applyFont="1" applyFill="1" applyBorder="1" applyAlignment="1">
      <alignment horizontal="center" vertical="center"/>
    </xf>
    <xf numFmtId="0" fontId="59" fillId="24" borderId="100" xfId="67" applyFont="1" applyFill="1" applyBorder="1" applyAlignment="1">
      <alignment horizontal="center" vertical="center"/>
    </xf>
    <xf numFmtId="0" fontId="59" fillId="24" borderId="120" xfId="67" applyFont="1" applyFill="1" applyBorder="1" applyAlignment="1">
      <alignment horizontal="left" vertical="center"/>
    </xf>
    <xf numFmtId="0" fontId="59" fillId="24" borderId="121" xfId="67" applyFont="1" applyFill="1" applyBorder="1" applyAlignment="1">
      <alignment horizontal="left" vertical="center"/>
    </xf>
    <xf numFmtId="0" fontId="59" fillId="24" borderId="122" xfId="67" applyFont="1" applyFill="1" applyBorder="1" applyAlignment="1">
      <alignment horizontal="left" vertical="center"/>
    </xf>
    <xf numFmtId="0" fontId="59" fillId="24" borderId="92" xfId="67" applyFont="1" applyFill="1" applyBorder="1" applyAlignment="1">
      <alignment horizontal="left" vertical="center"/>
    </xf>
    <xf numFmtId="0" fontId="59" fillId="24" borderId="93" xfId="67" applyFont="1" applyFill="1" applyBorder="1" applyAlignment="1">
      <alignment horizontal="left" vertical="center"/>
    </xf>
    <xf numFmtId="0" fontId="59" fillId="24" borderId="95" xfId="67" applyFont="1" applyFill="1" applyBorder="1" applyAlignment="1">
      <alignment horizontal="left" vertical="center"/>
    </xf>
    <xf numFmtId="0" fontId="59" fillId="24" borderId="123" xfId="67" applyFont="1" applyFill="1" applyBorder="1" applyAlignment="1">
      <alignment horizontal="left" vertical="center"/>
    </xf>
    <xf numFmtId="0" fontId="59" fillId="24" borderId="124" xfId="67" applyFont="1" applyFill="1" applyBorder="1" applyAlignment="1">
      <alignment horizontal="left" vertical="center"/>
    </xf>
    <xf numFmtId="0" fontId="59" fillId="24" borderId="125" xfId="67" applyFont="1" applyFill="1" applyBorder="1" applyAlignment="1">
      <alignment horizontal="left" vertical="center"/>
    </xf>
    <xf numFmtId="0" fontId="59" fillId="24" borderId="10" xfId="67" applyFont="1" applyFill="1" applyBorder="1" applyAlignment="1">
      <alignment horizontal="center" vertical="center"/>
    </xf>
    <xf numFmtId="0" fontId="59" fillId="24" borderId="79" xfId="67" applyFont="1" applyFill="1" applyBorder="1" applyAlignment="1">
      <alignment horizontal="left" vertical="center"/>
    </xf>
    <xf numFmtId="0" fontId="59" fillId="24" borderId="14" xfId="67" applyFont="1" applyFill="1" applyBorder="1" applyAlignment="1">
      <alignment horizontal="left" vertical="center"/>
    </xf>
    <xf numFmtId="0" fontId="59" fillId="24" borderId="35" xfId="67" applyFont="1" applyFill="1" applyBorder="1" applyAlignment="1">
      <alignment horizontal="left" vertical="center"/>
    </xf>
    <xf numFmtId="0" fontId="59" fillId="24" borderId="64" xfId="67" applyFont="1" applyFill="1" applyBorder="1" applyAlignment="1">
      <alignment horizontal="left" vertical="center"/>
    </xf>
    <xf numFmtId="0" fontId="59" fillId="24" borderId="19" xfId="67" applyFont="1" applyFill="1" applyBorder="1" applyAlignment="1">
      <alignment horizontal="left" vertical="center"/>
    </xf>
    <xf numFmtId="0" fontId="59" fillId="24" borderId="32" xfId="67" applyFont="1" applyFill="1" applyBorder="1" applyAlignment="1">
      <alignment horizontal="left" vertical="center"/>
    </xf>
    <xf numFmtId="0" fontId="59" fillId="24" borderId="62" xfId="67" applyFont="1" applyFill="1" applyBorder="1" applyAlignment="1">
      <alignment horizontal="left" vertical="center" wrapText="1"/>
    </xf>
    <xf numFmtId="0" fontId="37" fillId="24" borderId="10" xfId="75" applyFont="1" applyFill="1" applyBorder="1" applyAlignment="1">
      <alignment horizontal="center" vertical="center"/>
    </xf>
    <xf numFmtId="0" fontId="59" fillId="24" borderId="118" xfId="67" applyFont="1" applyFill="1" applyBorder="1" applyAlignment="1">
      <alignment horizontal="left" vertical="center"/>
    </xf>
    <xf numFmtId="0" fontId="59" fillId="24" borderId="16" xfId="67" applyFont="1" applyFill="1" applyBorder="1" applyAlignment="1">
      <alignment horizontal="left" vertical="center"/>
    </xf>
    <xf numFmtId="0" fontId="59" fillId="24" borderId="12" xfId="67" applyFont="1" applyFill="1" applyBorder="1" applyAlignment="1">
      <alignment horizontal="left" vertical="center"/>
    </xf>
    <xf numFmtId="0" fontId="60" fillId="24" borderId="28" xfId="67" applyFont="1" applyFill="1" applyBorder="1" applyAlignment="1">
      <alignment horizontal="center" vertical="center"/>
    </xf>
    <xf numFmtId="0" fontId="60" fillId="24" borderId="22" xfId="67" applyFont="1" applyFill="1" applyBorder="1" applyAlignment="1">
      <alignment horizontal="center" vertical="center"/>
    </xf>
    <xf numFmtId="0" fontId="60" fillId="24" borderId="23" xfId="67" applyFont="1" applyFill="1" applyBorder="1" applyAlignment="1">
      <alignment horizontal="center" vertical="center"/>
    </xf>
    <xf numFmtId="0" fontId="60" fillId="24" borderId="0" xfId="67" applyFont="1" applyFill="1" applyAlignment="1">
      <alignment horizontal="left"/>
    </xf>
    <xf numFmtId="0" fontId="59" fillId="24" borderId="136" xfId="67" applyFont="1" applyFill="1" applyBorder="1" applyAlignment="1">
      <alignment horizontal="center" vertical="center"/>
    </xf>
    <xf numFmtId="0" fontId="59" fillId="24" borderId="137" xfId="67" applyFont="1" applyFill="1" applyBorder="1" applyAlignment="1">
      <alignment horizontal="center" vertical="center"/>
    </xf>
    <xf numFmtId="0" fontId="59" fillId="24" borderId="59" xfId="67" applyFont="1" applyFill="1" applyBorder="1" applyAlignment="1">
      <alignment horizontal="left" vertical="center"/>
    </xf>
    <xf numFmtId="0" fontId="40" fillId="0" borderId="28" xfId="0" applyFont="1" applyBorder="1" applyAlignment="1">
      <alignment horizontal="center" vertical="center" wrapText="1"/>
    </xf>
    <xf numFmtId="0" fontId="40" fillId="0" borderId="22" xfId="0" applyFont="1" applyBorder="1" applyAlignment="1">
      <alignment horizontal="center" vertical="center" wrapText="1"/>
    </xf>
    <xf numFmtId="0" fontId="40" fillId="0" borderId="23" xfId="0" applyFont="1" applyBorder="1" applyAlignment="1">
      <alignment horizontal="center" vertical="center" wrapText="1"/>
    </xf>
    <xf numFmtId="0" fontId="94" fillId="27" borderId="0" xfId="0" applyFont="1" applyFill="1" applyAlignment="1">
      <alignment horizontal="center" vertical="center" wrapText="1"/>
    </xf>
    <xf numFmtId="0" fontId="69" fillId="0" borderId="10" xfId="0" applyFont="1" applyBorder="1" applyAlignment="1">
      <alignment horizontal="center" vertical="center" wrapText="1"/>
    </xf>
    <xf numFmtId="0" fontId="33" fillId="0" borderId="0" xfId="0" applyFont="1" applyAlignment="1">
      <alignment horizontal="right" vertical="center"/>
    </xf>
    <xf numFmtId="0" fontId="33" fillId="0" borderId="0" xfId="0" applyFont="1" applyAlignment="1">
      <alignment horizontal="right" vertical="center" wrapText="1"/>
    </xf>
    <xf numFmtId="0" fontId="94" fillId="24" borderId="0" xfId="0" applyFont="1" applyFill="1" applyAlignment="1">
      <alignment horizontal="center" vertical="center" wrapText="1"/>
    </xf>
    <xf numFmtId="0" fontId="94" fillId="24" borderId="11" xfId="0" applyFont="1" applyFill="1" applyBorder="1" applyAlignment="1">
      <alignment horizontal="center" vertical="center" wrapText="1"/>
    </xf>
    <xf numFmtId="165" fontId="32" fillId="24" borderId="0" xfId="70" applyNumberFormat="1" applyFont="1" applyFill="1" applyAlignment="1">
      <alignment horizontal="center" vertical="center" wrapText="1"/>
    </xf>
    <xf numFmtId="0" fontId="59" fillId="24" borderId="11" xfId="70" applyFont="1" applyFill="1" applyBorder="1" applyAlignment="1">
      <alignment horizontal="left" wrapText="1"/>
    </xf>
    <xf numFmtId="0" fontId="34" fillId="0" borderId="0" xfId="0" applyFont="1" applyAlignment="1">
      <alignment horizontal="left" wrapText="1"/>
    </xf>
    <xf numFmtId="0" fontId="35" fillId="0" borderId="0" xfId="0" applyFont="1" applyAlignment="1">
      <alignment horizontal="left" wrapText="1"/>
    </xf>
    <xf numFmtId="0" fontId="0" fillId="27" borderId="0" xfId="0" applyFill="1" applyAlignment="1">
      <alignment wrapText="1"/>
    </xf>
    <xf numFmtId="174" fontId="37" fillId="27" borderId="127" xfId="0" applyNumberFormat="1" applyFont="1" applyFill="1" applyBorder="1" applyAlignment="1">
      <alignment horizontal="left" vertical="center" wrapText="1" indent="2"/>
    </xf>
    <xf numFmtId="174" fontId="37" fillId="27" borderId="84" xfId="0" applyNumberFormat="1" applyFont="1" applyFill="1" applyBorder="1" applyAlignment="1">
      <alignment horizontal="left" vertical="center" wrapText="1" indent="2"/>
    </xf>
    <xf numFmtId="174" fontId="35" fillId="27" borderId="0" xfId="0" applyNumberFormat="1" applyFont="1" applyFill="1" applyAlignment="1">
      <alignment horizontal="center" vertical="center" wrapText="1"/>
    </xf>
    <xf numFmtId="174" fontId="37" fillId="27" borderId="108" xfId="0" applyNumberFormat="1" applyFont="1" applyFill="1" applyBorder="1" applyAlignment="1">
      <alignment horizontal="center" vertical="center" wrapText="1"/>
    </xf>
    <xf numFmtId="174" fontId="37" fillId="27" borderId="82" xfId="0" applyNumberFormat="1" applyFont="1" applyFill="1" applyBorder="1" applyAlignment="1">
      <alignment horizontal="center" vertical="center" wrapText="1"/>
    </xf>
    <xf numFmtId="174" fontId="37" fillId="27" borderId="109" xfId="0" applyNumberFormat="1" applyFont="1" applyFill="1" applyBorder="1" applyAlignment="1">
      <alignment horizontal="center" vertical="center"/>
    </xf>
    <xf numFmtId="174" fontId="37" fillId="27" borderId="10" xfId="0" applyNumberFormat="1" applyFont="1" applyFill="1" applyBorder="1" applyAlignment="1">
      <alignment horizontal="center" vertical="center"/>
    </xf>
    <xf numFmtId="174" fontId="37" fillId="27" borderId="109" xfId="0" applyNumberFormat="1" applyFont="1" applyFill="1" applyBorder="1" applyAlignment="1">
      <alignment horizontal="center" vertical="center" wrapText="1"/>
    </xf>
    <xf numFmtId="174" fontId="37" fillId="27" borderId="10" xfId="0" applyNumberFormat="1" applyFont="1" applyFill="1" applyBorder="1" applyAlignment="1">
      <alignment horizontal="center" vertical="center" wrapText="1"/>
    </xf>
    <xf numFmtId="174" fontId="37" fillId="27" borderId="111" xfId="0" applyNumberFormat="1" applyFont="1" applyFill="1" applyBorder="1" applyAlignment="1">
      <alignment horizontal="center" vertical="center"/>
    </xf>
    <xf numFmtId="174" fontId="37" fillId="27" borderId="83" xfId="0" applyNumberFormat="1" applyFont="1" applyFill="1" applyBorder="1" applyAlignment="1">
      <alignment horizontal="center" vertical="center"/>
    </xf>
    <xf numFmtId="0" fontId="82" fillId="0" borderId="0" xfId="64" applyFont="1" applyAlignment="1">
      <alignment horizontal="left" wrapText="1"/>
    </xf>
    <xf numFmtId="0" fontId="73" fillId="0" borderId="0" xfId="64" applyFont="1" applyAlignment="1">
      <alignment horizontal="center" wrapText="1"/>
    </xf>
    <xf numFmtId="3" fontId="75" fillId="0" borderId="10" xfId="64" applyNumberFormat="1" applyFont="1" applyBorder="1" applyAlignment="1">
      <alignment horizontal="center" vertical="center"/>
    </xf>
    <xf numFmtId="3" fontId="74" fillId="0" borderId="10" xfId="64" applyNumberFormat="1" applyFont="1" applyBorder="1" applyAlignment="1">
      <alignment horizontal="center" vertical="center"/>
    </xf>
    <xf numFmtId="3" fontId="76" fillId="0" borderId="10" xfId="64" applyNumberFormat="1" applyFont="1" applyBorder="1" applyAlignment="1">
      <alignment horizontal="center" vertical="center" wrapText="1"/>
    </xf>
    <xf numFmtId="3" fontId="76" fillId="0" borderId="61" xfId="64" applyNumberFormat="1" applyFont="1" applyBorder="1" applyAlignment="1">
      <alignment horizontal="center" vertical="center"/>
    </xf>
    <xf numFmtId="3" fontId="76" fillId="0" borderId="81" xfId="64" applyNumberFormat="1" applyFont="1" applyBorder="1" applyAlignment="1">
      <alignment horizontal="center" vertical="center"/>
    </xf>
    <xf numFmtId="3" fontId="76" fillId="0" borderId="65" xfId="64" applyNumberFormat="1" applyFont="1" applyBorder="1" applyAlignment="1">
      <alignment horizontal="center" vertical="center"/>
    </xf>
    <xf numFmtId="0" fontId="49" fillId="0" borderId="11" xfId="110" applyFont="1" applyBorder="1" applyAlignment="1">
      <alignment horizontal="center" vertical="center" wrapText="1"/>
    </xf>
    <xf numFmtId="0" fontId="48" fillId="0" borderId="102" xfId="68" applyFont="1" applyBorder="1" applyAlignment="1">
      <alignment horizontal="center" vertical="center" wrapText="1"/>
    </xf>
    <xf numFmtId="0" fontId="48" fillId="0" borderId="26" xfId="68" applyFont="1" applyBorder="1" applyAlignment="1">
      <alignment horizontal="center" vertical="center" wrapText="1"/>
    </xf>
    <xf numFmtId="0" fontId="48" fillId="0" borderId="61" xfId="68" applyFont="1" applyBorder="1" applyAlignment="1">
      <alignment horizontal="center" vertical="center" wrapText="1"/>
    </xf>
    <xf numFmtId="0" fontId="48" fillId="0" borderId="81" xfId="68" applyFont="1" applyBorder="1" applyAlignment="1">
      <alignment horizontal="center" vertical="center" wrapText="1"/>
    </xf>
    <xf numFmtId="0" fontId="48" fillId="0" borderId="65" xfId="68" applyFont="1" applyBorder="1" applyAlignment="1">
      <alignment horizontal="center" vertical="center" wrapText="1"/>
    </xf>
    <xf numFmtId="168" fontId="48" fillId="0" borderId="61" xfId="41" applyNumberFormat="1" applyFont="1" applyBorder="1" applyAlignment="1">
      <alignment horizontal="center" vertical="center" wrapText="1"/>
    </xf>
    <xf numFmtId="168" fontId="48" fillId="0" borderId="81" xfId="41" applyNumberFormat="1" applyFont="1" applyBorder="1" applyAlignment="1">
      <alignment horizontal="center" vertical="center" wrapText="1"/>
    </xf>
    <xf numFmtId="168" fontId="48" fillId="0" borderId="65" xfId="41" applyNumberFormat="1" applyFont="1" applyBorder="1" applyAlignment="1">
      <alignment horizontal="center" vertical="center" wrapText="1"/>
    </xf>
    <xf numFmtId="165" fontId="33" fillId="24" borderId="0" xfId="70" applyNumberFormat="1" applyFont="1" applyFill="1" applyAlignment="1">
      <alignment horizontal="center" vertical="center" wrapText="1"/>
    </xf>
    <xf numFmtId="0" fontId="49" fillId="0" borderId="10" xfId="110" applyFont="1" applyBorder="1" applyAlignment="1">
      <alignment horizontal="center" vertical="center" wrapText="1"/>
    </xf>
    <xf numFmtId="165" fontId="60" fillId="24" borderId="128" xfId="70" applyNumberFormat="1" applyFont="1" applyFill="1" applyBorder="1" applyAlignment="1">
      <alignment vertical="center" wrapText="1"/>
    </xf>
    <xf numFmtId="0" fontId="49" fillId="0" borderId="129" xfId="110" applyFont="1" applyBorder="1" applyAlignment="1">
      <alignment vertical="center" wrapText="1"/>
    </xf>
    <xf numFmtId="0" fontId="49" fillId="0" borderId="130" xfId="110" applyFont="1" applyBorder="1" applyAlignment="1">
      <alignment vertical="center" wrapText="1"/>
    </xf>
    <xf numFmtId="0" fontId="49" fillId="0" borderId="131" xfId="110" applyFont="1" applyBorder="1" applyAlignment="1">
      <alignment vertical="center" wrapText="1"/>
    </xf>
    <xf numFmtId="0" fontId="49" fillId="0" borderId="132" xfId="110" applyFont="1" applyBorder="1" applyAlignment="1">
      <alignment vertical="center" wrapText="1"/>
    </xf>
    <xf numFmtId="0" fontId="49" fillId="0" borderId="133" xfId="110" applyFont="1" applyBorder="1" applyAlignment="1">
      <alignment vertical="center" wrapText="1"/>
    </xf>
    <xf numFmtId="0" fontId="84" fillId="24" borderId="102" xfId="70" applyFont="1" applyFill="1" applyBorder="1" applyAlignment="1">
      <alignment horizontal="center" vertical="center" wrapText="1"/>
    </xf>
    <xf numFmtId="0" fontId="84" fillId="24" borderId="26" xfId="70" applyFont="1" applyFill="1" applyBorder="1" applyAlignment="1">
      <alignment horizontal="center" vertical="center" wrapText="1"/>
    </xf>
    <xf numFmtId="0" fontId="84" fillId="24" borderId="33" xfId="70" applyFont="1" applyFill="1" applyBorder="1" applyAlignment="1">
      <alignment horizontal="center" vertical="center" wrapText="1"/>
    </xf>
    <xf numFmtId="0" fontId="37" fillId="0" borderId="10" xfId="70" applyFont="1" applyBorder="1" applyAlignment="1">
      <alignment horizontal="center" vertical="center" wrapText="1"/>
    </xf>
    <xf numFmtId="0" fontId="55" fillId="0" borderId="0" xfId="0" applyFont="1" applyAlignment="1">
      <alignment horizontal="center"/>
    </xf>
    <xf numFmtId="0" fontId="35" fillId="27" borderId="0" xfId="74" applyFont="1" applyFill="1" applyAlignment="1" applyProtection="1">
      <alignment horizontal="center" wrapText="1"/>
      <protection locked="0"/>
    </xf>
    <xf numFmtId="0" fontId="35" fillId="0" borderId="0" xfId="0" applyFont="1" applyAlignment="1">
      <alignment horizontal="center"/>
    </xf>
    <xf numFmtId="0" fontId="35" fillId="0" borderId="127" xfId="0" applyFont="1" applyBorder="1" applyAlignment="1">
      <alignment horizontal="center" vertical="center" wrapText="1"/>
    </xf>
    <xf numFmtId="0" fontId="35" fillId="0" borderId="84" xfId="0" applyFont="1" applyBorder="1" applyAlignment="1">
      <alignment horizontal="center" vertical="center" wrapText="1"/>
    </xf>
    <xf numFmtId="0" fontId="89" fillId="27" borderId="21" xfId="73" applyFont="1" applyFill="1" applyBorder="1" applyAlignment="1">
      <alignment horizontal="center" vertical="center" wrapText="1"/>
    </xf>
    <xf numFmtId="0" fontId="89" fillId="27" borderId="41" xfId="73" applyFont="1" applyFill="1" applyBorder="1" applyAlignment="1">
      <alignment horizontal="center" vertical="center" wrapText="1"/>
    </xf>
    <xf numFmtId="0" fontId="89" fillId="27" borderId="40" xfId="73" applyFont="1" applyFill="1" applyBorder="1" applyAlignment="1">
      <alignment horizontal="center" vertical="center" wrapText="1"/>
    </xf>
    <xf numFmtId="0" fontId="89" fillId="27" borderId="13" xfId="73" applyFont="1" applyFill="1" applyBorder="1" applyAlignment="1">
      <alignment horizontal="center" vertical="center" wrapText="1"/>
    </xf>
    <xf numFmtId="0" fontId="89" fillId="27" borderId="40" xfId="73" applyFont="1" applyFill="1" applyBorder="1" applyAlignment="1">
      <alignment horizontal="left" vertical="center" wrapText="1"/>
    </xf>
    <xf numFmtId="0" fontId="89" fillId="27" borderId="13" xfId="73" applyFont="1" applyFill="1" applyBorder="1" applyAlignment="1">
      <alignment horizontal="left" vertical="center" wrapText="1"/>
    </xf>
    <xf numFmtId="49" fontId="89" fillId="27" borderId="40" xfId="73" applyNumberFormat="1" applyFont="1" applyFill="1" applyBorder="1" applyAlignment="1">
      <alignment horizontal="center" vertical="center" wrapText="1"/>
    </xf>
    <xf numFmtId="49" fontId="89" fillId="27" borderId="13" xfId="73" applyNumberFormat="1" applyFont="1" applyFill="1" applyBorder="1" applyAlignment="1">
      <alignment horizontal="center" vertical="center" wrapText="1"/>
    </xf>
    <xf numFmtId="0" fontId="89" fillId="27" borderId="44" xfId="73" applyFont="1" applyFill="1" applyBorder="1" applyAlignment="1">
      <alignment horizontal="center" vertical="center" wrapText="1"/>
    </xf>
    <xf numFmtId="0" fontId="89" fillId="27" borderId="43" xfId="73" applyFont="1" applyFill="1" applyBorder="1" applyAlignment="1">
      <alignment horizontal="center" vertical="center" wrapText="1"/>
    </xf>
    <xf numFmtId="0" fontId="89" fillId="0" borderId="40" xfId="0" applyFont="1" applyBorder="1" applyAlignment="1">
      <alignment horizontal="left" vertical="center" wrapText="1"/>
    </xf>
    <xf numFmtId="0" fontId="89" fillId="0" borderId="44" xfId="0" applyFont="1" applyBorder="1" applyAlignment="1">
      <alignment horizontal="left" vertical="center" wrapText="1"/>
    </xf>
    <xf numFmtId="0" fontId="89" fillId="0" borderId="13" xfId="0" applyFont="1" applyBorder="1" applyAlignment="1">
      <alignment horizontal="left" vertical="center" wrapText="1"/>
    </xf>
    <xf numFmtId="0" fontId="89" fillId="27" borderId="44" xfId="73" applyFont="1" applyFill="1" applyBorder="1" applyAlignment="1">
      <alignment horizontal="left" vertical="center" wrapText="1"/>
    </xf>
    <xf numFmtId="3" fontId="93" fillId="27" borderId="10" xfId="73" applyNumberFormat="1" applyFont="1" applyFill="1" applyBorder="1" applyAlignment="1">
      <alignment horizontal="center" vertical="center"/>
    </xf>
    <xf numFmtId="0" fontId="89" fillId="27" borderId="19" xfId="73" applyFont="1" applyFill="1" applyBorder="1" applyAlignment="1">
      <alignment horizontal="center" vertical="center" wrapText="1"/>
    </xf>
    <xf numFmtId="0" fontId="89" fillId="27" borderId="20" xfId="73" applyFont="1" applyFill="1" applyBorder="1" applyAlignment="1">
      <alignment horizontal="center" vertical="center" wrapText="1"/>
    </xf>
    <xf numFmtId="0" fontId="33" fillId="27" borderId="0" xfId="73" applyFont="1" applyFill="1" applyAlignment="1">
      <alignment horizontal="center"/>
    </xf>
    <xf numFmtId="0" fontId="89" fillId="27" borderId="25" xfId="73" applyFont="1" applyFill="1" applyBorder="1" applyAlignment="1">
      <alignment horizontal="center" vertical="center" wrapText="1"/>
    </xf>
    <xf numFmtId="0" fontId="89" fillId="27" borderId="46" xfId="73" applyFont="1" applyFill="1" applyBorder="1" applyAlignment="1">
      <alignment horizontal="center" vertical="center" wrapText="1"/>
    </xf>
    <xf numFmtId="0" fontId="36" fillId="27" borderId="15" xfId="0" applyFont="1" applyFill="1" applyBorder="1" applyAlignment="1">
      <alignment horizontal="center" vertical="center" textRotation="90" wrapText="1"/>
    </xf>
    <xf numFmtId="0" fontId="36" fillId="27" borderId="29" xfId="0" applyFont="1" applyFill="1" applyBorder="1" applyAlignment="1">
      <alignment horizontal="center" vertical="center" textRotation="90" wrapText="1"/>
    </xf>
    <xf numFmtId="0" fontId="89" fillId="27" borderId="14" xfId="73" applyFont="1" applyFill="1" applyBorder="1" applyAlignment="1">
      <alignment horizontal="center" vertical="center" wrapText="1"/>
    </xf>
    <xf numFmtId="0" fontId="89" fillId="27" borderId="16" xfId="73" applyFont="1" applyFill="1" applyBorder="1" applyAlignment="1">
      <alignment horizontal="center" vertical="center" wrapText="1"/>
    </xf>
    <xf numFmtId="0" fontId="89" fillId="27" borderId="14" xfId="73" applyFont="1" applyFill="1" applyBorder="1" applyAlignment="1">
      <alignment horizontal="center" vertical="center" textRotation="90" wrapText="1"/>
    </xf>
    <xf numFmtId="0" fontId="89" fillId="27" borderId="16" xfId="73" applyFont="1" applyFill="1" applyBorder="1" applyAlignment="1">
      <alignment horizontal="center" vertical="center" textRotation="90" wrapText="1"/>
    </xf>
    <xf numFmtId="0" fontId="97" fillId="27" borderId="14" xfId="73" applyFont="1" applyFill="1" applyBorder="1" applyAlignment="1">
      <alignment horizontal="center"/>
    </xf>
    <xf numFmtId="0" fontId="97" fillId="27" borderId="76" xfId="73" applyFont="1" applyFill="1" applyBorder="1" applyAlignment="1">
      <alignment horizontal="center"/>
    </xf>
    <xf numFmtId="0" fontId="97" fillId="27" borderId="79" xfId="73" applyFont="1" applyFill="1" applyBorder="1" applyAlignment="1">
      <alignment horizontal="center"/>
    </xf>
    <xf numFmtId="0" fontId="97" fillId="27" borderId="35" xfId="73" applyFont="1" applyFill="1" applyBorder="1" applyAlignment="1">
      <alignment horizontal="center"/>
    </xf>
    <xf numFmtId="0" fontId="103" fillId="27" borderId="39" xfId="73" applyFont="1" applyFill="1" applyBorder="1" applyAlignment="1">
      <alignment horizontal="center"/>
    </xf>
    <xf numFmtId="0" fontId="103" fillId="27" borderId="53" xfId="73" applyFont="1" applyFill="1" applyBorder="1" applyAlignment="1">
      <alignment horizontal="center"/>
    </xf>
    <xf numFmtId="0" fontId="103" fillId="27" borderId="17" xfId="73" applyFont="1" applyFill="1" applyBorder="1" applyAlignment="1">
      <alignment horizontal="center"/>
    </xf>
    <xf numFmtId="0" fontId="89" fillId="27" borderId="15" xfId="73" applyFont="1" applyFill="1" applyBorder="1" applyAlignment="1">
      <alignment horizontal="center" vertical="center" wrapText="1"/>
    </xf>
    <xf numFmtId="0" fontId="89" fillId="27" borderId="47" xfId="73" applyFont="1" applyFill="1" applyBorder="1" applyAlignment="1">
      <alignment horizontal="center" vertical="center" wrapText="1"/>
    </xf>
    <xf numFmtId="0" fontId="89" fillId="27" borderId="19" xfId="73" applyFont="1" applyFill="1" applyBorder="1" applyAlignment="1">
      <alignment horizontal="left" vertical="center" wrapText="1"/>
    </xf>
    <xf numFmtId="0" fontId="36" fillId="27" borderId="21" xfId="0" applyFont="1" applyFill="1" applyBorder="1" applyAlignment="1">
      <alignment horizontal="center" vertical="center"/>
    </xf>
    <xf numFmtId="0" fontId="36" fillId="27" borderId="41" xfId="0" applyFont="1" applyFill="1" applyBorder="1" applyAlignment="1">
      <alignment horizontal="center" vertical="center"/>
    </xf>
    <xf numFmtId="0" fontId="36" fillId="27" borderId="43" xfId="0" applyFont="1" applyFill="1" applyBorder="1" applyAlignment="1">
      <alignment horizontal="center" vertical="center"/>
    </xf>
    <xf numFmtId="0" fontId="36" fillId="27" borderId="20" xfId="0" applyFont="1" applyFill="1" applyBorder="1" applyAlignment="1">
      <alignment horizontal="center" vertical="center"/>
    </xf>
    <xf numFmtId="0" fontId="36" fillId="0" borderId="19" xfId="0" quotePrefix="1" applyFont="1" applyBorder="1" applyAlignment="1">
      <alignment horizontal="left" vertical="center" wrapText="1"/>
    </xf>
    <xf numFmtId="0" fontId="36" fillId="0" borderId="15" xfId="0" applyFont="1" applyBorder="1" applyAlignment="1">
      <alignment horizontal="center" vertical="center" textRotation="90" wrapText="1"/>
    </xf>
    <xf numFmtId="0" fontId="36" fillId="0" borderId="29" xfId="0" applyFont="1" applyBorder="1" applyAlignment="1">
      <alignment horizontal="center" vertical="center" textRotation="90" wrapText="1"/>
    </xf>
    <xf numFmtId="0" fontId="97" fillId="27" borderId="25" xfId="73" applyFont="1" applyFill="1" applyBorder="1" applyAlignment="1">
      <alignment horizontal="center"/>
    </xf>
    <xf numFmtId="0" fontId="89" fillId="27" borderId="15" xfId="73" applyFont="1" applyFill="1" applyBorder="1" applyAlignment="1">
      <alignment horizontal="left" vertical="center" wrapText="1"/>
    </xf>
    <xf numFmtId="0" fontId="89" fillId="27" borderId="40" xfId="73" applyFont="1" applyFill="1" applyBorder="1" applyAlignment="1">
      <alignment vertical="center" wrapText="1"/>
    </xf>
    <xf numFmtId="0" fontId="89" fillId="27" borderId="13" xfId="73" applyFont="1" applyFill="1" applyBorder="1" applyAlignment="1">
      <alignment vertical="center" wrapText="1"/>
    </xf>
    <xf numFmtId="0" fontId="59" fillId="27" borderId="21" xfId="73" applyFont="1" applyFill="1" applyBorder="1" applyAlignment="1">
      <alignment horizontal="center" vertical="center" wrapText="1"/>
    </xf>
    <xf numFmtId="0" fontId="59" fillId="27" borderId="43" xfId="73" applyFont="1" applyFill="1" applyBorder="1" applyAlignment="1">
      <alignment horizontal="center" vertical="center" wrapText="1"/>
    </xf>
    <xf numFmtId="0" fontId="59" fillId="27" borderId="41" xfId="73" applyFont="1" applyFill="1" applyBorder="1" applyAlignment="1">
      <alignment horizontal="center" vertical="center" wrapText="1"/>
    </xf>
    <xf numFmtId="0" fontId="59" fillId="27" borderId="40" xfId="73" applyFont="1" applyFill="1" applyBorder="1" applyAlignment="1">
      <alignment horizontal="left" vertical="center" wrapText="1"/>
    </xf>
    <xf numFmtId="0" fontId="59" fillId="27" borderId="13" xfId="73" applyFont="1" applyFill="1" applyBorder="1" applyAlignment="1">
      <alignment horizontal="left" vertical="center" wrapText="1"/>
    </xf>
    <xf numFmtId="0" fontId="59" fillId="27" borderId="40" xfId="73" applyFont="1" applyFill="1" applyBorder="1" applyAlignment="1">
      <alignment horizontal="center" vertical="center" wrapText="1"/>
    </xf>
    <xf numFmtId="0" fontId="59" fillId="27" borderId="13" xfId="73" applyFont="1" applyFill="1" applyBorder="1" applyAlignment="1">
      <alignment horizontal="center" vertical="center" wrapText="1"/>
    </xf>
    <xf numFmtId="0" fontId="59" fillId="27" borderId="44" xfId="73" applyFont="1" applyFill="1" applyBorder="1" applyAlignment="1">
      <alignment horizontal="left" vertical="center" wrapText="1"/>
    </xf>
    <xf numFmtId="0" fontId="59" fillId="27" borderId="44" xfId="73" applyFont="1" applyFill="1" applyBorder="1" applyAlignment="1">
      <alignment horizontal="center" vertical="center" wrapText="1"/>
    </xf>
    <xf numFmtId="3" fontId="48" fillId="27" borderId="10" xfId="73" applyNumberFormat="1" applyFont="1" applyFill="1" applyBorder="1" applyAlignment="1">
      <alignment horizontal="center" vertical="center"/>
    </xf>
    <xf numFmtId="0" fontId="59" fillId="27" borderId="19" xfId="73" applyFont="1" applyFill="1" applyBorder="1" applyAlignment="1">
      <alignment horizontal="left" vertical="center" wrapText="1"/>
    </xf>
    <xf numFmtId="0" fontId="59" fillId="27" borderId="19" xfId="73" applyFont="1" applyFill="1" applyBorder="1" applyAlignment="1">
      <alignment horizontal="center" vertical="center" wrapText="1"/>
    </xf>
    <xf numFmtId="0" fontId="59" fillId="27" borderId="20" xfId="73" applyFont="1" applyFill="1" applyBorder="1" applyAlignment="1">
      <alignment horizontal="center" vertical="center" wrapText="1"/>
    </xf>
    <xf numFmtId="0" fontId="64" fillId="27" borderId="0" xfId="73" applyFont="1" applyFill="1" applyAlignment="1">
      <alignment horizontal="center"/>
    </xf>
    <xf numFmtId="0" fontId="59" fillId="27" borderId="25" xfId="73" applyFont="1" applyFill="1" applyBorder="1" applyAlignment="1">
      <alignment horizontal="center" vertical="center" wrapText="1"/>
    </xf>
    <xf numFmtId="0" fontId="59" fillId="27" borderId="46" xfId="73" applyFont="1" applyFill="1" applyBorder="1" applyAlignment="1">
      <alignment horizontal="center" vertical="center" wrapText="1"/>
    </xf>
    <xf numFmtId="0" fontId="59" fillId="27" borderId="14" xfId="73" applyFont="1" applyFill="1" applyBorder="1" applyAlignment="1">
      <alignment horizontal="center" vertical="center" wrapText="1"/>
    </xf>
    <xf numFmtId="0" fontId="59" fillId="27" borderId="16" xfId="73" applyFont="1" applyFill="1" applyBorder="1" applyAlignment="1">
      <alignment horizontal="center" vertical="center" wrapText="1"/>
    </xf>
    <xf numFmtId="0" fontId="59" fillId="27" borderId="14" xfId="73" applyFont="1" applyFill="1" applyBorder="1" applyAlignment="1">
      <alignment horizontal="center" vertical="center" textRotation="90" wrapText="1"/>
    </xf>
    <xf numFmtId="0" fontId="59" fillId="27" borderId="16" xfId="73" applyFont="1" applyFill="1" applyBorder="1" applyAlignment="1">
      <alignment horizontal="center" vertical="center" textRotation="90" wrapText="1"/>
    </xf>
    <xf numFmtId="0" fontId="49" fillId="27" borderId="14" xfId="73" applyFont="1" applyFill="1" applyBorder="1" applyAlignment="1">
      <alignment horizontal="center"/>
    </xf>
    <xf numFmtId="0" fontId="49" fillId="27" borderId="79" xfId="73" applyFont="1" applyFill="1" applyBorder="1" applyAlignment="1">
      <alignment horizontal="center"/>
    </xf>
    <xf numFmtId="0" fontId="49" fillId="27" borderId="35" xfId="73" applyFont="1" applyFill="1" applyBorder="1" applyAlignment="1">
      <alignment horizontal="center"/>
    </xf>
    <xf numFmtId="0" fontId="59" fillId="27" borderId="15" xfId="73" applyFont="1" applyFill="1" applyBorder="1" applyAlignment="1">
      <alignment horizontal="left" vertical="center" wrapText="1"/>
    </xf>
    <xf numFmtId="0" fontId="59" fillId="27" borderId="15" xfId="73" applyFont="1" applyFill="1" applyBorder="1" applyAlignment="1">
      <alignment horizontal="center" vertical="center" wrapText="1"/>
    </xf>
    <xf numFmtId="0" fontId="59" fillId="27" borderId="47" xfId="73" applyFont="1" applyFill="1" applyBorder="1" applyAlignment="1">
      <alignment horizontal="center" vertical="center" wrapText="1"/>
    </xf>
    <xf numFmtId="0" fontId="59" fillId="27" borderId="14" xfId="73" applyFont="1" applyFill="1" applyBorder="1" applyAlignment="1">
      <alignment horizontal="left" vertical="center" wrapText="1"/>
    </xf>
    <xf numFmtId="0" fontId="59" fillId="27" borderId="40" xfId="73" applyFont="1" applyFill="1" applyBorder="1" applyAlignment="1">
      <alignment horizontal="center" vertical="center"/>
    </xf>
    <xf numFmtId="0" fontId="59" fillId="27" borderId="13" xfId="73" applyFont="1" applyFill="1" applyBorder="1" applyAlignment="1">
      <alignment horizontal="center" vertical="center"/>
    </xf>
    <xf numFmtId="0" fontId="59" fillId="27" borderId="44" xfId="73" applyFont="1" applyFill="1" applyBorder="1" applyAlignment="1">
      <alignment horizontal="center" vertical="center"/>
    </xf>
    <xf numFmtId="49" fontId="59" fillId="27" borderId="40" xfId="73" applyNumberFormat="1" applyFont="1" applyFill="1" applyBorder="1" applyAlignment="1">
      <alignment horizontal="center" vertical="center" wrapText="1"/>
    </xf>
    <xf numFmtId="49" fontId="59" fillId="27" borderId="44" xfId="73" applyNumberFormat="1" applyFont="1" applyFill="1" applyBorder="1" applyAlignment="1">
      <alignment horizontal="center" vertical="center" wrapText="1"/>
    </xf>
    <xf numFmtId="49" fontId="59" fillId="27" borderId="13" xfId="73" applyNumberFormat="1" applyFont="1" applyFill="1" applyBorder="1" applyAlignment="1">
      <alignment horizontal="center" vertical="center" wrapText="1"/>
    </xf>
    <xf numFmtId="49" fontId="59" fillId="27" borderId="19" xfId="73" applyNumberFormat="1" applyFont="1" applyFill="1" applyBorder="1" applyAlignment="1">
      <alignment horizontal="center" vertical="center" wrapText="1"/>
    </xf>
    <xf numFmtId="0" fontId="49" fillId="27" borderId="76" xfId="73" applyFont="1" applyFill="1" applyBorder="1" applyAlignment="1">
      <alignment horizontal="center"/>
    </xf>
    <xf numFmtId="0" fontId="59" fillId="27" borderId="15" xfId="73" applyFont="1" applyFill="1" applyBorder="1" applyAlignment="1">
      <alignment horizontal="center" vertical="center"/>
    </xf>
    <xf numFmtId="0" fontId="49" fillId="27" borderId="25" xfId="73" applyFont="1" applyFill="1" applyBorder="1" applyAlignment="1">
      <alignment horizontal="center"/>
    </xf>
    <xf numFmtId="0" fontId="49" fillId="27" borderId="14" xfId="73" applyFont="1" applyFill="1" applyBorder="1" applyAlignment="1">
      <alignment horizontal="center" vertical="center"/>
    </xf>
    <xf numFmtId="0" fontId="49" fillId="27" borderId="76" xfId="73" applyFont="1" applyFill="1" applyBorder="1" applyAlignment="1">
      <alignment horizontal="center" vertical="center"/>
    </xf>
    <xf numFmtId="0" fontId="49" fillId="27" borderId="79" xfId="73" applyFont="1" applyFill="1" applyBorder="1" applyAlignment="1">
      <alignment horizontal="center" vertical="center"/>
    </xf>
    <xf numFmtId="0" fontId="49" fillId="27" borderId="35" xfId="73" applyFont="1" applyFill="1" applyBorder="1" applyAlignment="1">
      <alignment horizontal="center" vertical="center"/>
    </xf>
    <xf numFmtId="3" fontId="48" fillId="27" borderId="28" xfId="73" applyNumberFormat="1" applyFont="1" applyFill="1" applyBorder="1" applyAlignment="1">
      <alignment horizontal="center" vertical="center"/>
    </xf>
    <xf numFmtId="3" fontId="48" fillId="27" borderId="23" xfId="73" applyNumberFormat="1" applyFont="1" applyFill="1" applyBorder="1" applyAlignment="1">
      <alignment horizontal="center" vertical="center"/>
    </xf>
    <xf numFmtId="3" fontId="48" fillId="27" borderId="22" xfId="73" applyNumberFormat="1" applyFont="1" applyFill="1" applyBorder="1" applyAlignment="1">
      <alignment horizontal="center" vertical="center"/>
    </xf>
    <xf numFmtId="0" fontId="103" fillId="27" borderId="28" xfId="73" applyFont="1" applyFill="1" applyBorder="1" applyAlignment="1">
      <alignment horizontal="center"/>
    </xf>
    <xf numFmtId="0" fontId="103" fillId="27" borderId="22" xfId="73" applyFont="1" applyFill="1" applyBorder="1" applyAlignment="1">
      <alignment horizontal="center"/>
    </xf>
    <xf numFmtId="0" fontId="59" fillId="27" borderId="48" xfId="73" applyFont="1" applyFill="1" applyBorder="1" applyAlignment="1">
      <alignment horizontal="center" vertical="center" wrapText="1"/>
    </xf>
    <xf numFmtId="0" fontId="59" fillId="27" borderId="29" xfId="73" applyFont="1" applyFill="1" applyBorder="1" applyAlignment="1">
      <alignment horizontal="center" vertical="center" wrapText="1"/>
    </xf>
    <xf numFmtId="0" fontId="59" fillId="27" borderId="15" xfId="73" applyFont="1" applyFill="1" applyBorder="1" applyAlignment="1">
      <alignment horizontal="center" vertical="center" textRotation="90" wrapText="1"/>
    </xf>
    <xf numFmtId="0" fontId="59" fillId="27" borderId="29" xfId="73" applyFont="1" applyFill="1" applyBorder="1" applyAlignment="1">
      <alignment horizontal="center" vertical="center" textRotation="90" wrapText="1"/>
    </xf>
    <xf numFmtId="0" fontId="49" fillId="27" borderId="57" xfId="73" applyFont="1" applyFill="1" applyBorder="1" applyAlignment="1">
      <alignment horizontal="center"/>
    </xf>
    <xf numFmtId="0" fontId="49" fillId="27" borderId="144" xfId="73" applyFont="1" applyFill="1" applyBorder="1" applyAlignment="1">
      <alignment horizontal="center"/>
    </xf>
    <xf numFmtId="0" fontId="49" fillId="27" borderId="160" xfId="73" applyFont="1" applyFill="1" applyBorder="1" applyAlignment="1">
      <alignment horizontal="center"/>
    </xf>
    <xf numFmtId="0" fontId="59" fillId="0" borderId="44" xfId="73" applyFont="1" applyBorder="1" applyAlignment="1">
      <alignment horizontal="left" vertical="center" wrapText="1"/>
    </xf>
    <xf numFmtId="49" fontId="59" fillId="0" borderId="44" xfId="73" applyNumberFormat="1" applyFont="1" applyBorder="1" applyAlignment="1">
      <alignment horizontal="center" vertical="center" wrapText="1"/>
    </xf>
    <xf numFmtId="0" fontId="59" fillId="0" borderId="43" xfId="73" applyFont="1" applyBorder="1" applyAlignment="1">
      <alignment horizontal="center" vertical="center" wrapText="1"/>
    </xf>
    <xf numFmtId="0" fontId="59" fillId="0" borderId="25" xfId="73" applyFont="1" applyBorder="1" applyAlignment="1">
      <alignment horizontal="center" vertical="center" wrapText="1"/>
    </xf>
    <xf numFmtId="0" fontId="59" fillId="0" borderId="21" xfId="73" applyFont="1" applyBorder="1" applyAlignment="1">
      <alignment horizontal="center" vertical="center" wrapText="1"/>
    </xf>
    <xf numFmtId="0" fontId="59" fillId="0" borderId="14" xfId="73" applyFont="1" applyBorder="1" applyAlignment="1">
      <alignment horizontal="center" vertical="center" wrapText="1"/>
    </xf>
    <xf numFmtId="0" fontId="59" fillId="0" borderId="40" xfId="73" applyFont="1" applyBorder="1" applyAlignment="1">
      <alignment horizontal="center" vertical="center" wrapText="1"/>
    </xf>
    <xf numFmtId="0" fontId="59" fillId="0" borderId="14" xfId="73" applyFont="1" applyBorder="1" applyAlignment="1">
      <alignment horizontal="center" vertical="center" textRotation="90" wrapText="1"/>
    </xf>
    <xf numFmtId="0" fontId="59" fillId="0" borderId="40" xfId="73" applyFont="1" applyBorder="1" applyAlignment="1">
      <alignment horizontal="center" vertical="center" textRotation="90" wrapText="1"/>
    </xf>
    <xf numFmtId="0" fontId="49" fillId="0" borderId="14" xfId="73" applyFont="1" applyBorder="1" applyAlignment="1">
      <alignment horizontal="center"/>
    </xf>
    <xf numFmtId="0" fontId="49" fillId="0" borderId="76" xfId="73" applyFont="1" applyBorder="1" applyAlignment="1">
      <alignment horizontal="center"/>
    </xf>
    <xf numFmtId="0" fontId="49" fillId="0" borderId="79" xfId="73" applyFont="1" applyBorder="1" applyAlignment="1">
      <alignment horizontal="center"/>
    </xf>
    <xf numFmtId="0" fontId="49" fillId="0" borderId="35" xfId="73" applyFont="1" applyBorder="1" applyAlignment="1">
      <alignment horizontal="center"/>
    </xf>
    <xf numFmtId="0" fontId="59" fillId="0" borderId="15" xfId="73" applyFont="1" applyBorder="1" applyAlignment="1">
      <alignment horizontal="left" vertical="center" wrapText="1"/>
    </xf>
    <xf numFmtId="0" fontId="59" fillId="0" borderId="13" xfId="73" applyFont="1" applyBorder="1" applyAlignment="1">
      <alignment horizontal="left" vertical="center" wrapText="1"/>
    </xf>
    <xf numFmtId="0" fontId="59" fillId="0" borderId="15" xfId="73" applyFont="1" applyBorder="1" applyAlignment="1">
      <alignment horizontal="center" vertical="center" wrapText="1"/>
    </xf>
    <xf numFmtId="0" fontId="59" fillId="0" borderId="13" xfId="73" applyFont="1" applyBorder="1" applyAlignment="1">
      <alignment horizontal="center" vertical="center" wrapText="1"/>
    </xf>
    <xf numFmtId="0" fontId="59" fillId="0" borderId="47" xfId="73" applyFont="1" applyBorder="1" applyAlignment="1">
      <alignment horizontal="center" vertical="center" wrapText="1"/>
    </xf>
    <xf numFmtId="0" fontId="59" fillId="0" borderId="41" xfId="73" applyFont="1" applyBorder="1" applyAlignment="1">
      <alignment horizontal="center" vertical="center" wrapText="1"/>
    </xf>
    <xf numFmtId="0" fontId="59" fillId="0" borderId="44" xfId="73" applyFont="1" applyBorder="1" applyAlignment="1">
      <alignment horizontal="center" vertical="center"/>
    </xf>
    <xf numFmtId="0" fontId="59" fillId="0" borderId="44" xfId="73" applyFont="1" applyBorder="1" applyAlignment="1">
      <alignment horizontal="center" vertical="center" wrapText="1"/>
    </xf>
    <xf numFmtId="0" fontId="59" fillId="0" borderId="40" xfId="73" applyFont="1" applyBorder="1" applyAlignment="1">
      <alignment horizontal="left" vertical="center" wrapText="1"/>
    </xf>
    <xf numFmtId="0" fontId="49" fillId="0" borderId="25" xfId="73" applyFont="1" applyBorder="1" applyAlignment="1">
      <alignment horizontal="center"/>
    </xf>
    <xf numFmtId="0" fontId="59" fillId="0" borderId="74" xfId="73" applyFont="1" applyBorder="1" applyAlignment="1">
      <alignment horizontal="center" vertical="center" wrapText="1"/>
    </xf>
    <xf numFmtId="0" fontId="59" fillId="0" borderId="52" xfId="73" applyFont="1" applyBorder="1" applyAlignment="1">
      <alignment horizontal="center" vertical="center" wrapText="1"/>
    </xf>
    <xf numFmtId="0" fontId="59" fillId="0" borderId="150" xfId="73" applyFont="1" applyBorder="1" applyAlignment="1">
      <alignment horizontal="center" vertical="center" wrapText="1"/>
    </xf>
    <xf numFmtId="0" fontId="59" fillId="0" borderId="143" xfId="73" applyFont="1" applyBorder="1" applyAlignment="1">
      <alignment horizontal="center" vertical="center" wrapText="1"/>
    </xf>
    <xf numFmtId="0" fontId="59" fillId="0" borderId="49" xfId="73" applyFont="1" applyBorder="1" applyAlignment="1">
      <alignment horizontal="center" vertical="center" wrapText="1"/>
    </xf>
    <xf numFmtId="0" fontId="59" fillId="0" borderId="26" xfId="73" applyFont="1" applyBorder="1" applyAlignment="1">
      <alignment horizontal="center" vertical="center" wrapText="1"/>
    </xf>
    <xf numFmtId="0" fontId="59" fillId="0" borderId="14" xfId="73" applyFont="1" applyBorder="1" applyAlignment="1">
      <alignment horizontal="left" vertical="center" wrapText="1"/>
    </xf>
    <xf numFmtId="0" fontId="59" fillId="0" borderId="19" xfId="73" applyFont="1" applyBorder="1" applyAlignment="1">
      <alignment horizontal="left" vertical="center" wrapText="1"/>
    </xf>
    <xf numFmtId="0" fontId="59" fillId="0" borderId="19" xfId="73" applyFont="1" applyBorder="1" applyAlignment="1">
      <alignment horizontal="center" vertical="center" wrapText="1"/>
    </xf>
    <xf numFmtId="0" fontId="59" fillId="0" borderId="20" xfId="73" applyFont="1" applyBorder="1" applyAlignment="1">
      <alignment horizontal="center" vertical="center" wrapText="1"/>
    </xf>
    <xf numFmtId="0" fontId="103" fillId="27" borderId="28" xfId="73" applyFont="1" applyFill="1" applyBorder="1" applyAlignment="1">
      <alignment horizontal="center" vertical="center"/>
    </xf>
    <xf numFmtId="0" fontId="103" fillId="27" borderId="22" xfId="73" applyFont="1" applyFill="1" applyBorder="1" applyAlignment="1">
      <alignment horizontal="center" vertical="center"/>
    </xf>
    <xf numFmtId="0" fontId="103" fillId="27" borderId="53" xfId="73" applyFont="1" applyFill="1" applyBorder="1" applyAlignment="1">
      <alignment horizontal="center" vertical="center"/>
    </xf>
    <xf numFmtId="0" fontId="105" fillId="27" borderId="0" xfId="73" applyFont="1" applyFill="1" applyAlignment="1">
      <alignment horizontal="center"/>
    </xf>
    <xf numFmtId="0" fontId="103" fillId="0" borderId="39" xfId="73" applyFont="1" applyBorder="1" applyAlignment="1">
      <alignment horizontal="center" vertical="center"/>
    </xf>
    <xf numFmtId="0" fontId="103" fillId="0" borderId="17" xfId="73" applyFont="1" applyBorder="1" applyAlignment="1">
      <alignment horizontal="center" vertical="center"/>
    </xf>
    <xf numFmtId="0" fontId="106" fillId="27" borderId="0" xfId="73" applyFont="1" applyFill="1" applyAlignment="1">
      <alignment horizontal="center"/>
    </xf>
    <xf numFmtId="0" fontId="89" fillId="0" borderId="25" xfId="73" applyFont="1" applyBorder="1" applyAlignment="1">
      <alignment horizontal="center" vertical="center" wrapText="1"/>
    </xf>
    <xf numFmtId="0" fontId="89" fillId="0" borderId="46" xfId="73" applyFont="1" applyBorder="1" applyAlignment="1">
      <alignment horizontal="center" vertical="center" wrapText="1"/>
    </xf>
    <xf numFmtId="0" fontId="89" fillId="0" borderId="14" xfId="73" applyFont="1" applyBorder="1" applyAlignment="1">
      <alignment horizontal="center" vertical="center" wrapText="1"/>
    </xf>
    <xf numFmtId="0" fontId="89" fillId="0" borderId="16" xfId="73" applyFont="1" applyBorder="1" applyAlignment="1">
      <alignment horizontal="center" vertical="center" wrapText="1"/>
    </xf>
    <xf numFmtId="0" fontId="97" fillId="0" borderId="14" xfId="73" applyFont="1" applyBorder="1" applyAlignment="1">
      <alignment horizontal="center" vertical="center"/>
    </xf>
    <xf numFmtId="0" fontId="97" fillId="0" borderId="76" xfId="73" applyFont="1" applyBorder="1" applyAlignment="1">
      <alignment horizontal="center" vertical="center"/>
    </xf>
    <xf numFmtId="0" fontId="97" fillId="0" borderId="79" xfId="73" applyFont="1" applyBorder="1" applyAlignment="1">
      <alignment horizontal="center" vertical="center"/>
    </xf>
    <xf numFmtId="0" fontId="97" fillId="0" borderId="35" xfId="73" applyFont="1" applyBorder="1" applyAlignment="1">
      <alignment horizontal="center" vertical="center"/>
    </xf>
    <xf numFmtId="0" fontId="35" fillId="0" borderId="28" xfId="0" applyFont="1" applyBorder="1" applyAlignment="1">
      <alignment horizontal="center" vertical="center" wrapText="1"/>
    </xf>
    <xf numFmtId="0" fontId="35" fillId="0" borderId="22" xfId="0" applyFont="1" applyBorder="1" applyAlignment="1">
      <alignment horizontal="center" vertical="center" wrapText="1"/>
    </xf>
    <xf numFmtId="0" fontId="35" fillId="0" borderId="53" xfId="0" applyFont="1" applyBorder="1" applyAlignment="1">
      <alignment horizontal="center" vertical="center" wrapText="1"/>
    </xf>
    <xf numFmtId="0" fontId="91" fillId="0" borderId="11" xfId="0" applyFont="1" applyBorder="1" applyAlignment="1">
      <alignment horizontal="center" vertical="top"/>
    </xf>
    <xf numFmtId="0" fontId="0" fillId="27" borderId="126" xfId="0" applyFill="1" applyBorder="1" applyAlignment="1">
      <alignment wrapText="1"/>
    </xf>
    <xf numFmtId="0" fontId="73" fillId="0" borderId="0" xfId="64" applyFont="1" applyAlignment="1">
      <alignment horizontal="center"/>
    </xf>
    <xf numFmtId="0" fontId="49" fillId="0" borderId="11" xfId="68" applyFont="1" applyBorder="1" applyAlignment="1">
      <alignment horizontal="center" vertical="center" wrapText="1"/>
    </xf>
    <xf numFmtId="0" fontId="49" fillId="0" borderId="10" xfId="68" applyFont="1" applyBorder="1" applyAlignment="1">
      <alignment horizontal="center" vertical="center" wrapText="1"/>
    </xf>
    <xf numFmtId="0" fontId="49" fillId="0" borderId="129" xfId="68" applyFont="1" applyBorder="1" applyAlignment="1">
      <alignment vertical="center" wrapText="1"/>
    </xf>
    <xf numFmtId="0" fontId="49" fillId="0" borderId="130" xfId="68" applyFont="1" applyBorder="1" applyAlignment="1">
      <alignment vertical="center" wrapText="1"/>
    </xf>
    <xf numFmtId="0" fontId="49" fillId="0" borderId="131" xfId="68" applyFont="1" applyBorder="1" applyAlignment="1">
      <alignment vertical="center" wrapText="1"/>
    </xf>
    <xf numFmtId="0" fontId="49" fillId="0" borderId="132" xfId="68" applyFont="1" applyBorder="1" applyAlignment="1">
      <alignment vertical="center" wrapText="1"/>
    </xf>
    <xf numFmtId="0" fontId="49" fillId="0" borderId="133" xfId="68" applyFont="1" applyBorder="1" applyAlignment="1">
      <alignment vertical="center" wrapText="1"/>
    </xf>
    <xf numFmtId="0" fontId="36" fillId="0" borderId="0" xfId="70" applyFont="1"/>
    <xf numFmtId="0" fontId="31" fillId="0" borderId="0" xfId="70"/>
    <xf numFmtId="0" fontId="49" fillId="0" borderId="10" xfId="112" applyFont="1" applyBorder="1" applyAlignment="1">
      <alignment vertical="center" wrapText="1"/>
    </xf>
    <xf numFmtId="0" fontId="49" fillId="0" borderId="10" xfId="112" applyFont="1" applyBorder="1" applyAlignment="1">
      <alignment horizontal="center" vertical="center" wrapText="1"/>
    </xf>
    <xf numFmtId="0" fontId="49" fillId="0" borderId="28" xfId="112" applyFont="1" applyBorder="1" applyAlignment="1">
      <alignment vertical="center" wrapText="1"/>
    </xf>
    <xf numFmtId="3" fontId="36" fillId="0" borderId="0" xfId="70" applyNumberFormat="1" applyFont="1"/>
    <xf numFmtId="3" fontId="31" fillId="0" borderId="0" xfId="70" applyNumberFormat="1"/>
    <xf numFmtId="168" fontId="60" fillId="28" borderId="10" xfId="41" applyNumberFormat="1" applyFont="1" applyFill="1" applyBorder="1" applyAlignment="1">
      <alignment horizontal="center" vertical="center" wrapText="1"/>
    </xf>
    <xf numFmtId="0" fontId="38" fillId="0" borderId="10" xfId="70" applyFont="1" applyBorder="1"/>
    <xf numFmtId="0" fontId="36" fillId="0" borderId="10" xfId="70" applyFont="1" applyBorder="1"/>
    <xf numFmtId="0" fontId="31" fillId="27" borderId="0" xfId="70" applyFill="1"/>
    <xf numFmtId="171" fontId="31" fillId="0" borderId="0" xfId="113" applyNumberFormat="1" applyFont="1"/>
    <xf numFmtId="168" fontId="36" fillId="0" borderId="0" xfId="70" applyNumberFormat="1" applyFont="1"/>
    <xf numFmtId="168" fontId="31" fillId="0" borderId="0" xfId="70" applyNumberFormat="1"/>
    <xf numFmtId="0" fontId="55" fillId="0" borderId="0" xfId="70" applyFont="1"/>
    <xf numFmtId="171" fontId="31" fillId="0" borderId="0" xfId="70" applyNumberFormat="1"/>
    <xf numFmtId="0" fontId="31" fillId="0" borderId="10" xfId="70" applyBorder="1"/>
    <xf numFmtId="171" fontId="31" fillId="28" borderId="10" xfId="113" applyNumberFormat="1" applyFont="1" applyFill="1" applyBorder="1"/>
    <xf numFmtId="171" fontId="31" fillId="0" borderId="10" xfId="113" applyNumberFormat="1" applyFont="1" applyBorder="1"/>
    <xf numFmtId="171" fontId="55" fillId="0" borderId="0" xfId="113" applyNumberFormat="1" applyFont="1"/>
    <xf numFmtId="171" fontId="31" fillId="28" borderId="0" xfId="113" applyNumberFormat="1" applyFont="1" applyFill="1"/>
    <xf numFmtId="171" fontId="36" fillId="0" borderId="0" xfId="70" applyNumberFormat="1" applyFont="1"/>
    <xf numFmtId="171" fontId="31" fillId="0" borderId="10" xfId="70" applyNumberFormat="1" applyBorder="1"/>
    <xf numFmtId="174" fontId="36" fillId="0" borderId="10" xfId="0" applyNumberFormat="1" applyFont="1" applyFill="1" applyBorder="1" applyAlignment="1">
      <alignment vertical="center" wrapText="1"/>
    </xf>
    <xf numFmtId="171" fontId="36" fillId="0" borderId="28" xfId="79" applyNumberFormat="1" applyFont="1" applyBorder="1" applyAlignment="1">
      <alignment vertical="center"/>
    </xf>
    <xf numFmtId="171" fontId="36" fillId="0" borderId="28" xfId="79" applyNumberFormat="1" applyFont="1" applyFill="1" applyBorder="1" applyAlignment="1">
      <alignment vertical="center"/>
    </xf>
    <xf numFmtId="171" fontId="36" fillId="0" borderId="102" xfId="79" applyNumberFormat="1" applyFont="1" applyFill="1" applyBorder="1" applyAlignment="1">
      <alignment vertical="center"/>
    </xf>
    <xf numFmtId="3" fontId="36" fillId="0" borderId="109" xfId="74" applyNumberFormat="1" applyFont="1" applyFill="1" applyBorder="1" applyAlignment="1" applyProtection="1">
      <alignment vertical="center"/>
      <protection locked="0"/>
    </xf>
    <xf numFmtId="3" fontId="36" fillId="27" borderId="113" xfId="74" applyNumberFormat="1" applyFont="1" applyFill="1" applyBorder="1" applyAlignment="1">
      <alignment vertical="center"/>
    </xf>
    <xf numFmtId="3" fontId="36" fillId="0" borderId="113" xfId="74" applyNumberFormat="1" applyFont="1" applyBorder="1" applyAlignment="1">
      <alignment vertical="center"/>
    </xf>
  </cellXfs>
  <cellStyles count="114">
    <cellStyle name="20% - Accent1" xfId="1" xr:uid="{00000000-0005-0000-0000-000000000000}"/>
    <cellStyle name="20% - Accent1 2" xfId="2" xr:uid="{00000000-0005-0000-0000-000001000000}"/>
    <cellStyle name="20% - Accent2" xfId="3" xr:uid="{00000000-0005-0000-0000-000002000000}"/>
    <cellStyle name="20% - Accent2 2" xfId="4" xr:uid="{00000000-0005-0000-0000-000003000000}"/>
    <cellStyle name="20% - Accent3" xfId="5" xr:uid="{00000000-0005-0000-0000-000004000000}"/>
    <cellStyle name="20% - Accent3 2" xfId="6" xr:uid="{00000000-0005-0000-0000-000005000000}"/>
    <cellStyle name="20% - Accent4" xfId="7" xr:uid="{00000000-0005-0000-0000-000006000000}"/>
    <cellStyle name="20% - Accent4 2" xfId="8" xr:uid="{00000000-0005-0000-0000-000007000000}"/>
    <cellStyle name="20% - Accent5" xfId="9" xr:uid="{00000000-0005-0000-0000-000008000000}"/>
    <cellStyle name="20% - Accent5 2" xfId="10" xr:uid="{00000000-0005-0000-0000-000009000000}"/>
    <cellStyle name="20% - Accent6" xfId="11" xr:uid="{00000000-0005-0000-0000-00000A000000}"/>
    <cellStyle name="20% - Accent6 2" xfId="12" xr:uid="{00000000-0005-0000-0000-00000B000000}"/>
    <cellStyle name="40% - Accent1" xfId="13" xr:uid="{00000000-0005-0000-0000-00000C000000}"/>
    <cellStyle name="40% - Accent1 2" xfId="14" xr:uid="{00000000-0005-0000-0000-00000D000000}"/>
    <cellStyle name="40% - Accent2" xfId="15" xr:uid="{00000000-0005-0000-0000-00000E000000}"/>
    <cellStyle name="40% - Accent2 2" xfId="16" xr:uid="{00000000-0005-0000-0000-00000F000000}"/>
    <cellStyle name="40% - Accent3" xfId="17" xr:uid="{00000000-0005-0000-0000-000010000000}"/>
    <cellStyle name="40% - Accent3 2" xfId="18" xr:uid="{00000000-0005-0000-0000-000011000000}"/>
    <cellStyle name="40% - Accent4" xfId="19" xr:uid="{00000000-0005-0000-0000-000012000000}"/>
    <cellStyle name="40% - Accent4 2" xfId="20" xr:uid="{00000000-0005-0000-0000-000013000000}"/>
    <cellStyle name="40% - Accent5" xfId="21" xr:uid="{00000000-0005-0000-0000-000014000000}"/>
    <cellStyle name="40% - Accent5 2" xfId="22" xr:uid="{00000000-0005-0000-0000-000015000000}"/>
    <cellStyle name="40% - Accent6" xfId="23" xr:uid="{00000000-0005-0000-0000-000016000000}"/>
    <cellStyle name="40% - Accent6 2" xfId="24" xr:uid="{00000000-0005-0000-0000-000017000000}"/>
    <cellStyle name="60% - Accent1" xfId="25" xr:uid="{00000000-0005-0000-0000-000018000000}"/>
    <cellStyle name="60% - Accent2" xfId="26" xr:uid="{00000000-0005-0000-0000-000019000000}"/>
    <cellStyle name="60% - Accent3" xfId="27" xr:uid="{00000000-0005-0000-0000-00001A000000}"/>
    <cellStyle name="60% - Accent4" xfId="28" xr:uid="{00000000-0005-0000-0000-00001B000000}"/>
    <cellStyle name="60% - Accent5" xfId="29" xr:uid="{00000000-0005-0000-0000-00001C000000}"/>
    <cellStyle name="60% - Accent6" xfId="30" xr:uid="{00000000-0005-0000-0000-00001D000000}"/>
    <cellStyle name="Accent1" xfId="31" xr:uid="{00000000-0005-0000-0000-00001E000000}"/>
    <cellStyle name="Accent2" xfId="32" xr:uid="{00000000-0005-0000-0000-00001F000000}"/>
    <cellStyle name="Accent3" xfId="33" xr:uid="{00000000-0005-0000-0000-000020000000}"/>
    <cellStyle name="Accent4" xfId="34" xr:uid="{00000000-0005-0000-0000-000021000000}"/>
    <cellStyle name="Accent5" xfId="35" xr:uid="{00000000-0005-0000-0000-000022000000}"/>
    <cellStyle name="Accent6" xfId="36" xr:uid="{00000000-0005-0000-0000-000023000000}"/>
    <cellStyle name="Bad" xfId="37" xr:uid="{00000000-0005-0000-0000-000024000000}"/>
    <cellStyle name="Calculation" xfId="38" xr:uid="{00000000-0005-0000-0000-000025000000}"/>
    <cellStyle name="Check Cell" xfId="39" xr:uid="{00000000-0005-0000-0000-000026000000}"/>
    <cellStyle name="Explanatory Text" xfId="40" xr:uid="{00000000-0005-0000-0000-000027000000}"/>
    <cellStyle name="Ezres" xfId="41" builtinId="3"/>
    <cellStyle name="Ezres 2" xfId="42" xr:uid="{00000000-0005-0000-0000-000029000000}"/>
    <cellStyle name="Ezres 2 2" xfId="43" xr:uid="{00000000-0005-0000-0000-00002A000000}"/>
    <cellStyle name="Ezres 2 3" xfId="95" xr:uid="{00000000-0005-0000-0000-00002B000000}"/>
    <cellStyle name="Ezres 3" xfId="44" xr:uid="{00000000-0005-0000-0000-00002C000000}"/>
    <cellStyle name="Ezres 4" xfId="45" xr:uid="{00000000-0005-0000-0000-00002D000000}"/>
    <cellStyle name="Ezres 5" xfId="46" xr:uid="{00000000-0005-0000-0000-00002E000000}"/>
    <cellStyle name="Ezres 5 2" xfId="47" xr:uid="{00000000-0005-0000-0000-00002F000000}"/>
    <cellStyle name="Ezres 6" xfId="48" xr:uid="{00000000-0005-0000-0000-000030000000}"/>
    <cellStyle name="Ezres 7" xfId="49" xr:uid="{00000000-0005-0000-0000-000031000000}"/>
    <cellStyle name="Ezres 7 2" xfId="50" xr:uid="{00000000-0005-0000-0000-000032000000}"/>
    <cellStyle name="Ezres 7 3" xfId="51" xr:uid="{00000000-0005-0000-0000-000033000000}"/>
    <cellStyle name="Ezres 8" xfId="52" xr:uid="{00000000-0005-0000-0000-000034000000}"/>
    <cellStyle name="Ezres 9" xfId="93" xr:uid="{00000000-0005-0000-0000-000035000000}"/>
    <cellStyle name="Good" xfId="53" xr:uid="{00000000-0005-0000-0000-000036000000}"/>
    <cellStyle name="Heading 1" xfId="54" xr:uid="{00000000-0005-0000-0000-000037000000}"/>
    <cellStyle name="Heading 2" xfId="55" xr:uid="{00000000-0005-0000-0000-000038000000}"/>
    <cellStyle name="Heading 3" xfId="56" xr:uid="{00000000-0005-0000-0000-000039000000}"/>
    <cellStyle name="Heading 4" xfId="57" xr:uid="{00000000-0005-0000-0000-00003A000000}"/>
    <cellStyle name="Input" xfId="58" xr:uid="{00000000-0005-0000-0000-00003B000000}"/>
    <cellStyle name="Linked Cell" xfId="59" xr:uid="{00000000-0005-0000-0000-00003C000000}"/>
    <cellStyle name="Neutral" xfId="60" xr:uid="{00000000-0005-0000-0000-00003D000000}"/>
    <cellStyle name="Normál" xfId="0" builtinId="0"/>
    <cellStyle name="Normál 2" xfId="61" xr:uid="{00000000-0005-0000-0000-00003F000000}"/>
    <cellStyle name="Normál 2 2" xfId="62" xr:uid="{00000000-0005-0000-0000-000040000000}"/>
    <cellStyle name="Normál 2 3" xfId="63" xr:uid="{00000000-0005-0000-0000-000041000000}"/>
    <cellStyle name="Normál 2 3 2" xfId="91" xr:uid="{00000000-0005-0000-0000-000042000000}"/>
    <cellStyle name="Normál 2 3 2 2" xfId="97" xr:uid="{00000000-0005-0000-0000-000043000000}"/>
    <cellStyle name="Normál 2 3 2 2 2" xfId="109" xr:uid="{00000000-0005-0000-0000-000044000000}"/>
    <cellStyle name="Normál 2 3 2 3" xfId="98" xr:uid="{00000000-0005-0000-0000-000045000000}"/>
    <cellStyle name="Normál 2 3 2 4" xfId="108" xr:uid="{00000000-0005-0000-0000-000046000000}"/>
    <cellStyle name="Normál 2 3 3" xfId="99" xr:uid="{00000000-0005-0000-0000-000047000000}"/>
    <cellStyle name="Normál 2 4" xfId="64" xr:uid="{00000000-0005-0000-0000-000048000000}"/>
    <cellStyle name="Normál 2 5" xfId="94" xr:uid="{00000000-0005-0000-0000-000049000000}"/>
    <cellStyle name="Normál 2_4.4.5 utca Könyvvizsgálói tábla" xfId="65" xr:uid="{00000000-0005-0000-0000-00004A000000}"/>
    <cellStyle name="Normál 3" xfId="66" xr:uid="{00000000-0005-0000-0000-00004B000000}"/>
    <cellStyle name="Normál 3 2" xfId="100" xr:uid="{00000000-0005-0000-0000-00004C000000}"/>
    <cellStyle name="Normál 4" xfId="67" xr:uid="{00000000-0005-0000-0000-00004D000000}"/>
    <cellStyle name="Normál 4 2" xfId="101" xr:uid="{00000000-0005-0000-0000-00004E000000}"/>
    <cellStyle name="Normál 5" xfId="68" xr:uid="{00000000-0005-0000-0000-00004F000000}"/>
    <cellStyle name="Normál 5 2" xfId="69" xr:uid="{00000000-0005-0000-0000-000050000000}"/>
    <cellStyle name="Normál 5 3" xfId="102" xr:uid="{00000000-0005-0000-0000-000051000000}"/>
    <cellStyle name="Normál 5 4" xfId="110" xr:uid="{00000000-0005-0000-0000-000052000000}"/>
    <cellStyle name="Normál 5 4 2" xfId="111" xr:uid="{00000000-0005-0000-0000-000053000000}"/>
    <cellStyle name="Normál 5 4 2 2" xfId="112" xr:uid="{57B36C2F-8FF3-49B3-AF34-EDFFBDF66DC9}"/>
    <cellStyle name="Normál 6" xfId="70" xr:uid="{00000000-0005-0000-0000-000054000000}"/>
    <cellStyle name="Normál 7" xfId="71" xr:uid="{00000000-0005-0000-0000-000055000000}"/>
    <cellStyle name="Normál 7 2" xfId="72" xr:uid="{00000000-0005-0000-0000-000056000000}"/>
    <cellStyle name="Normál 7 2 2" xfId="73" xr:uid="{00000000-0005-0000-0000-000057000000}"/>
    <cellStyle name="Normál 8" xfId="74" xr:uid="{00000000-0005-0000-0000-000058000000}"/>
    <cellStyle name="Normál 9" xfId="92" xr:uid="{00000000-0005-0000-0000-000059000000}"/>
    <cellStyle name="Normál_2005.2.a-2.etábl. terv" xfId="75" xr:uid="{00000000-0005-0000-0000-00005A000000}"/>
    <cellStyle name="Note" xfId="76" xr:uid="{00000000-0005-0000-0000-00005B000000}"/>
    <cellStyle name="Note 2" xfId="77" xr:uid="{00000000-0005-0000-0000-00005C000000}"/>
    <cellStyle name="Output" xfId="78" xr:uid="{00000000-0005-0000-0000-00005D000000}"/>
    <cellStyle name="Pénznem" xfId="79" builtinId="4"/>
    <cellStyle name="Pénznem 2" xfId="80" xr:uid="{00000000-0005-0000-0000-00005F000000}"/>
    <cellStyle name="Pénznem 2 2" xfId="81" xr:uid="{00000000-0005-0000-0000-000060000000}"/>
    <cellStyle name="Pénznem 2 2 2" xfId="105" xr:uid="{00000000-0005-0000-0000-000061000000}"/>
    <cellStyle name="Pénznem 2 3" xfId="96" xr:uid="{00000000-0005-0000-0000-000062000000}"/>
    <cellStyle name="Pénznem 2 4" xfId="104" xr:uid="{00000000-0005-0000-0000-000063000000}"/>
    <cellStyle name="Pénznem 3" xfId="82" xr:uid="{00000000-0005-0000-0000-000064000000}"/>
    <cellStyle name="Pénznem 3 2" xfId="83" xr:uid="{00000000-0005-0000-0000-000065000000}"/>
    <cellStyle name="Pénznem 3 2 2" xfId="107" xr:uid="{00000000-0005-0000-0000-000066000000}"/>
    <cellStyle name="Pénznem 3 3" xfId="106" xr:uid="{00000000-0005-0000-0000-000067000000}"/>
    <cellStyle name="Pénznem 4" xfId="103" xr:uid="{00000000-0005-0000-0000-000068000000}"/>
    <cellStyle name="Pénznem 5" xfId="113" xr:uid="{FA77ACA3-A6FB-4FC4-BE47-9BD7527959A5}"/>
    <cellStyle name="Százalék" xfId="84" builtinId="5"/>
    <cellStyle name="Százalék 2" xfId="85" xr:uid="{00000000-0005-0000-0000-00006A000000}"/>
    <cellStyle name="Százalék 3" xfId="86" xr:uid="{00000000-0005-0000-0000-00006B000000}"/>
    <cellStyle name="Százalék 3 2" xfId="87" xr:uid="{00000000-0005-0000-0000-00006C000000}"/>
    <cellStyle name="Title" xfId="88" xr:uid="{00000000-0005-0000-0000-00006D000000}"/>
    <cellStyle name="Total" xfId="89" xr:uid="{00000000-0005-0000-0000-00006E000000}"/>
    <cellStyle name="Warning Text" xfId="90" xr:uid="{00000000-0005-0000-0000-00006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233;nz&#252;gy/2023/El&#337;ir&#225;nyzat%20m&#243;dos&#237;t&#225;sok/janu&#225;r-m&#225;rcius/4.%20napirendi%20pont%201.%20sz&#225;m&#250;%20mell&#233;klete%20v&#233;gleg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hivatal\Users\Erika\AppData\Local\Temp\Rar$DIa0.800\2019.%20&#233;vi%20k&#246;lts&#233;gvet&#233;shez%20maradv&#225;ny\&#246;sszehasonl&#237;t&#243;%2001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K&#246;z&#246;s/K&#201;PVISEL&#336;-TEST&#220;LET%20IRATAI/EL&#336;TERJESZT&#201;SEK/2020/2020.%2002.%2024/3.%20sz.%20el&#337;terjeszt&#233;s%201.%20mell&#233;klete%20V&#201;GLEGES%20TEST&#220;LETIN%20ELFOGADOTT.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Zoli\Desktop\2023.%20&#233;vi%20k&#246;lts&#233;gvet&#233;s%2001.29..xlsx" TargetMode="External"/><Relationship Id="rId1" Type="http://schemas.openxmlformats.org/officeDocument/2006/relationships/externalLinkPath" Target="file:///C:\Users\Zoli\Desktop\2023.%20&#233;vi%20k&#246;lts&#233;gvet&#233;s%2001.29..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server\Hivatal\P&#233;nz&#252;gy\2023\El&#337;ir&#225;nyzat%20m&#243;dos&#237;t&#225;sok\december\Likvidit&#225;s%20Erika.xlsx" TargetMode="External"/><Relationship Id="rId1" Type="http://schemas.openxmlformats.org/officeDocument/2006/relationships/externalLinkPath" Target="Likvidit&#225;s%20Erik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 sz. Önkormányzat  "/>
      <sheetName val="2.1. sz. PMH"/>
      <sheetName val="2.2. sz. Hétszínvirág Óvoda"/>
      <sheetName val="2.3. sz. Mese Óvoda"/>
      <sheetName val="2.4. sz. Bölcsőde"/>
      <sheetName val="2.5. sz. Gyermekjóléti"/>
      <sheetName val="2.6 sz. Területi"/>
      <sheetName val="2.7. sz. Könyvtár"/>
      <sheetName val="2.8. sz. Műv.Ház"/>
      <sheetName val="2.9. sz. Szivárvány Ó."/>
      <sheetName val="2.10. sz. Intézmények összesen"/>
      <sheetName val="3. sz.Városi szintű összesen"/>
      <sheetName val="4.sz.Felhalm.c.pe.átadás"/>
      <sheetName val="5.sz.Műk.c.pe.átadás"/>
      <sheetName val="6.sz. Beruházások"/>
      <sheetName val="7. sz. Felújítások"/>
      <sheetName val="8.sz.Tartalékok"/>
      <sheetName val="9.sz. Szociális"/>
      <sheetName val="10.sz.Intézményfinanszírozás"/>
      <sheetName val="11.a.sz. Műk.célú tám.ÁHbelül"/>
      <sheetName val="11.b.sz.Állami támogatás"/>
      <sheetName val="12.sz. Felh.célú tám.ÁHbelül"/>
      <sheetName val="13.sz. Közhatalmi bevételek"/>
      <sheetName val="14.sz. Felhalm. bevételek"/>
      <sheetName val="15.sz.mell. Létszámtábla"/>
      <sheetName val="1.sz.tájék.tábla Közvetett tám"/>
      <sheetName val="2.sz.tájék.táblaMérlegszerű"/>
      <sheetName val="3.sz.tájék.táblaGördülő"/>
      <sheetName val="4.sz.tájék.táb. Többéves "/>
      <sheetName val="5.sz.tájék.táb Adósságszolg"/>
      <sheetName val="6.sz.tájék.tábla Hitelképes"/>
      <sheetName val="7.sz.táj.tábla Likviditási terv"/>
      <sheetName val="8.sztájék.tábla Ütemterv"/>
      <sheetName val="9.sz.tájék.EU-s pály."/>
      <sheetName val="10. sz.tájék.Nem EU-s pály."/>
      <sheetName val="2.sz.tájék.tábla Mérlegszerű"/>
      <sheetName val="3.sz.tájék.tábla Gördülő"/>
      <sheetName val="4.sz.tájék.táb. Többéves"/>
      <sheetName val="5.sz.tájék.táb Adósságszolgálat"/>
      <sheetName val="6.sz.tájék.tábla Hitelképes "/>
      <sheetName val="7.sz.tájék.táb.Likviditási terv"/>
      <sheetName val="8.sz.tájék.tábla Ütemterv"/>
      <sheetName val="9. sz. tájék.tábla EU-s pály."/>
      <sheetName val="10. sz.tájék.Nem EU-s pály. "/>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
          <cell r="G8">
            <v>4000000</v>
          </cell>
        </row>
        <row r="9">
          <cell r="G9">
            <v>4000000</v>
          </cell>
        </row>
        <row r="10">
          <cell r="E10">
            <v>500000</v>
          </cell>
        </row>
        <row r="11">
          <cell r="E11">
            <v>1000000</v>
          </cell>
        </row>
        <row r="12">
          <cell r="G12">
            <v>6000000</v>
          </cell>
        </row>
        <row r="14">
          <cell r="G14">
            <v>1320000</v>
          </cell>
        </row>
      </sheetData>
      <sheetData sheetId="13">
        <row r="7">
          <cell r="G7">
            <v>14856000</v>
          </cell>
        </row>
        <row r="8">
          <cell r="G8">
            <v>33616800</v>
          </cell>
        </row>
        <row r="10">
          <cell r="G10">
            <v>3000000</v>
          </cell>
        </row>
        <row r="16">
          <cell r="G16">
            <v>3080000</v>
          </cell>
        </row>
        <row r="18">
          <cell r="G18">
            <v>159260600</v>
          </cell>
        </row>
        <row r="23">
          <cell r="E23">
            <v>4000000</v>
          </cell>
        </row>
        <row r="24">
          <cell r="E24">
            <v>5650000</v>
          </cell>
        </row>
        <row r="25">
          <cell r="E25">
            <v>2200000</v>
          </cell>
        </row>
        <row r="26">
          <cell r="G26">
            <v>3940000</v>
          </cell>
        </row>
        <row r="33">
          <cell r="G33">
            <v>12000000</v>
          </cell>
        </row>
        <row r="35">
          <cell r="G35">
            <v>88000000</v>
          </cell>
        </row>
        <row r="43">
          <cell r="E43">
            <v>4000000</v>
          </cell>
        </row>
        <row r="44">
          <cell r="E44">
            <v>18600000</v>
          </cell>
        </row>
        <row r="45">
          <cell r="E45">
            <v>4000000</v>
          </cell>
        </row>
      </sheetData>
      <sheetData sheetId="14"/>
      <sheetData sheetId="15"/>
      <sheetData sheetId="16"/>
      <sheetData sheetId="17">
        <row r="8">
          <cell r="E8">
            <v>18000000</v>
          </cell>
        </row>
        <row r="9">
          <cell r="E9">
            <v>4000000</v>
          </cell>
        </row>
        <row r="10">
          <cell r="E10">
            <v>500000</v>
          </cell>
        </row>
        <row r="11">
          <cell r="E11">
            <v>1500000</v>
          </cell>
        </row>
        <row r="12">
          <cell r="E12">
            <v>2300000</v>
          </cell>
        </row>
        <row r="13">
          <cell r="E13">
            <v>2000000</v>
          </cell>
        </row>
        <row r="14">
          <cell r="E14">
            <v>3000000</v>
          </cell>
        </row>
        <row r="15">
          <cell r="E15">
            <v>500000</v>
          </cell>
        </row>
        <row r="16">
          <cell r="E16">
            <v>200000</v>
          </cell>
        </row>
        <row r="18">
          <cell r="E18">
            <v>7000000</v>
          </cell>
        </row>
        <row r="19">
          <cell r="E19">
            <v>7000000</v>
          </cell>
        </row>
      </sheetData>
      <sheetData sheetId="18"/>
      <sheetData sheetId="19">
        <row r="8">
          <cell r="E8">
            <v>2044595416</v>
          </cell>
        </row>
        <row r="10">
          <cell r="G10">
            <v>2669208</v>
          </cell>
        </row>
      </sheetData>
      <sheetData sheetId="20"/>
      <sheetData sheetId="21"/>
      <sheetData sheetId="22">
        <row r="8">
          <cell r="E8">
            <v>790000000</v>
          </cell>
        </row>
        <row r="9">
          <cell r="E9">
            <v>230000000</v>
          </cell>
        </row>
        <row r="10">
          <cell r="E10">
            <v>70000000</v>
          </cell>
        </row>
        <row r="11">
          <cell r="F11">
            <v>160000</v>
          </cell>
        </row>
        <row r="12">
          <cell r="G12">
            <v>3650000000</v>
          </cell>
        </row>
        <row r="13">
          <cell r="H13">
            <v>0</v>
          </cell>
        </row>
        <row r="14">
          <cell r="I14">
            <v>55337756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ézmények"/>
      <sheetName val="maradvánnyal"/>
      <sheetName val="Munka1"/>
    </sheetNames>
    <sheetDataSet>
      <sheetData sheetId="0" refreshError="1"/>
      <sheetData sheetId="1" refreshError="1"/>
      <sheetData sheetId="2">
        <row r="94">
          <cell r="D94">
            <v>2351625349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 sz. Önkormányzat 2020. "/>
      <sheetName val="2.1. sz. PMH"/>
      <sheetName val="2.2. sz. Hétszínvirág Óvoda"/>
      <sheetName val="2.3. sz. Mese Óvoda"/>
      <sheetName val="2.4. sz. Bölcsőde"/>
      <sheetName val="2.5. sz. Gyermekjóléti"/>
      <sheetName val="2.6 sz. Területi"/>
      <sheetName val="2.7. sz. Könyvtár"/>
      <sheetName val="2.8. sz. Műv.Ház"/>
      <sheetName val="2.9. sz. Szivárvány Ó."/>
      <sheetName val="2.10. sz. Intézmények összesen"/>
      <sheetName val="3. sz.Városi szintű összesen"/>
      <sheetName val="4.sz.Felhalm.c.pe.átadás"/>
      <sheetName val="5.sz.Műk.c.pe.átadás"/>
      <sheetName val="6.sz. Beruházások"/>
      <sheetName val="7. sz. Felújítások"/>
      <sheetName val="8.sz.Tartalékok"/>
      <sheetName val="9.sz. Szociális"/>
      <sheetName val="10.sz.Intézményfinanszírozás"/>
      <sheetName val="11.sz. Állami támogatás"/>
      <sheetName val="12.sz.mell. Létszámtábla"/>
      <sheetName val="1.sz.tájék.tábla Közvetett tám"/>
      <sheetName val="2.sz.tájék.tábla Mérlegszerű"/>
      <sheetName val="3.sz.tájék.tábla Gördülő"/>
      <sheetName val="4.sz.tájék.táb. Többéves"/>
      <sheetName val="5.sz.tájék.táb Adósságszolgálat"/>
      <sheetName val="6.sz.tájék.tábla Hitelképes "/>
      <sheetName val="7.sz.tájék.táb.Likviditási terv"/>
      <sheetName val="8.sz.tájék.tábla Ütemterv"/>
      <sheetName val="9. sz. tájék.tábla EU-s pály."/>
      <sheetName val="10. sz.tájék.Nem EU-s pály. "/>
    </sheetNames>
    <sheetDataSet>
      <sheetData sheetId="0">
        <row r="8">
          <cell r="CP8">
            <v>1377714</v>
          </cell>
        </row>
      </sheetData>
      <sheetData sheetId="1"/>
      <sheetData sheetId="2"/>
      <sheetData sheetId="3"/>
      <sheetData sheetId="4"/>
      <sheetData sheetId="5"/>
      <sheetData sheetId="6"/>
      <sheetData sheetId="7"/>
      <sheetData sheetId="8"/>
      <sheetData sheetId="9"/>
      <sheetData sheetId="10"/>
      <sheetData sheetId="11">
        <row r="8">
          <cell r="G8">
            <v>1870584379</v>
          </cell>
        </row>
        <row r="29">
          <cell r="G29">
            <v>10344621437</v>
          </cell>
        </row>
        <row r="39">
          <cell r="G39">
            <v>0</v>
          </cell>
        </row>
        <row r="44">
          <cell r="G44">
            <v>0</v>
          </cell>
        </row>
        <row r="45">
          <cell r="G45">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6">
          <cell r="D6">
            <v>85444588</v>
          </cell>
        </row>
      </sheetData>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a sz. Önkormányzat  "/>
      <sheetName val="1.b sz. Önkormányzat  "/>
      <sheetName val="2.1. sz. PMH"/>
      <sheetName val="2.2. sz. Hétszínvirág Óvoda"/>
      <sheetName val="2.3. sz. Mese Óvoda"/>
      <sheetName val="2.4. sz. Bölcsőde"/>
      <sheetName val="2.5. sz. Gyermekjóléti"/>
      <sheetName val="2.6 sz. Területi"/>
      <sheetName val="2.7. sz. Könyvtár"/>
      <sheetName val="2.8. sz. Műv.Ház"/>
      <sheetName val="2.9. sz. Szivárvány Ó."/>
      <sheetName val="2.10. sz. Intézmények összesen"/>
      <sheetName val="3. sz.Városi szintű összesen"/>
      <sheetName val="4.sz.Felhalm.c.pe.átadás"/>
      <sheetName val="5.sz.Műk.c.pe.átadás"/>
      <sheetName val="6.sz. Beruházások"/>
      <sheetName val="7. sz. Felújítások"/>
      <sheetName val="8.sz.Tartalékok"/>
      <sheetName val="9.sz. Szociális"/>
      <sheetName val="10.sz.Intézményfinanszírozás"/>
      <sheetName val="11.a.sz. Műk.célú tám.ÁHbelül"/>
      <sheetName val="11.b.sz.Állami támogatás"/>
      <sheetName val="12.sz. Felh.célú tám.ÁHbelül"/>
      <sheetName val="13.sz. Közhatalmi bevételek"/>
      <sheetName val="14.sz. Felhalm. bevételek"/>
      <sheetName val="15.sz.mell. Létszámtábla"/>
      <sheetName val="1.sz.tájék.tábla Közvetett tám"/>
      <sheetName val="2.sz.tájék.táblaMérlegszerű"/>
      <sheetName val="3.sz.tájék.táblaGördülő"/>
      <sheetName val="4.sz.tájék.táb. Többéves "/>
      <sheetName val="5.sz.tájék.táb Adósságszolg"/>
      <sheetName val="6.sz.tájék.tábla Hitelképes"/>
      <sheetName val="7.sz.táj.tábla Likviditási terv"/>
      <sheetName val="8.sztájék.tábla Ütemterv"/>
      <sheetName val="9.sz.tájék.EU-s pály."/>
      <sheetName val="10. sz.tájék.Nem EU-s pály."/>
      <sheetName val="1.sz.függ.Önkormány bev-kiad"/>
      <sheetName val="2.sz.függ.PMH bev-kiad"/>
      <sheetName val="3.sz.függ.Ter.Gond"/>
      <sheetName val="4.sz.függ.Könyvtár"/>
      <sheetName val="5.sz.függ.Hétszínvirág Ó."/>
      <sheetName val="6.sz.függ.Mese Ó."/>
      <sheetName val="7.sz.függ.Bölcsőde"/>
      <sheetName val="8.sz.függ.Gyermekjóléti"/>
      <sheetName val="9.sz.függ.Szivárvány Ó."/>
      <sheetName val="10.sz.függ.József A. MűvHáz"/>
      <sheetName val="11.sz.függ.Mindösszesen"/>
      <sheetName val="12.sz.függ.Tartalékok vált."/>
      <sheetName val="2.sz.tájék.tábla Mérlegszerű"/>
      <sheetName val="3.sz.tájék.tábla Gördülő"/>
      <sheetName val="4.sz.tájék.táb. Többéves"/>
      <sheetName val="5.sz.tájék.táb Adósságszolgálat"/>
      <sheetName val="6.sz.tájék.tábla Hitelképes "/>
      <sheetName val="7.sz.tájék.táb.Likviditási terv"/>
      <sheetName val="8.sz.tájék.tábla Ütemterv"/>
      <sheetName val="9. sz. tájék.tábla EU-s pály."/>
      <sheetName val="10. sz.tájék.Nem EU-s pály. "/>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
          <cell r="K8">
            <v>3040832223</v>
          </cell>
        </row>
        <row r="9">
          <cell r="K9">
            <v>448268717</v>
          </cell>
        </row>
        <row r="10">
          <cell r="K10">
            <v>4531015441</v>
          </cell>
        </row>
        <row r="11">
          <cell r="K11">
            <v>46000000</v>
          </cell>
        </row>
        <row r="12">
          <cell r="K12">
            <v>4243588325</v>
          </cell>
        </row>
        <row r="16">
          <cell r="K16">
            <v>2375780545</v>
          </cell>
        </row>
        <row r="17">
          <cell r="K17">
            <v>334136454</v>
          </cell>
        </row>
        <row r="18">
          <cell r="K18">
            <v>43477245</v>
          </cell>
        </row>
        <row r="21">
          <cell r="K21">
            <v>4975022252</v>
          </cell>
        </row>
        <row r="30">
          <cell r="K30">
            <v>2601160871</v>
          </cell>
        </row>
        <row r="31">
          <cell r="K31">
            <v>369680630</v>
          </cell>
        </row>
        <row r="32">
          <cell r="K32">
            <v>6700253232</v>
          </cell>
        </row>
        <row r="33">
          <cell r="K33">
            <v>1301505199</v>
          </cell>
        </row>
        <row r="34">
          <cell r="K34">
            <v>1860596</v>
          </cell>
        </row>
        <row r="35">
          <cell r="K35">
            <v>2592993</v>
          </cell>
        </row>
        <row r="36">
          <cell r="K36">
            <v>13743950</v>
          </cell>
        </row>
        <row r="38">
          <cell r="K38">
            <v>9047323731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23"/>
      <sheetName val="2022. évi"/>
    </sheetNames>
    <sheetDataSet>
      <sheetData sheetId="0"/>
      <sheetData sheetId="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IG61"/>
  <sheetViews>
    <sheetView view="pageBreakPreview" zoomScale="80" zoomScaleNormal="80" zoomScaleSheetLayoutView="80" workbookViewId="0">
      <pane xSplit="3" ySplit="7" topLeftCell="HV22" activePane="bottomRight" state="frozen"/>
      <selection pane="topRight" activeCell="D1" sqref="D1"/>
      <selection pane="bottomLeft" activeCell="A8" sqref="A8"/>
      <selection pane="bottomRight" activeCell="HE29" sqref="HE29"/>
    </sheetView>
  </sheetViews>
  <sheetFormatPr defaultColWidth="16.5703125" defaultRowHeight="15.75" x14ac:dyDescent="0.25"/>
  <cols>
    <col min="1" max="1" width="7" style="273" customWidth="1"/>
    <col min="2" max="2" width="69.5703125" style="248" customWidth="1"/>
    <col min="3" max="3" width="7.42578125" style="270" customWidth="1"/>
    <col min="4" max="5" width="18.28515625" style="248" customWidth="1"/>
    <col min="6" max="7" width="18.7109375" style="248" customWidth="1"/>
    <col min="8" max="9" width="19" style="248" customWidth="1"/>
    <col min="10" max="11" width="18.85546875" style="248" customWidth="1"/>
    <col min="12" max="15" width="18.7109375" style="248" customWidth="1"/>
    <col min="16" max="16" width="18.28515625" style="248" customWidth="1"/>
    <col min="17" max="17" width="19.42578125" style="248" customWidth="1"/>
    <col min="18" max="19" width="18.28515625" style="248" customWidth="1"/>
    <col min="20" max="21" width="18.42578125" style="248" customWidth="1"/>
    <col min="22" max="23" width="18.5703125" style="248" customWidth="1"/>
    <col min="24" max="25" width="18.28515625" style="248" customWidth="1"/>
    <col min="26" max="27" width="18.140625" style="248" customWidth="1"/>
    <col min="28" max="29" width="18.42578125" style="248" customWidth="1"/>
    <col min="30" max="31" width="18.28515625" style="248" customWidth="1"/>
    <col min="32" max="33" width="18.140625" style="248" customWidth="1"/>
    <col min="34" max="35" width="18.5703125" style="290" customWidth="1"/>
    <col min="36" max="37" width="18.140625" style="248" customWidth="1"/>
    <col min="38" max="39" width="18.28515625" style="248" customWidth="1"/>
    <col min="40" max="41" width="18.28515625" style="246" customWidth="1"/>
    <col min="42" max="43" width="18.7109375" style="246" customWidth="1"/>
    <col min="44" max="47" width="18.28515625" style="246" customWidth="1"/>
    <col min="48" max="49" width="18.140625" style="246" customWidth="1"/>
    <col min="50" max="51" width="18.5703125" style="246" customWidth="1"/>
    <col min="52" max="55" width="18.42578125" style="248" customWidth="1"/>
    <col min="56" max="59" width="18.140625" style="248" customWidth="1"/>
    <col min="60" max="61" width="18.28515625" style="248" customWidth="1"/>
    <col min="62" max="67" width="18.42578125" style="248" customWidth="1"/>
    <col min="68" max="68" width="24.5703125" style="246" customWidth="1"/>
    <col min="69" max="69" width="23.7109375" style="246" customWidth="1"/>
    <col min="70" max="71" width="18.28515625" style="246" customWidth="1"/>
    <col min="72" max="73" width="18.140625" style="246" customWidth="1"/>
    <col min="74" max="75" width="18.42578125" style="246" customWidth="1"/>
    <col min="76" max="77" width="18.28515625" style="248" customWidth="1"/>
    <col min="78" max="79" width="18.140625" style="248" customWidth="1"/>
    <col min="80" max="81" width="18.5703125" style="248" customWidth="1"/>
    <col min="82" max="83" width="18.140625" style="246" customWidth="1"/>
    <col min="84" max="85" width="18.7109375" style="246" customWidth="1"/>
    <col min="86" max="87" width="18.140625" style="248" customWidth="1"/>
    <col min="88" max="89" width="18.42578125" style="248" customWidth="1"/>
    <col min="90" max="91" width="18.28515625" style="248" customWidth="1"/>
    <col min="92" max="93" width="18.42578125" style="248" customWidth="1"/>
    <col min="94" max="95" width="18.28515625" style="248" customWidth="1"/>
    <col min="96" max="97" width="18.28515625" style="246" customWidth="1"/>
    <col min="98" max="99" width="18.7109375" style="248" customWidth="1"/>
    <col min="100" max="103" width="18.28515625" style="248" customWidth="1"/>
    <col min="104" max="105" width="18.5703125" style="248" customWidth="1"/>
    <col min="106" max="107" width="18.28515625" style="248" customWidth="1"/>
    <col min="108" max="109" width="23.5703125" style="248" customWidth="1"/>
    <col min="110" max="111" width="18.5703125" style="248" customWidth="1"/>
    <col min="112" max="113" width="18.42578125" style="248" customWidth="1"/>
    <col min="114" max="115" width="18.5703125" style="248" customWidth="1"/>
    <col min="116" max="117" width="19.140625" style="246" customWidth="1"/>
    <col min="118" max="119" width="18.140625" style="246" customWidth="1"/>
    <col min="120" max="121" width="18.42578125" style="248" customWidth="1"/>
    <col min="122" max="123" width="18.140625" style="248" customWidth="1"/>
    <col min="124" max="125" width="18.28515625" style="246" customWidth="1"/>
    <col min="126" max="127" width="18.42578125" style="246" customWidth="1"/>
    <col min="128" max="129" width="19" style="246" customWidth="1"/>
    <col min="130" max="131" width="18.5703125" style="290" customWidth="1"/>
    <col min="132" max="137" width="18.5703125" style="248" customWidth="1"/>
    <col min="138" max="143" width="18.42578125" style="248" customWidth="1"/>
    <col min="144" max="145" width="18.7109375" style="248" customWidth="1"/>
    <col min="146" max="147" width="18.42578125" style="248" customWidth="1"/>
    <col min="148" max="149" width="18.42578125" style="290" customWidth="1"/>
    <col min="150" max="151" width="18.140625" style="248" customWidth="1"/>
    <col min="152" max="153" width="18.28515625" style="248" customWidth="1"/>
    <col min="154" max="155" width="18.42578125" style="248" customWidth="1"/>
    <col min="156" max="157" width="18.28515625" style="248" customWidth="1"/>
    <col min="158" max="161" width="22.140625" style="248" customWidth="1"/>
    <col min="162" max="163" width="21.7109375" style="248" customWidth="1"/>
    <col min="164" max="165" width="18.5703125" style="248" customWidth="1"/>
    <col min="166" max="166" width="18.85546875" style="248" customWidth="1"/>
    <col min="167" max="167" width="18.28515625" style="248" customWidth="1"/>
    <col min="168" max="169" width="19.5703125" style="248" customWidth="1"/>
    <col min="170" max="171" width="18.85546875" style="248" customWidth="1"/>
    <col min="172" max="173" width="18.42578125" style="248" customWidth="1"/>
    <col min="174" max="175" width="19.28515625" style="248" customWidth="1"/>
    <col min="176" max="179" width="18.42578125" style="246" customWidth="1"/>
    <col min="180" max="181" width="20" style="246" customWidth="1"/>
    <col min="182" max="183" width="18.42578125" style="246" customWidth="1"/>
    <col min="184" max="185" width="21.140625" style="246" customWidth="1"/>
    <col min="186" max="187" width="18.7109375" style="246" customWidth="1"/>
    <col min="188" max="189" width="18.42578125" style="248" customWidth="1"/>
    <col min="190" max="191" width="20.5703125" style="248" customWidth="1"/>
    <col min="192" max="193" width="18.42578125" style="246" customWidth="1"/>
    <col min="194" max="195" width="18.5703125" style="246" customWidth="1"/>
    <col min="196" max="197" width="20.7109375" style="294" customWidth="1"/>
    <col min="198" max="201" width="21.28515625" style="294" customWidth="1"/>
    <col min="202" max="203" width="21.7109375" style="294" customWidth="1"/>
    <col min="204" max="205" width="21.28515625" style="294" customWidth="1"/>
    <col min="206" max="207" width="19.28515625" style="294" customWidth="1"/>
    <col min="208" max="209" width="18.5703125" style="294" customWidth="1"/>
    <col min="210" max="211" width="18.42578125" style="248" customWidth="1"/>
    <col min="212" max="215" width="18.85546875" style="248" customWidth="1"/>
    <col min="216" max="217" width="19" style="248" customWidth="1"/>
    <col min="218" max="219" width="18.42578125" style="248" customWidth="1"/>
    <col min="220" max="221" width="18.5703125" style="248" customWidth="1"/>
    <col min="222" max="223" width="18.28515625" style="248" customWidth="1"/>
    <col min="224" max="225" width="18.7109375" style="248" customWidth="1"/>
    <col min="226" max="227" width="18.85546875" style="248" customWidth="1"/>
    <col min="228" max="237" width="18.5703125" style="248" customWidth="1"/>
    <col min="238" max="238" width="21.85546875" style="248" bestFit="1" customWidth="1"/>
    <col min="239" max="239" width="21.85546875" style="248" customWidth="1"/>
    <col min="240" max="16384" width="16.5703125" style="248"/>
  </cols>
  <sheetData>
    <row r="1" spans="1:241" ht="22.5" customHeight="1" x14ac:dyDescent="0.25">
      <c r="A1" s="246"/>
      <c r="B1" s="246"/>
      <c r="C1" s="247"/>
      <c r="D1" s="246"/>
      <c r="E1" s="246"/>
      <c r="F1" s="744"/>
      <c r="G1" s="744" t="s">
        <v>431</v>
      </c>
      <c r="H1" s="744"/>
      <c r="I1" s="744"/>
      <c r="J1" s="744"/>
      <c r="K1" s="744" t="s">
        <v>431</v>
      </c>
      <c r="L1" s="246"/>
      <c r="M1" s="246"/>
      <c r="N1" s="744"/>
      <c r="O1" s="744" t="s">
        <v>431</v>
      </c>
      <c r="P1" s="744"/>
      <c r="Q1" s="744"/>
      <c r="R1" s="744"/>
      <c r="S1" s="744" t="s">
        <v>431</v>
      </c>
      <c r="T1" s="246"/>
      <c r="U1" s="246"/>
      <c r="V1" s="744"/>
      <c r="W1" s="744" t="s">
        <v>431</v>
      </c>
      <c r="X1" s="744"/>
      <c r="Y1" s="744"/>
      <c r="Z1" s="744"/>
      <c r="AA1" s="744" t="s">
        <v>431</v>
      </c>
      <c r="AB1" s="246"/>
      <c r="AC1" s="246"/>
      <c r="AD1" s="744"/>
      <c r="AE1" s="744" t="s">
        <v>431</v>
      </c>
      <c r="AF1" s="744"/>
      <c r="AG1" s="744"/>
      <c r="AH1" s="744"/>
      <c r="AI1" s="744" t="s">
        <v>431</v>
      </c>
      <c r="AJ1" s="246"/>
      <c r="AK1" s="246"/>
      <c r="AL1" s="744"/>
      <c r="AM1" s="744" t="s">
        <v>431</v>
      </c>
      <c r="AN1" s="744"/>
      <c r="AO1" s="744"/>
      <c r="AP1" s="744"/>
      <c r="AQ1" s="744" t="s">
        <v>431</v>
      </c>
      <c r="AT1" s="744"/>
      <c r="AU1" s="744" t="s">
        <v>431</v>
      </c>
      <c r="AV1" s="744"/>
      <c r="AW1" s="744"/>
      <c r="AX1" s="744"/>
      <c r="AY1" s="744" t="s">
        <v>431</v>
      </c>
      <c r="AZ1" s="246"/>
      <c r="BA1" s="246"/>
      <c r="BB1" s="744"/>
      <c r="BC1" s="744" t="s">
        <v>431</v>
      </c>
      <c r="BD1" s="744"/>
      <c r="BE1" s="744"/>
      <c r="BF1" s="744"/>
      <c r="BG1" s="744" t="s">
        <v>431</v>
      </c>
      <c r="BH1" s="246"/>
      <c r="BI1" s="246"/>
      <c r="BJ1" s="744"/>
      <c r="BK1" s="744" t="s">
        <v>431</v>
      </c>
      <c r="BL1" s="744"/>
      <c r="BM1" s="744"/>
      <c r="BN1" s="744"/>
      <c r="BO1" s="744" t="s">
        <v>431</v>
      </c>
      <c r="BR1" s="744"/>
      <c r="BS1" s="744" t="s">
        <v>431</v>
      </c>
      <c r="BT1" s="744"/>
      <c r="BU1" s="744"/>
      <c r="BV1" s="744"/>
      <c r="BW1" s="744" t="s">
        <v>431</v>
      </c>
      <c r="BX1" s="246"/>
      <c r="BY1" s="246"/>
      <c r="BZ1" s="744"/>
      <c r="CA1" s="744" t="s">
        <v>431</v>
      </c>
      <c r="CB1" s="744"/>
      <c r="CC1" s="744"/>
      <c r="CD1" s="744"/>
      <c r="CE1" s="744" t="s">
        <v>431</v>
      </c>
      <c r="CH1" s="744"/>
      <c r="CI1" s="744" t="s">
        <v>431</v>
      </c>
      <c r="CJ1" s="744"/>
      <c r="CK1" s="744"/>
      <c r="CL1" s="744"/>
      <c r="CM1" s="744" t="s">
        <v>431</v>
      </c>
      <c r="CN1" s="246"/>
      <c r="CO1" s="246"/>
      <c r="CP1" s="744"/>
      <c r="CQ1" s="744" t="s">
        <v>431</v>
      </c>
      <c r="CR1" s="744"/>
      <c r="CS1" s="744"/>
      <c r="CT1" s="744"/>
      <c r="CU1" s="744" t="s">
        <v>431</v>
      </c>
      <c r="CV1" s="246"/>
      <c r="CW1" s="246"/>
      <c r="CX1" s="246"/>
      <c r="CY1" s="744" t="s">
        <v>431</v>
      </c>
      <c r="CZ1" s="246"/>
      <c r="DA1" s="246"/>
      <c r="DB1" s="246"/>
      <c r="DC1" s="744" t="s">
        <v>431</v>
      </c>
      <c r="DD1" s="246"/>
      <c r="DE1" s="246"/>
      <c r="DF1" s="246"/>
      <c r="DG1" s="744" t="s">
        <v>431</v>
      </c>
      <c r="DH1" s="246"/>
      <c r="DI1" s="246"/>
      <c r="DJ1" s="246"/>
      <c r="DK1" s="744" t="s">
        <v>431</v>
      </c>
      <c r="DO1" s="744" t="s">
        <v>431</v>
      </c>
      <c r="DP1" s="246"/>
      <c r="DQ1" s="246"/>
      <c r="DR1" s="246"/>
      <c r="DS1" s="744" t="s">
        <v>431</v>
      </c>
      <c r="DW1" s="744" t="s">
        <v>431</v>
      </c>
      <c r="DZ1" s="246"/>
      <c r="EA1" s="744" t="s">
        <v>431</v>
      </c>
      <c r="EB1" s="246"/>
      <c r="EC1" s="246"/>
      <c r="ED1" s="246"/>
      <c r="EE1" s="744" t="s">
        <v>431</v>
      </c>
      <c r="EF1" s="246"/>
      <c r="EG1" s="246"/>
      <c r="EH1" s="246"/>
      <c r="EI1" s="744" t="s">
        <v>431</v>
      </c>
      <c r="EJ1" s="246"/>
      <c r="EK1" s="246"/>
      <c r="EL1" s="246"/>
      <c r="EM1" s="744" t="s">
        <v>431</v>
      </c>
      <c r="EN1" s="246"/>
      <c r="EO1" s="246"/>
      <c r="EP1" s="246"/>
      <c r="EQ1" s="744" t="s">
        <v>431</v>
      </c>
      <c r="ER1" s="246"/>
      <c r="ES1" s="246"/>
      <c r="ET1" s="246"/>
      <c r="EU1" s="744" t="s">
        <v>431</v>
      </c>
      <c r="EV1" s="246"/>
      <c r="EW1" s="246"/>
      <c r="EX1" s="246"/>
      <c r="EY1" s="744" t="s">
        <v>431</v>
      </c>
      <c r="EZ1" s="246"/>
      <c r="FA1" s="246"/>
      <c r="FB1" s="246"/>
      <c r="FC1" s="744" t="s">
        <v>431</v>
      </c>
      <c r="FD1" s="246"/>
      <c r="FE1" s="246"/>
      <c r="FF1" s="246"/>
      <c r="FG1" s="744" t="s">
        <v>431</v>
      </c>
      <c r="FH1" s="246"/>
      <c r="FI1" s="246"/>
      <c r="FJ1" s="246"/>
      <c r="FK1" s="744" t="s">
        <v>431</v>
      </c>
      <c r="FL1" s="246"/>
      <c r="FM1" s="246"/>
      <c r="FN1" s="246"/>
      <c r="FO1" s="744" t="s">
        <v>431</v>
      </c>
      <c r="FP1" s="246"/>
      <c r="FQ1" s="246"/>
      <c r="FR1" s="246"/>
      <c r="FS1" s="744" t="s">
        <v>431</v>
      </c>
      <c r="FW1" s="744" t="s">
        <v>431</v>
      </c>
      <c r="GA1" s="744" t="s">
        <v>431</v>
      </c>
      <c r="GE1" s="744" t="s">
        <v>431</v>
      </c>
      <c r="GF1" s="246"/>
      <c r="GG1" s="246"/>
      <c r="GH1" s="246"/>
      <c r="GI1" s="744" t="s">
        <v>431</v>
      </c>
      <c r="GM1" s="744" t="s">
        <v>431</v>
      </c>
      <c r="GN1" s="246"/>
      <c r="GO1" s="246"/>
      <c r="GP1" s="246"/>
      <c r="GQ1" s="744" t="s">
        <v>431</v>
      </c>
      <c r="GR1" s="246"/>
      <c r="GS1" s="246"/>
      <c r="GT1" s="246"/>
      <c r="GU1" s="744" t="s">
        <v>431</v>
      </c>
      <c r="GV1" s="246"/>
      <c r="GW1" s="246"/>
      <c r="GX1" s="246"/>
      <c r="GY1" s="744" t="s">
        <v>431</v>
      </c>
      <c r="GZ1" s="246"/>
      <c r="HA1" s="246"/>
      <c r="HB1" s="246"/>
      <c r="HC1" s="744" t="s">
        <v>431</v>
      </c>
      <c r="HD1" s="246"/>
      <c r="HE1" s="246"/>
      <c r="HF1" s="246"/>
      <c r="HG1" s="744" t="s">
        <v>431</v>
      </c>
      <c r="HH1" s="246"/>
      <c r="HI1" s="246"/>
      <c r="HJ1" s="246"/>
      <c r="HK1" s="744" t="s">
        <v>431</v>
      </c>
      <c r="HL1" s="246"/>
      <c r="HM1" s="246"/>
      <c r="HN1" s="246"/>
      <c r="HO1" s="744" t="s">
        <v>431</v>
      </c>
      <c r="HP1" s="246"/>
      <c r="HQ1" s="246"/>
      <c r="HR1" s="246"/>
      <c r="HS1" s="744" t="s">
        <v>431</v>
      </c>
      <c r="HT1" s="246"/>
      <c r="HU1" s="246"/>
      <c r="HV1" s="246"/>
      <c r="HW1" s="744" t="s">
        <v>431</v>
      </c>
      <c r="HX1" s="246"/>
      <c r="HY1" s="246"/>
      <c r="HZ1" s="246"/>
      <c r="IA1" s="744" t="s">
        <v>431</v>
      </c>
      <c r="IB1" s="246"/>
      <c r="IC1" s="744" t="s">
        <v>431</v>
      </c>
    </row>
    <row r="2" spans="1:241" ht="36" customHeight="1" x14ac:dyDescent="0.25">
      <c r="A2" s="1719" t="s">
        <v>252</v>
      </c>
      <c r="B2" s="1719"/>
      <c r="C2" s="1719"/>
      <c r="D2" s="1600" t="s">
        <v>273</v>
      </c>
      <c r="E2" s="1600" t="s">
        <v>1561</v>
      </c>
      <c r="F2" s="1600" t="s">
        <v>273</v>
      </c>
      <c r="G2" s="1600" t="s">
        <v>1561</v>
      </c>
      <c r="H2" s="1600" t="s">
        <v>273</v>
      </c>
      <c r="I2" s="1600" t="s">
        <v>1561</v>
      </c>
      <c r="J2" s="1600" t="s">
        <v>273</v>
      </c>
      <c r="K2" s="1600" t="s">
        <v>1561</v>
      </c>
      <c r="L2" s="1600" t="s">
        <v>273</v>
      </c>
      <c r="M2" s="1600" t="s">
        <v>1561</v>
      </c>
      <c r="N2" s="1600" t="s">
        <v>273</v>
      </c>
      <c r="O2" s="1600" t="s">
        <v>1561</v>
      </c>
      <c r="P2" s="1600" t="s">
        <v>273</v>
      </c>
      <c r="Q2" s="1600" t="s">
        <v>1561</v>
      </c>
      <c r="R2" s="1600" t="s">
        <v>273</v>
      </c>
      <c r="S2" s="1600" t="s">
        <v>1561</v>
      </c>
      <c r="T2" s="1600" t="s">
        <v>273</v>
      </c>
      <c r="U2" s="1600" t="s">
        <v>1561</v>
      </c>
      <c r="V2" s="1600" t="s">
        <v>273</v>
      </c>
      <c r="W2" s="1600" t="s">
        <v>1561</v>
      </c>
      <c r="X2" s="1600" t="s">
        <v>273</v>
      </c>
      <c r="Y2" s="1600" t="s">
        <v>1561</v>
      </c>
      <c r="Z2" s="1600" t="s">
        <v>273</v>
      </c>
      <c r="AA2" s="1600" t="s">
        <v>1561</v>
      </c>
      <c r="AB2" s="1600" t="s">
        <v>273</v>
      </c>
      <c r="AC2" s="1600" t="s">
        <v>1561</v>
      </c>
      <c r="AD2" s="1600" t="s">
        <v>273</v>
      </c>
      <c r="AE2" s="1600" t="s">
        <v>1561</v>
      </c>
      <c r="AF2" s="1600" t="s">
        <v>273</v>
      </c>
      <c r="AG2" s="1600" t="s">
        <v>1561</v>
      </c>
      <c r="AH2" s="1600" t="s">
        <v>273</v>
      </c>
      <c r="AI2" s="1600" t="s">
        <v>1561</v>
      </c>
      <c r="AJ2" s="1600" t="s">
        <v>273</v>
      </c>
      <c r="AK2" s="1600" t="s">
        <v>1561</v>
      </c>
      <c r="AL2" s="1600" t="s">
        <v>273</v>
      </c>
      <c r="AM2" s="1600" t="s">
        <v>1561</v>
      </c>
      <c r="AN2" s="1600" t="s">
        <v>273</v>
      </c>
      <c r="AO2" s="1600" t="s">
        <v>1561</v>
      </c>
      <c r="AP2" s="1600" t="s">
        <v>273</v>
      </c>
      <c r="AQ2" s="1600" t="s">
        <v>1561</v>
      </c>
      <c r="AR2" s="1600" t="s">
        <v>273</v>
      </c>
      <c r="AS2" s="1600" t="s">
        <v>1561</v>
      </c>
      <c r="AT2" s="1600" t="s">
        <v>273</v>
      </c>
      <c r="AU2" s="1600" t="s">
        <v>1561</v>
      </c>
      <c r="AV2" s="1600" t="s">
        <v>273</v>
      </c>
      <c r="AW2" s="1600" t="s">
        <v>1561</v>
      </c>
      <c r="AX2" s="1600" t="s">
        <v>273</v>
      </c>
      <c r="AY2" s="1600" t="s">
        <v>1561</v>
      </c>
      <c r="AZ2" s="1600" t="s">
        <v>273</v>
      </c>
      <c r="BA2" s="1600" t="s">
        <v>1561</v>
      </c>
      <c r="BB2" s="1600" t="s">
        <v>273</v>
      </c>
      <c r="BC2" s="1600" t="s">
        <v>1561</v>
      </c>
      <c r="BD2" s="1600" t="s">
        <v>273</v>
      </c>
      <c r="BE2" s="1600" t="s">
        <v>1561</v>
      </c>
      <c r="BF2" s="1600" t="s">
        <v>273</v>
      </c>
      <c r="BG2" s="1600" t="s">
        <v>1561</v>
      </c>
      <c r="BH2" s="1600" t="s">
        <v>273</v>
      </c>
      <c r="BI2" s="1600" t="s">
        <v>1561</v>
      </c>
      <c r="BJ2" s="1600" t="s">
        <v>273</v>
      </c>
      <c r="BK2" s="1600" t="s">
        <v>1561</v>
      </c>
      <c r="BL2" s="1600" t="s">
        <v>273</v>
      </c>
      <c r="BM2" s="1600" t="s">
        <v>1561</v>
      </c>
      <c r="BN2" s="1600" t="s">
        <v>273</v>
      </c>
      <c r="BO2" s="1600" t="s">
        <v>1561</v>
      </c>
      <c r="BP2" s="1600" t="s">
        <v>273</v>
      </c>
      <c r="BQ2" s="1600" t="s">
        <v>1561</v>
      </c>
      <c r="BR2" s="1600" t="s">
        <v>273</v>
      </c>
      <c r="BS2" s="1600" t="s">
        <v>1561</v>
      </c>
      <c r="BT2" s="1600" t="s">
        <v>273</v>
      </c>
      <c r="BU2" s="1600" t="s">
        <v>1561</v>
      </c>
      <c r="BV2" s="1600" t="s">
        <v>273</v>
      </c>
      <c r="BW2" s="1600" t="s">
        <v>1561</v>
      </c>
      <c r="BX2" s="1600" t="s">
        <v>273</v>
      </c>
      <c r="BY2" s="1600" t="s">
        <v>1561</v>
      </c>
      <c r="BZ2" s="1600" t="s">
        <v>273</v>
      </c>
      <c r="CA2" s="1600" t="s">
        <v>1561</v>
      </c>
      <c r="CB2" s="1600" t="s">
        <v>273</v>
      </c>
      <c r="CC2" s="1600" t="s">
        <v>1561</v>
      </c>
      <c r="CD2" s="1600" t="s">
        <v>273</v>
      </c>
      <c r="CE2" s="1600" t="s">
        <v>1561</v>
      </c>
      <c r="CF2" s="1600" t="s">
        <v>273</v>
      </c>
      <c r="CG2" s="1600" t="s">
        <v>1561</v>
      </c>
      <c r="CH2" s="1600" t="s">
        <v>273</v>
      </c>
      <c r="CI2" s="1600" t="s">
        <v>1561</v>
      </c>
      <c r="CJ2" s="1600" t="s">
        <v>273</v>
      </c>
      <c r="CK2" s="1600" t="s">
        <v>1561</v>
      </c>
      <c r="CL2" s="1600" t="s">
        <v>273</v>
      </c>
      <c r="CM2" s="1600" t="s">
        <v>1561</v>
      </c>
      <c r="CN2" s="1600" t="s">
        <v>273</v>
      </c>
      <c r="CO2" s="1600" t="s">
        <v>1561</v>
      </c>
      <c r="CP2" s="1600" t="s">
        <v>273</v>
      </c>
      <c r="CQ2" s="1600" t="s">
        <v>1561</v>
      </c>
      <c r="CR2" s="1600" t="s">
        <v>273</v>
      </c>
      <c r="CS2" s="1600" t="s">
        <v>1561</v>
      </c>
      <c r="CT2" s="1600" t="s">
        <v>273</v>
      </c>
      <c r="CU2" s="1600" t="s">
        <v>1561</v>
      </c>
      <c r="CV2" s="1600" t="s">
        <v>273</v>
      </c>
      <c r="CW2" s="1600" t="s">
        <v>1561</v>
      </c>
      <c r="CX2" s="1600" t="s">
        <v>273</v>
      </c>
      <c r="CY2" s="1600" t="s">
        <v>1561</v>
      </c>
      <c r="CZ2" s="1600" t="s">
        <v>273</v>
      </c>
      <c r="DA2" s="1600" t="s">
        <v>1561</v>
      </c>
      <c r="DB2" s="1600" t="s">
        <v>273</v>
      </c>
      <c r="DC2" s="1600" t="s">
        <v>1561</v>
      </c>
      <c r="DD2" s="1600" t="s">
        <v>273</v>
      </c>
      <c r="DE2" s="1600" t="s">
        <v>1561</v>
      </c>
      <c r="DF2" s="1600" t="s">
        <v>273</v>
      </c>
      <c r="DG2" s="1600" t="s">
        <v>1561</v>
      </c>
      <c r="DH2" s="1600" t="s">
        <v>273</v>
      </c>
      <c r="DI2" s="1600" t="s">
        <v>1561</v>
      </c>
      <c r="DJ2" s="1600" t="s">
        <v>273</v>
      </c>
      <c r="DK2" s="1600" t="s">
        <v>1561</v>
      </c>
      <c r="DL2" s="1600" t="s">
        <v>273</v>
      </c>
      <c r="DM2" s="1600" t="s">
        <v>1561</v>
      </c>
      <c r="DN2" s="1600" t="s">
        <v>273</v>
      </c>
      <c r="DO2" s="1600" t="s">
        <v>1561</v>
      </c>
      <c r="DP2" s="1600" t="s">
        <v>273</v>
      </c>
      <c r="DQ2" s="1600" t="s">
        <v>1561</v>
      </c>
      <c r="DR2" s="1600" t="s">
        <v>273</v>
      </c>
      <c r="DS2" s="1600" t="s">
        <v>1561</v>
      </c>
      <c r="DT2" s="1600" t="s">
        <v>273</v>
      </c>
      <c r="DU2" s="1600" t="s">
        <v>1561</v>
      </c>
      <c r="DV2" s="1600" t="s">
        <v>273</v>
      </c>
      <c r="DW2" s="1600" t="s">
        <v>1561</v>
      </c>
      <c r="DX2" s="1600" t="s">
        <v>273</v>
      </c>
      <c r="DY2" s="1600" t="s">
        <v>1561</v>
      </c>
      <c r="DZ2" s="1600" t="s">
        <v>273</v>
      </c>
      <c r="EA2" s="1600" t="s">
        <v>1561</v>
      </c>
      <c r="EB2" s="1600" t="s">
        <v>273</v>
      </c>
      <c r="EC2" s="1600" t="s">
        <v>1561</v>
      </c>
      <c r="ED2" s="1600" t="s">
        <v>273</v>
      </c>
      <c r="EE2" s="1600" t="s">
        <v>1561</v>
      </c>
      <c r="EF2" s="1600" t="s">
        <v>273</v>
      </c>
      <c r="EG2" s="1600" t="s">
        <v>1561</v>
      </c>
      <c r="EH2" s="1600" t="s">
        <v>273</v>
      </c>
      <c r="EI2" s="1600" t="s">
        <v>1561</v>
      </c>
      <c r="EJ2" s="1600" t="s">
        <v>273</v>
      </c>
      <c r="EK2" s="1600" t="s">
        <v>1561</v>
      </c>
      <c r="EL2" s="1600" t="s">
        <v>273</v>
      </c>
      <c r="EM2" s="1600" t="s">
        <v>1561</v>
      </c>
      <c r="EN2" s="1600" t="s">
        <v>273</v>
      </c>
      <c r="EO2" s="1600" t="s">
        <v>1561</v>
      </c>
      <c r="EP2" s="1600" t="s">
        <v>273</v>
      </c>
      <c r="EQ2" s="1600" t="s">
        <v>1561</v>
      </c>
      <c r="ER2" s="1600" t="s">
        <v>273</v>
      </c>
      <c r="ES2" s="1600" t="s">
        <v>1561</v>
      </c>
      <c r="ET2" s="1600" t="s">
        <v>273</v>
      </c>
      <c r="EU2" s="1600" t="s">
        <v>1561</v>
      </c>
      <c r="EV2" s="1600" t="s">
        <v>273</v>
      </c>
      <c r="EW2" s="1600" t="s">
        <v>1561</v>
      </c>
      <c r="EX2" s="1600" t="s">
        <v>273</v>
      </c>
      <c r="EY2" s="1600" t="s">
        <v>1561</v>
      </c>
      <c r="EZ2" s="1600" t="s">
        <v>273</v>
      </c>
      <c r="FA2" s="1600" t="s">
        <v>1561</v>
      </c>
      <c r="FB2" s="1600" t="s">
        <v>273</v>
      </c>
      <c r="FC2" s="1600" t="s">
        <v>1561</v>
      </c>
      <c r="FD2" s="1600" t="s">
        <v>273</v>
      </c>
      <c r="FE2" s="1600" t="s">
        <v>1561</v>
      </c>
      <c r="FF2" s="1600" t="s">
        <v>273</v>
      </c>
      <c r="FG2" s="1600" t="s">
        <v>1561</v>
      </c>
      <c r="FH2" s="1600" t="s">
        <v>273</v>
      </c>
      <c r="FI2" s="1600" t="s">
        <v>1561</v>
      </c>
      <c r="FJ2" s="1600" t="s">
        <v>273</v>
      </c>
      <c r="FK2" s="1600" t="s">
        <v>1561</v>
      </c>
      <c r="FL2" s="1600" t="s">
        <v>273</v>
      </c>
      <c r="FM2" s="1600" t="s">
        <v>1561</v>
      </c>
      <c r="FN2" s="1600" t="s">
        <v>273</v>
      </c>
      <c r="FO2" s="1600" t="s">
        <v>1561</v>
      </c>
      <c r="FP2" s="1600" t="s">
        <v>273</v>
      </c>
      <c r="FQ2" s="1600" t="s">
        <v>1561</v>
      </c>
      <c r="FR2" s="1600" t="s">
        <v>273</v>
      </c>
      <c r="FS2" s="1600" t="s">
        <v>1561</v>
      </c>
      <c r="FT2" s="1600" t="s">
        <v>273</v>
      </c>
      <c r="FU2" s="1600" t="s">
        <v>1561</v>
      </c>
      <c r="FV2" s="1600" t="s">
        <v>273</v>
      </c>
      <c r="FW2" s="1600" t="s">
        <v>1561</v>
      </c>
      <c r="FX2" s="1600" t="s">
        <v>273</v>
      </c>
      <c r="FY2" s="1600" t="s">
        <v>1561</v>
      </c>
      <c r="FZ2" s="1600" t="s">
        <v>273</v>
      </c>
      <c r="GA2" s="1600" t="s">
        <v>1561</v>
      </c>
      <c r="GB2" s="1600" t="s">
        <v>273</v>
      </c>
      <c r="GC2" s="1600" t="s">
        <v>1561</v>
      </c>
      <c r="GD2" s="1600" t="s">
        <v>273</v>
      </c>
      <c r="GE2" s="1600" t="s">
        <v>1561</v>
      </c>
      <c r="GF2" s="1600" t="s">
        <v>273</v>
      </c>
      <c r="GG2" s="1600" t="s">
        <v>1561</v>
      </c>
      <c r="GH2" s="1600" t="s">
        <v>273</v>
      </c>
      <c r="GI2" s="1600" t="s">
        <v>1561</v>
      </c>
      <c r="GJ2" s="1600" t="s">
        <v>273</v>
      </c>
      <c r="GK2" s="1600" t="s">
        <v>1561</v>
      </c>
      <c r="GL2" s="1600" t="s">
        <v>273</v>
      </c>
      <c r="GM2" s="1600" t="s">
        <v>1561</v>
      </c>
      <c r="GN2" s="1600" t="s">
        <v>273</v>
      </c>
      <c r="GO2" s="1600" t="s">
        <v>1561</v>
      </c>
      <c r="GP2" s="1600" t="s">
        <v>273</v>
      </c>
      <c r="GQ2" s="1600" t="s">
        <v>1561</v>
      </c>
      <c r="GR2" s="1600" t="s">
        <v>273</v>
      </c>
      <c r="GS2" s="1600" t="s">
        <v>1561</v>
      </c>
      <c r="GT2" s="1600" t="s">
        <v>273</v>
      </c>
      <c r="GU2" s="1600" t="s">
        <v>1561</v>
      </c>
      <c r="GV2" s="1600" t="s">
        <v>273</v>
      </c>
      <c r="GW2" s="1600" t="s">
        <v>1561</v>
      </c>
      <c r="GX2" s="1600" t="s">
        <v>273</v>
      </c>
      <c r="GY2" s="1600" t="s">
        <v>1561</v>
      </c>
      <c r="GZ2" s="1600" t="s">
        <v>273</v>
      </c>
      <c r="HA2" s="1600" t="s">
        <v>1561</v>
      </c>
      <c r="HB2" s="1600" t="s">
        <v>273</v>
      </c>
      <c r="HC2" s="1600" t="s">
        <v>1561</v>
      </c>
      <c r="HD2" s="1600" t="s">
        <v>273</v>
      </c>
      <c r="HE2" s="1600" t="s">
        <v>1561</v>
      </c>
      <c r="HF2" s="1600" t="s">
        <v>273</v>
      </c>
      <c r="HG2" s="1600" t="s">
        <v>1561</v>
      </c>
      <c r="HH2" s="1600" t="s">
        <v>273</v>
      </c>
      <c r="HI2" s="1600" t="s">
        <v>1561</v>
      </c>
      <c r="HJ2" s="1600" t="s">
        <v>273</v>
      </c>
      <c r="HK2" s="1600" t="s">
        <v>1561</v>
      </c>
      <c r="HL2" s="1600" t="s">
        <v>273</v>
      </c>
      <c r="HM2" s="1600" t="s">
        <v>1561</v>
      </c>
      <c r="HN2" s="1600" t="s">
        <v>273</v>
      </c>
      <c r="HO2" s="1600" t="s">
        <v>1561</v>
      </c>
      <c r="HP2" s="1600" t="s">
        <v>273</v>
      </c>
      <c r="HQ2" s="1600" t="s">
        <v>1561</v>
      </c>
      <c r="HR2" s="1600" t="s">
        <v>273</v>
      </c>
      <c r="HS2" s="1600" t="s">
        <v>1561</v>
      </c>
      <c r="HT2" s="1600" t="s">
        <v>273</v>
      </c>
      <c r="HU2" s="1600" t="s">
        <v>1561</v>
      </c>
      <c r="HV2" s="1600" t="s">
        <v>273</v>
      </c>
      <c r="HW2" s="1600" t="s">
        <v>1561</v>
      </c>
      <c r="HX2" s="1600" t="s">
        <v>273</v>
      </c>
      <c r="HY2" s="1600" t="s">
        <v>1561</v>
      </c>
      <c r="HZ2" s="1600" t="s">
        <v>273</v>
      </c>
      <c r="IA2" s="1600" t="s">
        <v>1561</v>
      </c>
      <c r="IB2" s="1600" t="s">
        <v>273</v>
      </c>
      <c r="IC2" s="1600" t="s">
        <v>1561</v>
      </c>
    </row>
    <row r="3" spans="1:241" ht="161.25" customHeight="1" x14ac:dyDescent="0.25">
      <c r="A3" s="1720" t="s">
        <v>186</v>
      </c>
      <c r="B3" s="1719" t="s">
        <v>244</v>
      </c>
      <c r="C3" s="1719"/>
      <c r="D3" s="70" t="s">
        <v>366</v>
      </c>
      <c r="E3" s="70" t="s">
        <v>366</v>
      </c>
      <c r="F3" s="70" t="s">
        <v>1427</v>
      </c>
      <c r="G3" s="70" t="s">
        <v>1427</v>
      </c>
      <c r="H3" s="70" t="s">
        <v>619</v>
      </c>
      <c r="I3" s="70" t="s">
        <v>619</v>
      </c>
      <c r="J3" s="70" t="s">
        <v>619</v>
      </c>
      <c r="K3" s="70" t="s">
        <v>619</v>
      </c>
      <c r="L3" s="70" t="s">
        <v>1296</v>
      </c>
      <c r="M3" s="70" t="s">
        <v>1296</v>
      </c>
      <c r="N3" s="70" t="s">
        <v>1428</v>
      </c>
      <c r="O3" s="70" t="s">
        <v>1428</v>
      </c>
      <c r="P3" s="70" t="s">
        <v>423</v>
      </c>
      <c r="Q3" s="70" t="s">
        <v>423</v>
      </c>
      <c r="R3" s="70" t="s">
        <v>861</v>
      </c>
      <c r="S3" s="70" t="s">
        <v>861</v>
      </c>
      <c r="T3" s="70" t="s">
        <v>621</v>
      </c>
      <c r="U3" s="70" t="s">
        <v>621</v>
      </c>
      <c r="V3" s="1600" t="s">
        <v>367</v>
      </c>
      <c r="W3" s="1600" t="s">
        <v>367</v>
      </c>
      <c r="X3" s="1600" t="s">
        <v>367</v>
      </c>
      <c r="Y3" s="1600" t="s">
        <v>367</v>
      </c>
      <c r="Z3" s="70" t="s">
        <v>375</v>
      </c>
      <c r="AA3" s="70" t="s">
        <v>375</v>
      </c>
      <c r="AB3" s="1600" t="s">
        <v>499</v>
      </c>
      <c r="AC3" s="1600" t="s">
        <v>499</v>
      </c>
      <c r="AD3" s="70" t="s">
        <v>869</v>
      </c>
      <c r="AE3" s="70" t="s">
        <v>869</v>
      </c>
      <c r="AF3" s="70" t="s">
        <v>1301</v>
      </c>
      <c r="AG3" s="70" t="s">
        <v>1301</v>
      </c>
      <c r="AH3" s="70" t="s">
        <v>1426</v>
      </c>
      <c r="AI3" s="70" t="s">
        <v>1426</v>
      </c>
      <c r="AJ3" s="1607" t="s">
        <v>333</v>
      </c>
      <c r="AK3" s="1607" t="s">
        <v>333</v>
      </c>
      <c r="AL3" s="1607" t="s">
        <v>333</v>
      </c>
      <c r="AM3" s="1607" t="s">
        <v>333</v>
      </c>
      <c r="AN3" s="70" t="s">
        <v>370</v>
      </c>
      <c r="AO3" s="70" t="s">
        <v>370</v>
      </c>
      <c r="AP3" s="70" t="s">
        <v>369</v>
      </c>
      <c r="AQ3" s="70" t="s">
        <v>369</v>
      </c>
      <c r="AR3" s="70" t="s">
        <v>818</v>
      </c>
      <c r="AS3" s="70" t="s">
        <v>818</v>
      </c>
      <c r="AT3" s="70" t="s">
        <v>369</v>
      </c>
      <c r="AU3" s="70" t="s">
        <v>369</v>
      </c>
      <c r="AV3" s="70" t="s">
        <v>368</v>
      </c>
      <c r="AW3" s="70" t="s">
        <v>368</v>
      </c>
      <c r="AX3" s="70" t="s">
        <v>368</v>
      </c>
      <c r="AY3" s="70" t="s">
        <v>368</v>
      </c>
      <c r="AZ3" s="70" t="s">
        <v>862</v>
      </c>
      <c r="BA3" s="70" t="s">
        <v>862</v>
      </c>
      <c r="BB3" s="70" t="s">
        <v>247</v>
      </c>
      <c r="BC3" s="70" t="s">
        <v>247</v>
      </c>
      <c r="BD3" s="70" t="s">
        <v>817</v>
      </c>
      <c r="BE3" s="70" t="s">
        <v>817</v>
      </c>
      <c r="BF3" s="70" t="s">
        <v>381</v>
      </c>
      <c r="BG3" s="70" t="s">
        <v>381</v>
      </c>
      <c r="BH3" s="70" t="s">
        <v>253</v>
      </c>
      <c r="BI3" s="70" t="s">
        <v>253</v>
      </c>
      <c r="BJ3" s="70" t="s">
        <v>379</v>
      </c>
      <c r="BK3" s="70" t="s">
        <v>379</v>
      </c>
      <c r="BL3" s="70" t="s">
        <v>413</v>
      </c>
      <c r="BM3" s="70" t="s">
        <v>413</v>
      </c>
      <c r="BN3" s="70" t="s">
        <v>527</v>
      </c>
      <c r="BO3" s="70" t="s">
        <v>527</v>
      </c>
      <c r="BP3" s="70" t="s">
        <v>378</v>
      </c>
      <c r="BQ3" s="70" t="s">
        <v>378</v>
      </c>
      <c r="BR3" s="70" t="s">
        <v>378</v>
      </c>
      <c r="BS3" s="70" t="s">
        <v>378</v>
      </c>
      <c r="BT3" s="70" t="s">
        <v>1429</v>
      </c>
      <c r="BU3" s="70" t="s">
        <v>1429</v>
      </c>
      <c r="BV3" s="70" t="s">
        <v>427</v>
      </c>
      <c r="BW3" s="70" t="s">
        <v>427</v>
      </c>
      <c r="BX3" s="70" t="s">
        <v>415</v>
      </c>
      <c r="BY3" s="70" t="s">
        <v>415</v>
      </c>
      <c r="BZ3" s="70" t="s">
        <v>377</v>
      </c>
      <c r="CA3" s="70" t="s">
        <v>377</v>
      </c>
      <c r="CB3" s="70" t="s">
        <v>720</v>
      </c>
      <c r="CC3" s="70" t="s">
        <v>720</v>
      </c>
      <c r="CD3" s="70" t="s">
        <v>248</v>
      </c>
      <c r="CE3" s="70" t="s">
        <v>248</v>
      </c>
      <c r="CF3" s="70" t="s">
        <v>423</v>
      </c>
      <c r="CG3" s="70" t="s">
        <v>423</v>
      </c>
      <c r="CH3" s="70" t="s">
        <v>1430</v>
      </c>
      <c r="CI3" s="70" t="s">
        <v>1430</v>
      </c>
      <c r="CJ3" s="70" t="s">
        <v>254</v>
      </c>
      <c r="CK3" s="70" t="s">
        <v>254</v>
      </c>
      <c r="CL3" s="70" t="s">
        <v>1431</v>
      </c>
      <c r="CM3" s="70" t="s">
        <v>1431</v>
      </c>
      <c r="CN3" s="70" t="s">
        <v>376</v>
      </c>
      <c r="CO3" s="70" t="s">
        <v>376</v>
      </c>
      <c r="CP3" s="70" t="s">
        <v>485</v>
      </c>
      <c r="CQ3" s="70" t="s">
        <v>485</v>
      </c>
      <c r="CR3" s="70" t="s">
        <v>417</v>
      </c>
      <c r="CS3" s="70" t="s">
        <v>417</v>
      </c>
      <c r="CT3" s="70" t="s">
        <v>375</v>
      </c>
      <c r="CU3" s="70" t="s">
        <v>375</v>
      </c>
      <c r="CV3" s="70" t="s">
        <v>249</v>
      </c>
      <c r="CW3" s="70" t="s">
        <v>249</v>
      </c>
      <c r="CX3" s="70" t="s">
        <v>619</v>
      </c>
      <c r="CY3" s="70" t="s">
        <v>619</v>
      </c>
      <c r="CZ3" s="70" t="s">
        <v>477</v>
      </c>
      <c r="DA3" s="70" t="s">
        <v>477</v>
      </c>
      <c r="DB3" s="70" t="s">
        <v>477</v>
      </c>
      <c r="DC3" s="70" t="s">
        <v>477</v>
      </c>
      <c r="DD3" s="70" t="s">
        <v>374</v>
      </c>
      <c r="DE3" s="70" t="s">
        <v>374</v>
      </c>
      <c r="DF3" s="70" t="s">
        <v>373</v>
      </c>
      <c r="DG3" s="70" t="s">
        <v>373</v>
      </c>
      <c r="DH3" s="70" t="s">
        <v>372</v>
      </c>
      <c r="DI3" s="70" t="s">
        <v>372</v>
      </c>
      <c r="DJ3" s="70" t="s">
        <v>863</v>
      </c>
      <c r="DK3" s="70" t="s">
        <v>863</v>
      </c>
      <c r="DL3" s="70" t="s">
        <v>1432</v>
      </c>
      <c r="DM3" s="70" t="s">
        <v>1432</v>
      </c>
      <c r="DN3" s="70" t="s">
        <v>868</v>
      </c>
      <c r="DO3" s="70" t="s">
        <v>868</v>
      </c>
      <c r="DP3" s="70" t="s">
        <v>723</v>
      </c>
      <c r="DQ3" s="70" t="s">
        <v>723</v>
      </c>
      <c r="DR3" s="70" t="s">
        <v>865</v>
      </c>
      <c r="DS3" s="70" t="s">
        <v>865</v>
      </c>
      <c r="DT3" s="70" t="s">
        <v>864</v>
      </c>
      <c r="DU3" s="70" t="s">
        <v>864</v>
      </c>
      <c r="DV3" s="70" t="s">
        <v>1431</v>
      </c>
      <c r="DW3" s="70" t="s">
        <v>1431</v>
      </c>
      <c r="DX3" s="70" t="s">
        <v>1431</v>
      </c>
      <c r="DY3" s="70" t="s">
        <v>1431</v>
      </c>
      <c r="DZ3" s="295" t="s">
        <v>522</v>
      </c>
      <c r="EA3" s="295" t="s">
        <v>522</v>
      </c>
      <c r="EB3" s="295" t="s">
        <v>548</v>
      </c>
      <c r="EC3" s="295" t="s">
        <v>548</v>
      </c>
      <c r="ED3" s="295" t="s">
        <v>548</v>
      </c>
      <c r="EE3" s="295" t="s">
        <v>548</v>
      </c>
      <c r="EF3" s="295" t="s">
        <v>548</v>
      </c>
      <c r="EG3" s="295" t="s">
        <v>548</v>
      </c>
      <c r="EH3" s="295" t="s">
        <v>546</v>
      </c>
      <c r="EI3" s="295" t="s">
        <v>546</v>
      </c>
      <c r="EJ3" s="295" t="s">
        <v>546</v>
      </c>
      <c r="EK3" s="295" t="s">
        <v>546</v>
      </c>
      <c r="EL3" s="295" t="s">
        <v>546</v>
      </c>
      <c r="EM3" s="295" t="s">
        <v>546</v>
      </c>
      <c r="EN3" s="70" t="s">
        <v>371</v>
      </c>
      <c r="EO3" s="70" t="s">
        <v>371</v>
      </c>
      <c r="EP3" s="70" t="s">
        <v>419</v>
      </c>
      <c r="EQ3" s="70" t="s">
        <v>419</v>
      </c>
      <c r="ER3" s="70" t="s">
        <v>418</v>
      </c>
      <c r="ES3" s="70" t="s">
        <v>418</v>
      </c>
      <c r="ET3" s="70" t="s">
        <v>420</v>
      </c>
      <c r="EU3" s="70" t="s">
        <v>420</v>
      </c>
      <c r="EV3" s="70" t="s">
        <v>633</v>
      </c>
      <c r="EW3" s="70" t="s">
        <v>633</v>
      </c>
      <c r="EX3" s="295" t="s">
        <v>520</v>
      </c>
      <c r="EY3" s="295" t="s">
        <v>520</v>
      </c>
      <c r="EZ3" s="70" t="s">
        <v>644</v>
      </c>
      <c r="FA3" s="70" t="s">
        <v>644</v>
      </c>
      <c r="FB3" s="70" t="s">
        <v>724</v>
      </c>
      <c r="FC3" s="1596" t="s">
        <v>3349</v>
      </c>
      <c r="FD3" s="70" t="s">
        <v>725</v>
      </c>
      <c r="FE3" s="1596" t="s">
        <v>3350</v>
      </c>
      <c r="FF3" s="70" t="s">
        <v>726</v>
      </c>
      <c r="FG3" s="1596" t="s">
        <v>3351</v>
      </c>
      <c r="FH3" s="70" t="s">
        <v>729</v>
      </c>
      <c r="FI3" s="1596" t="s">
        <v>3352</v>
      </c>
      <c r="FJ3" s="70" t="s">
        <v>1425</v>
      </c>
      <c r="FK3" s="1596" t="s">
        <v>3353</v>
      </c>
      <c r="FL3" s="70" t="s">
        <v>274</v>
      </c>
      <c r="FM3" s="70" t="s">
        <v>274</v>
      </c>
      <c r="FN3" s="70" t="s">
        <v>496</v>
      </c>
      <c r="FO3" s="70" t="s">
        <v>496</v>
      </c>
      <c r="FP3" s="1607" t="s">
        <v>180</v>
      </c>
      <c r="FQ3" s="1607" t="s">
        <v>180</v>
      </c>
      <c r="FR3" s="70" t="s">
        <v>567</v>
      </c>
      <c r="FS3" s="70" t="s">
        <v>567</v>
      </c>
      <c r="FT3" s="70" t="s">
        <v>274</v>
      </c>
      <c r="FU3" s="70" t="s">
        <v>274</v>
      </c>
      <c r="FV3" s="1599" t="s">
        <v>860</v>
      </c>
      <c r="FW3" s="1599" t="s">
        <v>860</v>
      </c>
      <c r="FX3" s="1607" t="s">
        <v>333</v>
      </c>
      <c r="FY3" s="1607" t="s">
        <v>333</v>
      </c>
      <c r="FZ3" s="295" t="s">
        <v>866</v>
      </c>
      <c r="GA3" s="295" t="s">
        <v>866</v>
      </c>
      <c r="GB3" s="1608" t="s">
        <v>1477</v>
      </c>
      <c r="GC3" s="1608" t="s">
        <v>1477</v>
      </c>
      <c r="GD3" s="70" t="s">
        <v>1476</v>
      </c>
      <c r="GE3" s="70" t="s">
        <v>1476</v>
      </c>
      <c r="GF3" s="295" t="s">
        <v>568</v>
      </c>
      <c r="GG3" s="295" t="s">
        <v>568</v>
      </c>
      <c r="GH3" s="295" t="s">
        <v>1433</v>
      </c>
      <c r="GI3" s="295" t="s">
        <v>1433</v>
      </c>
      <c r="GJ3" s="1600" t="s">
        <v>544</v>
      </c>
      <c r="GK3" s="1600" t="s">
        <v>544</v>
      </c>
      <c r="GL3" s="1600" t="s">
        <v>879</v>
      </c>
      <c r="GM3" s="1600" t="s">
        <v>879</v>
      </c>
      <c r="GN3" s="295" t="s">
        <v>866</v>
      </c>
      <c r="GO3" s="295" t="s">
        <v>866</v>
      </c>
      <c r="GP3" s="295" t="s">
        <v>866</v>
      </c>
      <c r="GQ3" s="295" t="s">
        <v>866</v>
      </c>
      <c r="GR3" s="70" t="s">
        <v>724</v>
      </c>
      <c r="GS3" s="70" t="s">
        <v>724</v>
      </c>
      <c r="GT3" s="70" t="s">
        <v>725</v>
      </c>
      <c r="GU3" s="70" t="s">
        <v>725</v>
      </c>
      <c r="GV3" s="70" t="s">
        <v>1434</v>
      </c>
      <c r="GW3" s="70" t="s">
        <v>1434</v>
      </c>
      <c r="GX3" s="70" t="s">
        <v>1431</v>
      </c>
      <c r="GY3" s="70" t="s">
        <v>1431</v>
      </c>
      <c r="GZ3" s="70" t="s">
        <v>1431</v>
      </c>
      <c r="HA3" s="70" t="s">
        <v>1431</v>
      </c>
      <c r="HB3" s="70" t="s">
        <v>376</v>
      </c>
      <c r="HC3" s="70" t="s">
        <v>376</v>
      </c>
      <c r="HD3" s="70" t="s">
        <v>366</v>
      </c>
      <c r="HE3" s="70" t="s">
        <v>366</v>
      </c>
      <c r="HF3" s="70" t="s">
        <v>366</v>
      </c>
      <c r="HG3" s="70" t="s">
        <v>366</v>
      </c>
      <c r="HH3" s="70" t="s">
        <v>423</v>
      </c>
      <c r="HI3" s="70" t="s">
        <v>423</v>
      </c>
      <c r="HJ3" s="70" t="s">
        <v>423</v>
      </c>
      <c r="HK3" s="70" t="s">
        <v>423</v>
      </c>
      <c r="HL3" s="70" t="s">
        <v>423</v>
      </c>
      <c r="HM3" s="70" t="s">
        <v>423</v>
      </c>
      <c r="HN3" s="70" t="s">
        <v>423</v>
      </c>
      <c r="HO3" s="70" t="s">
        <v>423</v>
      </c>
      <c r="HP3" s="295" t="s">
        <v>568</v>
      </c>
      <c r="HQ3" s="295" t="s">
        <v>568</v>
      </c>
      <c r="HR3" s="295" t="s">
        <v>568</v>
      </c>
      <c r="HS3" s="295" t="s">
        <v>568</v>
      </c>
      <c r="HT3" s="70" t="s">
        <v>1431</v>
      </c>
      <c r="HU3" s="70" t="s">
        <v>1431</v>
      </c>
      <c r="HV3" s="70" t="s">
        <v>1431</v>
      </c>
      <c r="HW3" s="70" t="s">
        <v>1431</v>
      </c>
      <c r="HX3" s="70" t="s">
        <v>1431</v>
      </c>
      <c r="HY3" s="70" t="s">
        <v>1431</v>
      </c>
      <c r="HZ3" s="70" t="s">
        <v>1431</v>
      </c>
      <c r="IA3" s="70" t="s">
        <v>1431</v>
      </c>
      <c r="IB3" s="70" t="s">
        <v>366</v>
      </c>
      <c r="IC3" s="70" t="s">
        <v>366</v>
      </c>
      <c r="IE3" s="258"/>
    </row>
    <row r="4" spans="1:241" ht="28.5" customHeight="1" x14ac:dyDescent="0.25">
      <c r="A4" s="1720"/>
      <c r="B4" s="1719" t="s">
        <v>11</v>
      </c>
      <c r="C4" s="1719"/>
      <c r="D4" s="70" t="s">
        <v>222</v>
      </c>
      <c r="E4" s="70" t="s">
        <v>222</v>
      </c>
      <c r="F4" s="70" t="s">
        <v>222</v>
      </c>
      <c r="G4" s="70" t="s">
        <v>222</v>
      </c>
      <c r="H4" s="70" t="s">
        <v>222</v>
      </c>
      <c r="I4" s="70" t="s">
        <v>222</v>
      </c>
      <c r="J4" s="70" t="s">
        <v>223</v>
      </c>
      <c r="K4" s="70" t="s">
        <v>223</v>
      </c>
      <c r="L4" s="70" t="s">
        <v>222</v>
      </c>
      <c r="M4" s="70" t="s">
        <v>222</v>
      </c>
      <c r="N4" s="70" t="s">
        <v>222</v>
      </c>
      <c r="O4" s="70" t="s">
        <v>222</v>
      </c>
      <c r="P4" s="70" t="s">
        <v>222</v>
      </c>
      <c r="Q4" s="70" t="s">
        <v>222</v>
      </c>
      <c r="R4" s="70" t="s">
        <v>222</v>
      </c>
      <c r="S4" s="70" t="s">
        <v>222</v>
      </c>
      <c r="T4" s="70" t="s">
        <v>222</v>
      </c>
      <c r="U4" s="70" t="s">
        <v>222</v>
      </c>
      <c r="V4" s="70" t="s">
        <v>222</v>
      </c>
      <c r="W4" s="70" t="s">
        <v>222</v>
      </c>
      <c r="X4" s="1600" t="s">
        <v>223</v>
      </c>
      <c r="Y4" s="1600" t="s">
        <v>223</v>
      </c>
      <c r="Z4" s="1600" t="s">
        <v>223</v>
      </c>
      <c r="AA4" s="1600" t="s">
        <v>223</v>
      </c>
      <c r="AB4" s="1600" t="s">
        <v>222</v>
      </c>
      <c r="AC4" s="1600" t="s">
        <v>222</v>
      </c>
      <c r="AD4" s="1600" t="s">
        <v>222</v>
      </c>
      <c r="AE4" s="1600" t="s">
        <v>222</v>
      </c>
      <c r="AF4" s="1600" t="s">
        <v>222</v>
      </c>
      <c r="AG4" s="1600" t="s">
        <v>222</v>
      </c>
      <c r="AH4" s="70" t="s">
        <v>222</v>
      </c>
      <c r="AI4" s="70" t="s">
        <v>222</v>
      </c>
      <c r="AJ4" s="70" t="s">
        <v>222</v>
      </c>
      <c r="AK4" s="70" t="s">
        <v>222</v>
      </c>
      <c r="AL4" s="70" t="s">
        <v>222</v>
      </c>
      <c r="AM4" s="70" t="s">
        <v>222</v>
      </c>
      <c r="AN4" s="70" t="s">
        <v>222</v>
      </c>
      <c r="AO4" s="70" t="s">
        <v>222</v>
      </c>
      <c r="AP4" s="70" t="s">
        <v>222</v>
      </c>
      <c r="AQ4" s="70" t="s">
        <v>222</v>
      </c>
      <c r="AR4" s="70" t="s">
        <v>222</v>
      </c>
      <c r="AS4" s="70" t="s">
        <v>222</v>
      </c>
      <c r="AT4" s="70" t="s">
        <v>223</v>
      </c>
      <c r="AU4" s="70" t="s">
        <v>223</v>
      </c>
      <c r="AV4" s="70" t="s">
        <v>223</v>
      </c>
      <c r="AW4" s="70" t="s">
        <v>223</v>
      </c>
      <c r="AX4" s="70" t="s">
        <v>223</v>
      </c>
      <c r="AY4" s="70" t="s">
        <v>223</v>
      </c>
      <c r="AZ4" s="70" t="s">
        <v>222</v>
      </c>
      <c r="BA4" s="70" t="s">
        <v>222</v>
      </c>
      <c r="BB4" s="70" t="s">
        <v>222</v>
      </c>
      <c r="BC4" s="70" t="s">
        <v>222</v>
      </c>
      <c r="BD4" s="70" t="s">
        <v>222</v>
      </c>
      <c r="BE4" s="70" t="s">
        <v>222</v>
      </c>
      <c r="BF4" s="70" t="s">
        <v>222</v>
      </c>
      <c r="BG4" s="70" t="s">
        <v>222</v>
      </c>
      <c r="BH4" s="70" t="s">
        <v>222</v>
      </c>
      <c r="BI4" s="70" t="s">
        <v>222</v>
      </c>
      <c r="BJ4" s="70" t="s">
        <v>222</v>
      </c>
      <c r="BK4" s="70" t="s">
        <v>222</v>
      </c>
      <c r="BL4" s="70" t="s">
        <v>222</v>
      </c>
      <c r="BM4" s="70" t="s">
        <v>222</v>
      </c>
      <c r="BN4" s="70" t="s">
        <v>222</v>
      </c>
      <c r="BO4" s="70" t="s">
        <v>222</v>
      </c>
      <c r="BP4" s="70" t="s">
        <v>222</v>
      </c>
      <c r="BQ4" s="70" t="s">
        <v>222</v>
      </c>
      <c r="BR4" s="70" t="s">
        <v>223</v>
      </c>
      <c r="BS4" s="70" t="s">
        <v>223</v>
      </c>
      <c r="BT4" s="70" t="s">
        <v>223</v>
      </c>
      <c r="BU4" s="70" t="s">
        <v>223</v>
      </c>
      <c r="BV4" s="70" t="s">
        <v>222</v>
      </c>
      <c r="BW4" s="70" t="s">
        <v>222</v>
      </c>
      <c r="BX4" s="70" t="s">
        <v>222</v>
      </c>
      <c r="BY4" s="70" t="s">
        <v>222</v>
      </c>
      <c r="BZ4" s="70" t="s">
        <v>222</v>
      </c>
      <c r="CA4" s="70" t="s">
        <v>222</v>
      </c>
      <c r="CB4" s="70" t="s">
        <v>222</v>
      </c>
      <c r="CC4" s="70" t="s">
        <v>222</v>
      </c>
      <c r="CD4" s="70" t="s">
        <v>223</v>
      </c>
      <c r="CE4" s="70" t="s">
        <v>223</v>
      </c>
      <c r="CF4" s="70" t="s">
        <v>222</v>
      </c>
      <c r="CG4" s="70" t="s">
        <v>222</v>
      </c>
      <c r="CH4" s="70" t="s">
        <v>223</v>
      </c>
      <c r="CI4" s="70" t="s">
        <v>223</v>
      </c>
      <c r="CJ4" s="70" t="s">
        <v>223</v>
      </c>
      <c r="CK4" s="70" t="s">
        <v>223</v>
      </c>
      <c r="CL4" s="70" t="s">
        <v>223</v>
      </c>
      <c r="CM4" s="70" t="s">
        <v>223</v>
      </c>
      <c r="CN4" s="70" t="s">
        <v>222</v>
      </c>
      <c r="CO4" s="70" t="s">
        <v>222</v>
      </c>
      <c r="CP4" s="70" t="s">
        <v>222</v>
      </c>
      <c r="CQ4" s="70" t="s">
        <v>222</v>
      </c>
      <c r="CR4" s="70" t="s">
        <v>222</v>
      </c>
      <c r="CS4" s="70" t="s">
        <v>222</v>
      </c>
      <c r="CT4" s="70" t="s">
        <v>222</v>
      </c>
      <c r="CU4" s="70" t="s">
        <v>222</v>
      </c>
      <c r="CV4" s="70" t="s">
        <v>222</v>
      </c>
      <c r="CW4" s="70" t="s">
        <v>222</v>
      </c>
      <c r="CX4" s="70" t="s">
        <v>222</v>
      </c>
      <c r="CY4" s="70" t="s">
        <v>222</v>
      </c>
      <c r="CZ4" s="70" t="s">
        <v>222</v>
      </c>
      <c r="DA4" s="70" t="s">
        <v>222</v>
      </c>
      <c r="DB4" s="70" t="s">
        <v>222</v>
      </c>
      <c r="DC4" s="70" t="s">
        <v>222</v>
      </c>
      <c r="DD4" s="70" t="s">
        <v>222</v>
      </c>
      <c r="DE4" s="70" t="s">
        <v>222</v>
      </c>
      <c r="DF4" s="70" t="s">
        <v>223</v>
      </c>
      <c r="DG4" s="70" t="s">
        <v>223</v>
      </c>
      <c r="DH4" s="70" t="s">
        <v>223</v>
      </c>
      <c r="DI4" s="70" t="s">
        <v>223</v>
      </c>
      <c r="DJ4" s="70" t="s">
        <v>223</v>
      </c>
      <c r="DK4" s="70" t="s">
        <v>223</v>
      </c>
      <c r="DL4" s="1600" t="s">
        <v>223</v>
      </c>
      <c r="DM4" s="1600" t="s">
        <v>223</v>
      </c>
      <c r="DN4" s="1600" t="s">
        <v>223</v>
      </c>
      <c r="DO4" s="1600" t="s">
        <v>223</v>
      </c>
      <c r="DP4" s="70" t="s">
        <v>222</v>
      </c>
      <c r="DQ4" s="70" t="s">
        <v>222</v>
      </c>
      <c r="DR4" s="70" t="s">
        <v>223</v>
      </c>
      <c r="DS4" s="70" t="s">
        <v>223</v>
      </c>
      <c r="DT4" s="70" t="s">
        <v>222</v>
      </c>
      <c r="DU4" s="70" t="s">
        <v>222</v>
      </c>
      <c r="DV4" s="1600" t="s">
        <v>223</v>
      </c>
      <c r="DW4" s="1600" t="s">
        <v>223</v>
      </c>
      <c r="DX4" s="1600" t="s">
        <v>223</v>
      </c>
      <c r="DY4" s="1600" t="s">
        <v>223</v>
      </c>
      <c r="DZ4" s="70" t="s">
        <v>222</v>
      </c>
      <c r="EA4" s="70" t="s">
        <v>222</v>
      </c>
      <c r="EB4" s="70" t="s">
        <v>222</v>
      </c>
      <c r="EC4" s="70" t="s">
        <v>222</v>
      </c>
      <c r="ED4" s="70" t="s">
        <v>222</v>
      </c>
      <c r="EE4" s="70" t="s">
        <v>222</v>
      </c>
      <c r="EF4" s="70" t="s">
        <v>222</v>
      </c>
      <c r="EG4" s="70" t="s">
        <v>222</v>
      </c>
      <c r="EH4" s="70" t="s">
        <v>222</v>
      </c>
      <c r="EI4" s="70" t="s">
        <v>222</v>
      </c>
      <c r="EJ4" s="70" t="s">
        <v>222</v>
      </c>
      <c r="EK4" s="70" t="s">
        <v>222</v>
      </c>
      <c r="EL4" s="70" t="s">
        <v>222</v>
      </c>
      <c r="EM4" s="70" t="s">
        <v>222</v>
      </c>
      <c r="EN4" s="70" t="s">
        <v>223</v>
      </c>
      <c r="EO4" s="70" t="s">
        <v>223</v>
      </c>
      <c r="EP4" s="70" t="s">
        <v>223</v>
      </c>
      <c r="EQ4" s="70" t="s">
        <v>223</v>
      </c>
      <c r="ER4" s="70" t="s">
        <v>223</v>
      </c>
      <c r="ES4" s="70" t="s">
        <v>223</v>
      </c>
      <c r="ET4" s="70" t="s">
        <v>223</v>
      </c>
      <c r="EU4" s="70" t="s">
        <v>223</v>
      </c>
      <c r="EV4" s="1600" t="s">
        <v>222</v>
      </c>
      <c r="EW4" s="1600" t="s">
        <v>222</v>
      </c>
      <c r="EX4" s="70" t="s">
        <v>222</v>
      </c>
      <c r="EY4" s="70" t="s">
        <v>222</v>
      </c>
      <c r="EZ4" s="1600" t="s">
        <v>222</v>
      </c>
      <c r="FA4" s="1600" t="s">
        <v>222</v>
      </c>
      <c r="FB4" s="70" t="s">
        <v>223</v>
      </c>
      <c r="FC4" s="70" t="s">
        <v>223</v>
      </c>
      <c r="FD4" s="70" t="s">
        <v>223</v>
      </c>
      <c r="FE4" s="70" t="s">
        <v>223</v>
      </c>
      <c r="FF4" s="70" t="s">
        <v>223</v>
      </c>
      <c r="FG4" s="70" t="s">
        <v>223</v>
      </c>
      <c r="FH4" s="70" t="s">
        <v>223</v>
      </c>
      <c r="FI4" s="70" t="s">
        <v>223</v>
      </c>
      <c r="FJ4" s="70" t="s">
        <v>223</v>
      </c>
      <c r="FK4" s="70" t="s">
        <v>223</v>
      </c>
      <c r="FL4" s="70" t="s">
        <v>222</v>
      </c>
      <c r="FM4" s="70" t="s">
        <v>222</v>
      </c>
      <c r="FN4" s="70" t="s">
        <v>222</v>
      </c>
      <c r="FO4" s="70" t="s">
        <v>222</v>
      </c>
      <c r="FP4" s="70" t="s">
        <v>222</v>
      </c>
      <c r="FQ4" s="70" t="s">
        <v>222</v>
      </c>
      <c r="FR4" s="70" t="s">
        <v>223</v>
      </c>
      <c r="FS4" s="70" t="s">
        <v>223</v>
      </c>
      <c r="FT4" s="70" t="s">
        <v>222</v>
      </c>
      <c r="FU4" s="70" t="s">
        <v>222</v>
      </c>
      <c r="FV4" s="70" t="s">
        <v>222</v>
      </c>
      <c r="FW4" s="70" t="s">
        <v>222</v>
      </c>
      <c r="FX4" s="70" t="s">
        <v>223</v>
      </c>
      <c r="FY4" s="70" t="s">
        <v>223</v>
      </c>
      <c r="FZ4" s="70" t="s">
        <v>222</v>
      </c>
      <c r="GA4" s="70" t="s">
        <v>222</v>
      </c>
      <c r="GB4" s="70" t="s">
        <v>222</v>
      </c>
      <c r="GC4" s="70" t="s">
        <v>222</v>
      </c>
      <c r="GD4" s="70" t="s">
        <v>222</v>
      </c>
      <c r="GE4" s="70" t="s">
        <v>222</v>
      </c>
      <c r="GF4" s="70" t="s">
        <v>222</v>
      </c>
      <c r="GG4" s="70" t="s">
        <v>222</v>
      </c>
      <c r="GH4" s="70" t="s">
        <v>223</v>
      </c>
      <c r="GI4" s="70" t="s">
        <v>223</v>
      </c>
      <c r="GJ4" s="1600" t="s">
        <v>222</v>
      </c>
      <c r="GK4" s="1600" t="s">
        <v>222</v>
      </c>
      <c r="GL4" s="1600" t="s">
        <v>222</v>
      </c>
      <c r="GM4" s="1600" t="s">
        <v>222</v>
      </c>
      <c r="GN4" s="70" t="s">
        <v>222</v>
      </c>
      <c r="GO4" s="70" t="s">
        <v>222</v>
      </c>
      <c r="GP4" s="70" t="s">
        <v>222</v>
      </c>
      <c r="GQ4" s="70" t="s">
        <v>222</v>
      </c>
      <c r="GR4" s="70" t="s">
        <v>223</v>
      </c>
      <c r="GS4" s="70" t="s">
        <v>223</v>
      </c>
      <c r="GT4" s="70" t="s">
        <v>223</v>
      </c>
      <c r="GU4" s="70" t="s">
        <v>223</v>
      </c>
      <c r="GV4" s="70" t="s">
        <v>223</v>
      </c>
      <c r="GW4" s="70" t="s">
        <v>223</v>
      </c>
      <c r="GX4" s="70" t="s">
        <v>223</v>
      </c>
      <c r="GY4" s="70" t="s">
        <v>223</v>
      </c>
      <c r="GZ4" s="70" t="s">
        <v>223</v>
      </c>
      <c r="HA4" s="70" t="s">
        <v>223</v>
      </c>
      <c r="HB4" s="70" t="s">
        <v>223</v>
      </c>
      <c r="HC4" s="70" t="s">
        <v>223</v>
      </c>
      <c r="HD4" s="70" t="s">
        <v>222</v>
      </c>
      <c r="HE4" s="70" t="s">
        <v>222</v>
      </c>
      <c r="HF4" s="70" t="s">
        <v>222</v>
      </c>
      <c r="HG4" s="70" t="s">
        <v>222</v>
      </c>
      <c r="HH4" s="70" t="s">
        <v>222</v>
      </c>
      <c r="HI4" s="70" t="s">
        <v>222</v>
      </c>
      <c r="HJ4" s="70" t="s">
        <v>222</v>
      </c>
      <c r="HK4" s="70" t="s">
        <v>222</v>
      </c>
      <c r="HL4" s="70" t="s">
        <v>222</v>
      </c>
      <c r="HM4" s="70" t="s">
        <v>222</v>
      </c>
      <c r="HN4" s="70" t="s">
        <v>222</v>
      </c>
      <c r="HO4" s="70" t="s">
        <v>222</v>
      </c>
      <c r="HP4" s="70" t="s">
        <v>222</v>
      </c>
      <c r="HQ4" s="70" t="s">
        <v>222</v>
      </c>
      <c r="HR4" s="70" t="s">
        <v>222</v>
      </c>
      <c r="HS4" s="70" t="s">
        <v>222</v>
      </c>
      <c r="HT4" s="70" t="s">
        <v>223</v>
      </c>
      <c r="HU4" s="70" t="s">
        <v>223</v>
      </c>
      <c r="HV4" s="70" t="s">
        <v>223</v>
      </c>
      <c r="HW4" s="70" t="s">
        <v>223</v>
      </c>
      <c r="HX4" s="70" t="s">
        <v>223</v>
      </c>
      <c r="HY4" s="70" t="s">
        <v>223</v>
      </c>
      <c r="HZ4" s="70" t="s">
        <v>223</v>
      </c>
      <c r="IA4" s="70" t="s">
        <v>223</v>
      </c>
      <c r="IB4" s="70" t="s">
        <v>222</v>
      </c>
      <c r="IC4" s="70" t="s">
        <v>222</v>
      </c>
      <c r="IE4" s="258"/>
    </row>
    <row r="5" spans="1:241" ht="30" customHeight="1" x14ac:dyDescent="0.25">
      <c r="A5" s="1720"/>
      <c r="B5" s="1719" t="s">
        <v>713</v>
      </c>
      <c r="C5" s="1719"/>
      <c r="D5" s="1721" t="s">
        <v>1435</v>
      </c>
      <c r="E5" s="1721" t="s">
        <v>1562</v>
      </c>
      <c r="F5" s="1721" t="s">
        <v>1436</v>
      </c>
      <c r="G5" s="1721" t="s">
        <v>1436</v>
      </c>
      <c r="H5" s="1721" t="s">
        <v>640</v>
      </c>
      <c r="I5" s="1721" t="s">
        <v>640</v>
      </c>
      <c r="J5" s="1721" t="s">
        <v>618</v>
      </c>
      <c r="K5" s="1721" t="s">
        <v>618</v>
      </c>
      <c r="L5" s="1721" t="s">
        <v>1297</v>
      </c>
      <c r="M5" s="1721" t="s">
        <v>1297</v>
      </c>
      <c r="N5" s="1721" t="s">
        <v>1298</v>
      </c>
      <c r="O5" s="1721" t="s">
        <v>1298</v>
      </c>
      <c r="P5" s="1721" t="s">
        <v>536</v>
      </c>
      <c r="Q5" s="1721" t="s">
        <v>536</v>
      </c>
      <c r="R5" s="1722" t="s">
        <v>873</v>
      </c>
      <c r="S5" s="1722" t="s">
        <v>873</v>
      </c>
      <c r="T5" s="1721" t="s">
        <v>648</v>
      </c>
      <c r="U5" s="1721" t="s">
        <v>648</v>
      </c>
      <c r="V5" s="1717" t="s">
        <v>649</v>
      </c>
      <c r="W5" s="1717" t="s">
        <v>649</v>
      </c>
      <c r="X5" s="1717" t="s">
        <v>687</v>
      </c>
      <c r="Y5" s="1717" t="s">
        <v>687</v>
      </c>
      <c r="Z5" s="1717" t="s">
        <v>886</v>
      </c>
      <c r="AA5" s="1717" t="s">
        <v>886</v>
      </c>
      <c r="AB5" s="1723" t="s">
        <v>686</v>
      </c>
      <c r="AC5" s="1723" t="s">
        <v>686</v>
      </c>
      <c r="AD5" s="1717" t="s">
        <v>685</v>
      </c>
      <c r="AE5" s="1717" t="s">
        <v>685</v>
      </c>
      <c r="AF5" s="1723" t="s">
        <v>1500</v>
      </c>
      <c r="AG5" s="1723" t="s">
        <v>1500</v>
      </c>
      <c r="AH5" s="1725" t="s">
        <v>1437</v>
      </c>
      <c r="AI5" s="1725" t="s">
        <v>1437</v>
      </c>
      <c r="AJ5" s="1717" t="s">
        <v>435</v>
      </c>
      <c r="AK5" s="1717" t="s">
        <v>435</v>
      </c>
      <c r="AL5" s="1717" t="s">
        <v>529</v>
      </c>
      <c r="AM5" s="1717" t="s">
        <v>529</v>
      </c>
      <c r="AN5" s="1717" t="s">
        <v>650</v>
      </c>
      <c r="AO5" s="1717" t="s">
        <v>650</v>
      </c>
      <c r="AP5" s="1717" t="s">
        <v>651</v>
      </c>
      <c r="AQ5" s="1717" t="s">
        <v>651</v>
      </c>
      <c r="AR5" s="1717" t="s">
        <v>652</v>
      </c>
      <c r="AS5" s="1717" t="s">
        <v>652</v>
      </c>
      <c r="AT5" s="1717" t="s">
        <v>653</v>
      </c>
      <c r="AU5" s="1717" t="s">
        <v>653</v>
      </c>
      <c r="AV5" s="1717" t="s">
        <v>654</v>
      </c>
      <c r="AW5" s="1717" t="s">
        <v>654</v>
      </c>
      <c r="AX5" s="1717" t="s">
        <v>1462</v>
      </c>
      <c r="AY5" s="1717" t="s">
        <v>1462</v>
      </c>
      <c r="AZ5" s="1717" t="s">
        <v>655</v>
      </c>
      <c r="BA5" s="1717" t="s">
        <v>655</v>
      </c>
      <c r="BB5" s="1717" t="s">
        <v>255</v>
      </c>
      <c r="BC5" s="1717" t="s">
        <v>255</v>
      </c>
      <c r="BD5" s="1717" t="s">
        <v>1438</v>
      </c>
      <c r="BE5" s="1717" t="s">
        <v>1438</v>
      </c>
      <c r="BF5" s="1717" t="s">
        <v>383</v>
      </c>
      <c r="BG5" s="1717" t="s">
        <v>383</v>
      </c>
      <c r="BH5" s="1717" t="s">
        <v>837</v>
      </c>
      <c r="BI5" s="1717" t="s">
        <v>837</v>
      </c>
      <c r="BJ5" s="1717" t="s">
        <v>380</v>
      </c>
      <c r="BK5" s="1717" t="s">
        <v>380</v>
      </c>
      <c r="BL5" s="1717" t="s">
        <v>844</v>
      </c>
      <c r="BM5" s="1717" t="s">
        <v>844</v>
      </c>
      <c r="BN5" s="1717" t="s">
        <v>839</v>
      </c>
      <c r="BO5" s="1717" t="s">
        <v>839</v>
      </c>
      <c r="BP5" s="1717" t="s">
        <v>842</v>
      </c>
      <c r="BQ5" s="1717" t="s">
        <v>2233</v>
      </c>
      <c r="BR5" s="1717" t="s">
        <v>642</v>
      </c>
      <c r="BS5" s="1717" t="s">
        <v>642</v>
      </c>
      <c r="BT5" s="1717" t="s">
        <v>256</v>
      </c>
      <c r="BU5" s="1717" t="s">
        <v>256</v>
      </c>
      <c r="BV5" s="1717" t="s">
        <v>1255</v>
      </c>
      <c r="BW5" s="1717" t="s">
        <v>1255</v>
      </c>
      <c r="BX5" s="1723" t="s">
        <v>643</v>
      </c>
      <c r="BY5" s="1723" t="s">
        <v>643</v>
      </c>
      <c r="BZ5" s="1717" t="s">
        <v>257</v>
      </c>
      <c r="CA5" s="1717" t="s">
        <v>257</v>
      </c>
      <c r="CB5" s="1723" t="s">
        <v>855</v>
      </c>
      <c r="CC5" s="1723" t="s">
        <v>855</v>
      </c>
      <c r="CD5" s="1717" t="s">
        <v>475</v>
      </c>
      <c r="CE5" s="1717" t="s">
        <v>475</v>
      </c>
      <c r="CF5" s="1723" t="s">
        <v>1299</v>
      </c>
      <c r="CG5" s="1723" t="s">
        <v>1299</v>
      </c>
      <c r="CH5" s="1723" t="s">
        <v>721</v>
      </c>
      <c r="CI5" s="1723" t="s">
        <v>721</v>
      </c>
      <c r="CJ5" s="1717" t="s">
        <v>258</v>
      </c>
      <c r="CK5" s="1717" t="s">
        <v>258</v>
      </c>
      <c r="CL5" s="1717" t="s">
        <v>1411</v>
      </c>
      <c r="CM5" s="1717" t="s">
        <v>1411</v>
      </c>
      <c r="CN5" s="1717" t="s">
        <v>259</v>
      </c>
      <c r="CO5" s="1717" t="s">
        <v>259</v>
      </c>
      <c r="CP5" s="1717" t="s">
        <v>647</v>
      </c>
      <c r="CQ5" s="1717" t="s">
        <v>647</v>
      </c>
      <c r="CR5" s="1717" t="s">
        <v>657</v>
      </c>
      <c r="CS5" s="1717" t="s">
        <v>657</v>
      </c>
      <c r="CT5" s="1717" t="s">
        <v>1439</v>
      </c>
      <c r="CU5" s="1717" t="s">
        <v>1439</v>
      </c>
      <c r="CV5" s="1717" t="s">
        <v>634</v>
      </c>
      <c r="CW5" s="1717" t="s">
        <v>634</v>
      </c>
      <c r="CX5" s="1717" t="s">
        <v>2322</v>
      </c>
      <c r="CY5" s="1717" t="s">
        <v>2322</v>
      </c>
      <c r="CZ5" s="1717" t="s">
        <v>3039</v>
      </c>
      <c r="DA5" s="1717" t="s">
        <v>3040</v>
      </c>
      <c r="DB5" s="1717" t="s">
        <v>476</v>
      </c>
      <c r="DC5" s="1717" t="s">
        <v>476</v>
      </c>
      <c r="DD5" s="1717" t="s">
        <v>1276</v>
      </c>
      <c r="DE5" s="1717" t="s">
        <v>1276</v>
      </c>
      <c r="DF5" s="1723" t="s">
        <v>722</v>
      </c>
      <c r="DG5" s="1723" t="s">
        <v>722</v>
      </c>
      <c r="DH5" s="1717" t="s">
        <v>416</v>
      </c>
      <c r="DI5" s="1717" t="s">
        <v>416</v>
      </c>
      <c r="DJ5" s="1717" t="s">
        <v>411</v>
      </c>
      <c r="DK5" s="1717" t="s">
        <v>411</v>
      </c>
      <c r="DL5" s="1717" t="s">
        <v>656</v>
      </c>
      <c r="DM5" s="1717" t="s">
        <v>656</v>
      </c>
      <c r="DN5" s="1717" t="s">
        <v>658</v>
      </c>
      <c r="DO5" s="1717" t="s">
        <v>658</v>
      </c>
      <c r="DP5" s="1717" t="s">
        <v>1303</v>
      </c>
      <c r="DQ5" s="1717" t="s">
        <v>1303</v>
      </c>
      <c r="DR5" s="1717" t="s">
        <v>569</v>
      </c>
      <c r="DS5" s="1717" t="s">
        <v>569</v>
      </c>
      <c r="DT5" s="1717" t="s">
        <v>659</v>
      </c>
      <c r="DU5" s="1717" t="s">
        <v>659</v>
      </c>
      <c r="DV5" s="1717" t="s">
        <v>1285</v>
      </c>
      <c r="DW5" s="1717" t="s">
        <v>1285</v>
      </c>
      <c r="DX5" s="1717" t="s">
        <v>1302</v>
      </c>
      <c r="DY5" s="1717" t="s">
        <v>1302</v>
      </c>
      <c r="DZ5" s="1717" t="s">
        <v>521</v>
      </c>
      <c r="EA5" s="1717" t="s">
        <v>521</v>
      </c>
      <c r="EB5" s="1717" t="s">
        <v>660</v>
      </c>
      <c r="EC5" s="1717" t="s">
        <v>660</v>
      </c>
      <c r="ED5" s="1717" t="s">
        <v>2014</v>
      </c>
      <c r="EE5" s="1717" t="s">
        <v>2014</v>
      </c>
      <c r="EF5" s="1717" t="s">
        <v>1344</v>
      </c>
      <c r="EG5" s="1717" t="s">
        <v>1344</v>
      </c>
      <c r="EH5" s="1717" t="s">
        <v>661</v>
      </c>
      <c r="EI5" s="1717" t="s">
        <v>661</v>
      </c>
      <c r="EJ5" s="1717" t="s">
        <v>2013</v>
      </c>
      <c r="EK5" s="1717" t="s">
        <v>2012</v>
      </c>
      <c r="EL5" s="1717" t="s">
        <v>1345</v>
      </c>
      <c r="EM5" s="1717" t="s">
        <v>1345</v>
      </c>
      <c r="EN5" s="1717" t="s">
        <v>1291</v>
      </c>
      <c r="EO5" s="1717" t="s">
        <v>1291</v>
      </c>
      <c r="EP5" s="1717" t="s">
        <v>1714</v>
      </c>
      <c r="EQ5" s="1717" t="s">
        <v>1715</v>
      </c>
      <c r="ER5" s="1717" t="s">
        <v>1323</v>
      </c>
      <c r="ES5" s="1717" t="s">
        <v>1323</v>
      </c>
      <c r="ET5" s="1717" t="s">
        <v>421</v>
      </c>
      <c r="EU5" s="1717" t="s">
        <v>421</v>
      </c>
      <c r="EV5" s="1717" t="s">
        <v>662</v>
      </c>
      <c r="EW5" s="1717" t="s">
        <v>662</v>
      </c>
      <c r="EX5" s="1717" t="s">
        <v>664</v>
      </c>
      <c r="EY5" s="1717" t="s">
        <v>664</v>
      </c>
      <c r="EZ5" s="1717" t="s">
        <v>663</v>
      </c>
      <c r="FA5" s="1717" t="s">
        <v>663</v>
      </c>
      <c r="FB5" s="1717" t="s">
        <v>665</v>
      </c>
      <c r="FC5" s="1717" t="s">
        <v>665</v>
      </c>
      <c r="FD5" s="1717" t="s">
        <v>666</v>
      </c>
      <c r="FE5" s="1717" t="s">
        <v>666</v>
      </c>
      <c r="FF5" s="1717" t="s">
        <v>727</v>
      </c>
      <c r="FG5" s="1717" t="s">
        <v>727</v>
      </c>
      <c r="FH5" s="1717" t="s">
        <v>728</v>
      </c>
      <c r="FI5" s="1717" t="s">
        <v>728</v>
      </c>
      <c r="FJ5" s="1717" t="s">
        <v>810</v>
      </c>
      <c r="FK5" s="1717" t="s">
        <v>810</v>
      </c>
      <c r="FL5" s="1717" t="s">
        <v>430</v>
      </c>
      <c r="FM5" s="1717" t="s">
        <v>430</v>
      </c>
      <c r="FN5" s="1717" t="s">
        <v>478</v>
      </c>
      <c r="FO5" s="1717" t="s">
        <v>478</v>
      </c>
      <c r="FP5" s="1717" t="s">
        <v>1248</v>
      </c>
      <c r="FQ5" s="1717" t="s">
        <v>1248</v>
      </c>
      <c r="FR5" s="1717" t="s">
        <v>523</v>
      </c>
      <c r="FS5" s="1717" t="s">
        <v>523</v>
      </c>
      <c r="FT5" s="1717" t="s">
        <v>887</v>
      </c>
      <c r="FU5" s="1717" t="s">
        <v>887</v>
      </c>
      <c r="FV5" s="1717" t="s">
        <v>1250</v>
      </c>
      <c r="FW5" s="1717" t="s">
        <v>1250</v>
      </c>
      <c r="FX5" s="1717" t="s">
        <v>843</v>
      </c>
      <c r="FY5" s="1717" t="s">
        <v>3126</v>
      </c>
      <c r="FZ5" s="1717" t="s">
        <v>667</v>
      </c>
      <c r="GA5" s="1725" t="s">
        <v>667</v>
      </c>
      <c r="GB5" s="1723" t="s">
        <v>668</v>
      </c>
      <c r="GC5" s="1723" t="s">
        <v>668</v>
      </c>
      <c r="GD5" s="1723" t="s">
        <v>669</v>
      </c>
      <c r="GE5" s="1723" t="s">
        <v>669</v>
      </c>
      <c r="GF5" s="1723" t="s">
        <v>670</v>
      </c>
      <c r="GG5" s="1723" t="s">
        <v>670</v>
      </c>
      <c r="GH5" s="1717" t="s">
        <v>840</v>
      </c>
      <c r="GI5" s="1717" t="s">
        <v>3179</v>
      </c>
      <c r="GJ5" s="1717" t="s">
        <v>671</v>
      </c>
      <c r="GK5" s="1717" t="s">
        <v>671</v>
      </c>
      <c r="GL5" s="1717" t="s">
        <v>880</v>
      </c>
      <c r="GM5" s="1717" t="s">
        <v>880</v>
      </c>
      <c r="GN5" s="1717" t="s">
        <v>1251</v>
      </c>
      <c r="GO5" s="1717" t="s">
        <v>1251</v>
      </c>
      <c r="GP5" s="1717" t="s">
        <v>1252</v>
      </c>
      <c r="GQ5" s="1717" t="s">
        <v>1252</v>
      </c>
      <c r="GR5" s="1717" t="s">
        <v>848</v>
      </c>
      <c r="GS5" s="1717" t="s">
        <v>848</v>
      </c>
      <c r="GT5" s="1717" t="s">
        <v>849</v>
      </c>
      <c r="GU5" s="1717" t="s">
        <v>849</v>
      </c>
      <c r="GV5" s="1717" t="s">
        <v>850</v>
      </c>
      <c r="GW5" s="1717" t="s">
        <v>850</v>
      </c>
      <c r="GX5" s="1717" t="s">
        <v>1294</v>
      </c>
      <c r="GY5" s="1717" t="s">
        <v>1294</v>
      </c>
      <c r="GZ5" s="1717" t="s">
        <v>1329</v>
      </c>
      <c r="HA5" s="1717" t="s">
        <v>1329</v>
      </c>
      <c r="HB5" s="1717" t="s">
        <v>805</v>
      </c>
      <c r="HC5" s="1717" t="s">
        <v>805</v>
      </c>
      <c r="HD5" s="1717" t="s">
        <v>1422</v>
      </c>
      <c r="HE5" s="1717" t="s">
        <v>1422</v>
      </c>
      <c r="HF5" s="1717" t="s">
        <v>1423</v>
      </c>
      <c r="HG5" s="1717" t="s">
        <v>1423</v>
      </c>
      <c r="HH5" s="1717" t="s">
        <v>1311</v>
      </c>
      <c r="HI5" s="1717" t="s">
        <v>1311</v>
      </c>
      <c r="HJ5" s="1717" t="s">
        <v>1310</v>
      </c>
      <c r="HK5" s="1717" t="s">
        <v>1310</v>
      </c>
      <c r="HL5" s="1717" t="s">
        <v>1330</v>
      </c>
      <c r="HM5" s="1717" t="s">
        <v>1330</v>
      </c>
      <c r="HN5" s="1717" t="s">
        <v>1331</v>
      </c>
      <c r="HO5" s="1717" t="s">
        <v>1331</v>
      </c>
      <c r="HP5" s="1717" t="s">
        <v>1308</v>
      </c>
      <c r="HQ5" s="1717" t="s">
        <v>1308</v>
      </c>
      <c r="HR5" s="1717" t="s">
        <v>1309</v>
      </c>
      <c r="HS5" s="1717" t="s">
        <v>1309</v>
      </c>
      <c r="HT5" s="1717" t="s">
        <v>3089</v>
      </c>
      <c r="HU5" s="1717" t="s">
        <v>3089</v>
      </c>
      <c r="HV5" s="1717" t="s">
        <v>3090</v>
      </c>
      <c r="HW5" s="1717" t="s">
        <v>3091</v>
      </c>
      <c r="HX5" s="1717" t="s">
        <v>1964</v>
      </c>
      <c r="HY5" s="1717" t="s">
        <v>1964</v>
      </c>
      <c r="HZ5" s="1717" t="s">
        <v>2805</v>
      </c>
      <c r="IA5" s="1717" t="s">
        <v>2805</v>
      </c>
      <c r="IB5" s="1717" t="s">
        <v>1471</v>
      </c>
      <c r="IC5" s="1717" t="s">
        <v>1471</v>
      </c>
    </row>
    <row r="6" spans="1:241" ht="130.5" customHeight="1" x14ac:dyDescent="0.25">
      <c r="A6" s="1720"/>
      <c r="B6" s="1603" t="s">
        <v>187</v>
      </c>
      <c r="C6" s="250" t="s">
        <v>245</v>
      </c>
      <c r="D6" s="1721"/>
      <c r="E6" s="1721"/>
      <c r="F6" s="1721"/>
      <c r="G6" s="1721"/>
      <c r="H6" s="1721"/>
      <c r="I6" s="1721"/>
      <c r="J6" s="1721"/>
      <c r="K6" s="1721"/>
      <c r="L6" s="1721"/>
      <c r="M6" s="1721"/>
      <c r="N6" s="1721"/>
      <c r="O6" s="1721"/>
      <c r="P6" s="1721"/>
      <c r="Q6" s="1721"/>
      <c r="R6" s="1722"/>
      <c r="S6" s="1722"/>
      <c r="T6" s="1721"/>
      <c r="U6" s="1721"/>
      <c r="V6" s="1718"/>
      <c r="W6" s="1718"/>
      <c r="X6" s="1718"/>
      <c r="Y6" s="1718"/>
      <c r="Z6" s="1718"/>
      <c r="AA6" s="1718"/>
      <c r="AB6" s="1724"/>
      <c r="AC6" s="1724"/>
      <c r="AD6" s="1718"/>
      <c r="AE6" s="1718"/>
      <c r="AF6" s="1724"/>
      <c r="AG6" s="1724"/>
      <c r="AH6" s="1726"/>
      <c r="AI6" s="1726"/>
      <c r="AJ6" s="1718"/>
      <c r="AK6" s="1718"/>
      <c r="AL6" s="1718"/>
      <c r="AM6" s="1718"/>
      <c r="AN6" s="1718"/>
      <c r="AO6" s="1718"/>
      <c r="AP6" s="1718"/>
      <c r="AQ6" s="1718"/>
      <c r="AR6" s="1718"/>
      <c r="AS6" s="1718"/>
      <c r="AT6" s="1718"/>
      <c r="AU6" s="1718"/>
      <c r="AV6" s="1718"/>
      <c r="AW6" s="1718"/>
      <c r="AX6" s="1718"/>
      <c r="AY6" s="1718"/>
      <c r="AZ6" s="1718"/>
      <c r="BA6" s="1718"/>
      <c r="BB6" s="1718"/>
      <c r="BC6" s="1718"/>
      <c r="BD6" s="1718"/>
      <c r="BE6" s="1718"/>
      <c r="BF6" s="1718"/>
      <c r="BG6" s="1718"/>
      <c r="BH6" s="1718"/>
      <c r="BI6" s="1718"/>
      <c r="BJ6" s="1718"/>
      <c r="BK6" s="1718"/>
      <c r="BL6" s="1718"/>
      <c r="BM6" s="1718"/>
      <c r="BN6" s="1718"/>
      <c r="BO6" s="1718"/>
      <c r="BP6" s="1718"/>
      <c r="BQ6" s="1718"/>
      <c r="BR6" s="1718"/>
      <c r="BS6" s="1718"/>
      <c r="BT6" s="1718"/>
      <c r="BU6" s="1718"/>
      <c r="BV6" s="1718"/>
      <c r="BW6" s="1718"/>
      <c r="BX6" s="1724"/>
      <c r="BY6" s="1724"/>
      <c r="BZ6" s="1718"/>
      <c r="CA6" s="1718"/>
      <c r="CB6" s="1724"/>
      <c r="CC6" s="1724"/>
      <c r="CD6" s="1718"/>
      <c r="CE6" s="1718"/>
      <c r="CF6" s="1724"/>
      <c r="CG6" s="1724"/>
      <c r="CH6" s="1724"/>
      <c r="CI6" s="1724"/>
      <c r="CJ6" s="1718"/>
      <c r="CK6" s="1718"/>
      <c r="CL6" s="1718"/>
      <c r="CM6" s="1718"/>
      <c r="CN6" s="1718"/>
      <c r="CO6" s="1718"/>
      <c r="CP6" s="1718"/>
      <c r="CQ6" s="1718"/>
      <c r="CR6" s="1718"/>
      <c r="CS6" s="1718"/>
      <c r="CT6" s="1718"/>
      <c r="CU6" s="1718"/>
      <c r="CV6" s="1718"/>
      <c r="CW6" s="1718"/>
      <c r="CX6" s="1718"/>
      <c r="CY6" s="1718"/>
      <c r="CZ6" s="1718"/>
      <c r="DA6" s="1718"/>
      <c r="DB6" s="1718"/>
      <c r="DC6" s="1718"/>
      <c r="DD6" s="1718"/>
      <c r="DE6" s="1718"/>
      <c r="DF6" s="1724"/>
      <c r="DG6" s="1724"/>
      <c r="DH6" s="1718"/>
      <c r="DI6" s="1718"/>
      <c r="DJ6" s="1718"/>
      <c r="DK6" s="1718"/>
      <c r="DL6" s="1718"/>
      <c r="DM6" s="1718"/>
      <c r="DN6" s="1718"/>
      <c r="DO6" s="1718"/>
      <c r="DP6" s="1718"/>
      <c r="DQ6" s="1718"/>
      <c r="DR6" s="1718"/>
      <c r="DS6" s="1718"/>
      <c r="DT6" s="1718"/>
      <c r="DU6" s="1718"/>
      <c r="DV6" s="1717"/>
      <c r="DW6" s="1717"/>
      <c r="DX6" s="1717"/>
      <c r="DY6" s="1717"/>
      <c r="DZ6" s="1718"/>
      <c r="EA6" s="1718"/>
      <c r="EB6" s="1718"/>
      <c r="EC6" s="1718"/>
      <c r="ED6" s="1718"/>
      <c r="EE6" s="1718"/>
      <c r="EF6" s="1718"/>
      <c r="EG6" s="1718"/>
      <c r="EH6" s="1718"/>
      <c r="EI6" s="1718"/>
      <c r="EJ6" s="1718"/>
      <c r="EK6" s="1718"/>
      <c r="EL6" s="1718"/>
      <c r="EM6" s="1718"/>
      <c r="EN6" s="1718"/>
      <c r="EO6" s="1718"/>
      <c r="EP6" s="1718"/>
      <c r="EQ6" s="1718"/>
      <c r="ER6" s="1718"/>
      <c r="ES6" s="1718"/>
      <c r="ET6" s="1718"/>
      <c r="EU6" s="1718"/>
      <c r="EV6" s="1718"/>
      <c r="EW6" s="1718"/>
      <c r="EX6" s="1718"/>
      <c r="EY6" s="1718"/>
      <c r="EZ6" s="1718"/>
      <c r="FA6" s="1718"/>
      <c r="FB6" s="1718"/>
      <c r="FC6" s="1718"/>
      <c r="FD6" s="1718"/>
      <c r="FE6" s="1718"/>
      <c r="FF6" s="1718"/>
      <c r="FG6" s="1718"/>
      <c r="FH6" s="1718"/>
      <c r="FI6" s="1718"/>
      <c r="FJ6" s="1718"/>
      <c r="FK6" s="1718"/>
      <c r="FL6" s="1718"/>
      <c r="FM6" s="1718"/>
      <c r="FN6" s="1718"/>
      <c r="FO6" s="1718"/>
      <c r="FP6" s="1717"/>
      <c r="FQ6" s="1717"/>
      <c r="FR6" s="1718"/>
      <c r="FS6" s="1718"/>
      <c r="FT6" s="1718"/>
      <c r="FU6" s="1718"/>
      <c r="FV6" s="1718"/>
      <c r="FW6" s="1718"/>
      <c r="FX6" s="1717"/>
      <c r="FY6" s="1717"/>
      <c r="FZ6" s="1718"/>
      <c r="GA6" s="1726"/>
      <c r="GB6" s="1724"/>
      <c r="GC6" s="1724"/>
      <c r="GD6" s="1724"/>
      <c r="GE6" s="1724"/>
      <c r="GF6" s="1724"/>
      <c r="GG6" s="1724"/>
      <c r="GH6" s="1717"/>
      <c r="GI6" s="1717"/>
      <c r="GJ6" s="1718"/>
      <c r="GK6" s="1718"/>
      <c r="GL6" s="1718"/>
      <c r="GM6" s="1718"/>
      <c r="GN6" s="1717"/>
      <c r="GO6" s="1717"/>
      <c r="GP6" s="1717"/>
      <c r="GQ6" s="1717"/>
      <c r="GR6" s="1718"/>
      <c r="GS6" s="1718"/>
      <c r="GT6" s="1718"/>
      <c r="GU6" s="1718"/>
      <c r="GV6" s="1718"/>
      <c r="GW6" s="1718"/>
      <c r="GX6" s="1718"/>
      <c r="GY6" s="1718"/>
      <c r="GZ6" s="1718"/>
      <c r="HA6" s="1718"/>
      <c r="HB6" s="1718"/>
      <c r="HC6" s="1718"/>
      <c r="HD6" s="1718"/>
      <c r="HE6" s="1718"/>
      <c r="HF6" s="1718"/>
      <c r="HG6" s="1718"/>
      <c r="HH6" s="1718"/>
      <c r="HI6" s="1718"/>
      <c r="HJ6" s="1718"/>
      <c r="HK6" s="1718"/>
      <c r="HL6" s="1718"/>
      <c r="HM6" s="1718"/>
      <c r="HN6" s="1718"/>
      <c r="HO6" s="1718"/>
      <c r="HP6" s="1718"/>
      <c r="HQ6" s="1718"/>
      <c r="HR6" s="1718"/>
      <c r="HS6" s="1718"/>
      <c r="HT6" s="1718"/>
      <c r="HU6" s="1718"/>
      <c r="HV6" s="1718"/>
      <c r="HW6" s="1718"/>
      <c r="HX6" s="1718"/>
      <c r="HY6" s="1718"/>
      <c r="HZ6" s="1718"/>
      <c r="IA6" s="1718"/>
      <c r="IB6" s="1718"/>
      <c r="IC6" s="1718"/>
    </row>
    <row r="7" spans="1:241" ht="16.5" customHeight="1" x14ac:dyDescent="0.25">
      <c r="A7" s="251" t="s">
        <v>188</v>
      </c>
      <c r="B7" s="252" t="s">
        <v>189</v>
      </c>
      <c r="C7" s="252" t="s">
        <v>190</v>
      </c>
      <c r="D7" s="417" t="s">
        <v>191</v>
      </c>
      <c r="E7" s="417" t="s">
        <v>192</v>
      </c>
      <c r="F7" s="417" t="s">
        <v>193</v>
      </c>
      <c r="G7" s="417" t="s">
        <v>194</v>
      </c>
      <c r="H7" s="417" t="s">
        <v>195</v>
      </c>
      <c r="I7" s="417" t="s">
        <v>196</v>
      </c>
      <c r="J7" s="417" t="s">
        <v>197</v>
      </c>
      <c r="K7" s="417" t="s">
        <v>198</v>
      </c>
      <c r="L7" s="417" t="s">
        <v>225</v>
      </c>
      <c r="M7" s="417" t="s">
        <v>226</v>
      </c>
      <c r="N7" s="417" t="s">
        <v>227</v>
      </c>
      <c r="O7" s="417" t="s">
        <v>228</v>
      </c>
      <c r="P7" s="417" t="s">
        <v>229</v>
      </c>
      <c r="Q7" s="417" t="s">
        <v>230</v>
      </c>
      <c r="R7" s="417" t="s">
        <v>231</v>
      </c>
      <c r="S7" s="417" t="s">
        <v>232</v>
      </c>
      <c r="T7" s="417" t="s">
        <v>233</v>
      </c>
      <c r="U7" s="417" t="s">
        <v>260</v>
      </c>
      <c r="V7" s="417" t="s">
        <v>261</v>
      </c>
      <c r="W7" s="417" t="s">
        <v>262</v>
      </c>
      <c r="X7" s="417" t="s">
        <v>263</v>
      </c>
      <c r="Y7" s="417" t="s">
        <v>264</v>
      </c>
      <c r="Z7" s="417" t="s">
        <v>265</v>
      </c>
      <c r="AA7" s="417" t="s">
        <v>266</v>
      </c>
      <c r="AB7" s="417" t="s">
        <v>267</v>
      </c>
      <c r="AC7" s="417" t="s">
        <v>268</v>
      </c>
      <c r="AD7" s="417" t="s">
        <v>269</v>
      </c>
      <c r="AE7" s="417" t="s">
        <v>270</v>
      </c>
      <c r="AF7" s="417" t="s">
        <v>271</v>
      </c>
      <c r="AG7" s="417" t="s">
        <v>272</v>
      </c>
      <c r="AH7" s="417" t="s">
        <v>276</v>
      </c>
      <c r="AI7" s="417" t="s">
        <v>277</v>
      </c>
      <c r="AJ7" s="417" t="s">
        <v>278</v>
      </c>
      <c r="AK7" s="417" t="s">
        <v>279</v>
      </c>
      <c r="AL7" s="417" t="s">
        <v>280</v>
      </c>
      <c r="AM7" s="417" t="s">
        <v>281</v>
      </c>
      <c r="AN7" s="417" t="s">
        <v>282</v>
      </c>
      <c r="AO7" s="417" t="s">
        <v>283</v>
      </c>
      <c r="AP7" s="417" t="s">
        <v>284</v>
      </c>
      <c r="AQ7" s="417" t="s">
        <v>285</v>
      </c>
      <c r="AR7" s="417" t="s">
        <v>286</v>
      </c>
      <c r="AS7" s="417" t="s">
        <v>287</v>
      </c>
      <c r="AT7" s="417" t="s">
        <v>288</v>
      </c>
      <c r="AU7" s="417" t="s">
        <v>289</v>
      </c>
      <c r="AV7" s="417" t="s">
        <v>290</v>
      </c>
      <c r="AW7" s="417" t="s">
        <v>291</v>
      </c>
      <c r="AX7" s="417" t="s">
        <v>292</v>
      </c>
      <c r="AY7" s="417" t="s">
        <v>293</v>
      </c>
      <c r="AZ7" s="417" t="s">
        <v>294</v>
      </c>
      <c r="BA7" s="417" t="s">
        <v>730</v>
      </c>
      <c r="BB7" s="417" t="s">
        <v>295</v>
      </c>
      <c r="BC7" s="417" t="s">
        <v>731</v>
      </c>
      <c r="BD7" s="417" t="s">
        <v>296</v>
      </c>
      <c r="BE7" s="417" t="s">
        <v>297</v>
      </c>
      <c r="BF7" s="417" t="s">
        <v>298</v>
      </c>
      <c r="BG7" s="417" t="s">
        <v>299</v>
      </c>
      <c r="BH7" s="417" t="s">
        <v>300</v>
      </c>
      <c r="BI7" s="417" t="s">
        <v>301</v>
      </c>
      <c r="BJ7" s="417" t="s">
        <v>302</v>
      </c>
      <c r="BK7" s="417" t="s">
        <v>303</v>
      </c>
      <c r="BL7" s="417" t="s">
        <v>304</v>
      </c>
      <c r="BM7" s="417" t="s">
        <v>305</v>
      </c>
      <c r="BN7" s="417" t="s">
        <v>306</v>
      </c>
      <c r="BO7" s="417" t="s">
        <v>307</v>
      </c>
      <c r="BP7" s="417" t="s">
        <v>308</v>
      </c>
      <c r="BQ7" s="417" t="s">
        <v>309</v>
      </c>
      <c r="BR7" s="417" t="s">
        <v>732</v>
      </c>
      <c r="BS7" s="417" t="s">
        <v>310</v>
      </c>
      <c r="BT7" s="417" t="s">
        <v>311</v>
      </c>
      <c r="BU7" s="417" t="s">
        <v>733</v>
      </c>
      <c r="BV7" s="417" t="s">
        <v>734</v>
      </c>
      <c r="BW7" s="417" t="s">
        <v>156</v>
      </c>
      <c r="BX7" s="417" t="s">
        <v>312</v>
      </c>
      <c r="BY7" s="417" t="s">
        <v>735</v>
      </c>
      <c r="BZ7" s="417" t="s">
        <v>736</v>
      </c>
      <c r="CA7" s="417" t="s">
        <v>313</v>
      </c>
      <c r="CB7" s="417" t="s">
        <v>314</v>
      </c>
      <c r="CC7" s="417" t="s">
        <v>315</v>
      </c>
      <c r="CD7" s="417" t="s">
        <v>316</v>
      </c>
      <c r="CE7" s="417" t="s">
        <v>317</v>
      </c>
      <c r="CF7" s="417" t="s">
        <v>318</v>
      </c>
      <c r="CG7" s="417" t="s">
        <v>319</v>
      </c>
      <c r="CH7" s="417" t="s">
        <v>320</v>
      </c>
      <c r="CI7" s="417" t="s">
        <v>737</v>
      </c>
      <c r="CJ7" s="417" t="s">
        <v>738</v>
      </c>
      <c r="CK7" s="417" t="s">
        <v>739</v>
      </c>
      <c r="CL7" s="417" t="s">
        <v>740</v>
      </c>
      <c r="CM7" s="417" t="s">
        <v>741</v>
      </c>
      <c r="CN7" s="417" t="s">
        <v>742</v>
      </c>
      <c r="CO7" s="417" t="s">
        <v>1325</v>
      </c>
      <c r="CP7" s="417" t="s">
        <v>743</v>
      </c>
      <c r="CQ7" s="417" t="s">
        <v>874</v>
      </c>
      <c r="CR7" s="417" t="s">
        <v>321</v>
      </c>
      <c r="CS7" s="417" t="s">
        <v>322</v>
      </c>
      <c r="CT7" s="417" t="s">
        <v>323</v>
      </c>
      <c r="CU7" s="417" t="s">
        <v>324</v>
      </c>
      <c r="CV7" s="417" t="s">
        <v>325</v>
      </c>
      <c r="CW7" s="417" t="s">
        <v>744</v>
      </c>
      <c r="CX7" s="417" t="s">
        <v>768</v>
      </c>
      <c r="CY7" s="417" t="s">
        <v>769</v>
      </c>
      <c r="CZ7" s="417" t="s">
        <v>770</v>
      </c>
      <c r="DA7" s="417" t="s">
        <v>773</v>
      </c>
      <c r="DB7" s="417" t="s">
        <v>774</v>
      </c>
      <c r="DC7" s="417" t="s">
        <v>775</v>
      </c>
      <c r="DD7" s="417" t="s">
        <v>776</v>
      </c>
      <c r="DE7" s="417" t="s">
        <v>771</v>
      </c>
      <c r="DF7" s="417" t="s">
        <v>772</v>
      </c>
      <c r="DG7" s="417" t="s">
        <v>777</v>
      </c>
      <c r="DH7" s="417" t="s">
        <v>778</v>
      </c>
      <c r="DI7" s="417" t="s">
        <v>779</v>
      </c>
      <c r="DJ7" s="417" t="s">
        <v>780</v>
      </c>
      <c r="DK7" s="417" t="s">
        <v>781</v>
      </c>
      <c r="DL7" s="417" t="s">
        <v>782</v>
      </c>
      <c r="DM7" s="417" t="s">
        <v>783</v>
      </c>
      <c r="DN7" s="417" t="s">
        <v>784</v>
      </c>
      <c r="DO7" s="417" t="s">
        <v>785</v>
      </c>
      <c r="DP7" s="417" t="s">
        <v>786</v>
      </c>
      <c r="DQ7" s="417" t="s">
        <v>787</v>
      </c>
      <c r="DR7" s="417" t="s">
        <v>788</v>
      </c>
      <c r="DS7" s="417" t="s">
        <v>789</v>
      </c>
      <c r="DT7" s="417" t="s">
        <v>790</v>
      </c>
      <c r="DU7" s="417" t="s">
        <v>791</v>
      </c>
      <c r="DV7" s="417" t="s">
        <v>792</v>
      </c>
      <c r="DW7" s="417" t="s">
        <v>793</v>
      </c>
      <c r="DX7" s="417" t="s">
        <v>801</v>
      </c>
      <c r="DY7" s="417" t="s">
        <v>800</v>
      </c>
      <c r="DZ7" s="417" t="s">
        <v>802</v>
      </c>
      <c r="EA7" s="417" t="s">
        <v>799</v>
      </c>
      <c r="EB7" s="417" t="s">
        <v>804</v>
      </c>
      <c r="EC7" s="417" t="s">
        <v>798</v>
      </c>
      <c r="ED7" s="417" t="s">
        <v>797</v>
      </c>
      <c r="EE7" s="417" t="s">
        <v>806</v>
      </c>
      <c r="EF7" s="417" t="s">
        <v>796</v>
      </c>
      <c r="EG7" s="417" t="s">
        <v>795</v>
      </c>
      <c r="EH7" s="417" t="s">
        <v>794</v>
      </c>
      <c r="EI7" s="417" t="s">
        <v>807</v>
      </c>
      <c r="EJ7" s="417" t="s">
        <v>808</v>
      </c>
      <c r="EK7" s="417" t="s">
        <v>809</v>
      </c>
      <c r="EL7" s="417" t="s">
        <v>1295</v>
      </c>
      <c r="EM7" s="417" t="s">
        <v>1362</v>
      </c>
      <c r="EN7" s="417" t="s">
        <v>1363</v>
      </c>
      <c r="EO7" s="417" t="s">
        <v>1364</v>
      </c>
      <c r="EP7" s="417" t="s">
        <v>1365</v>
      </c>
      <c r="EQ7" s="417" t="s">
        <v>1366</v>
      </c>
      <c r="ER7" s="417" t="s">
        <v>1367</v>
      </c>
      <c r="ES7" s="417" t="s">
        <v>1306</v>
      </c>
      <c r="ET7" s="417" t="s">
        <v>1307</v>
      </c>
      <c r="EU7" s="417" t="s">
        <v>1412</v>
      </c>
      <c r="EV7" s="417" t="s">
        <v>1413</v>
      </c>
      <c r="EW7" s="417" t="s">
        <v>1414</v>
      </c>
      <c r="EX7" s="417" t="s">
        <v>1424</v>
      </c>
      <c r="EY7" s="417" t="s">
        <v>1472</v>
      </c>
      <c r="EZ7" s="417" t="s">
        <v>1563</v>
      </c>
      <c r="FA7" s="417" t="s">
        <v>1564</v>
      </c>
      <c r="FB7" s="417" t="s">
        <v>1565</v>
      </c>
      <c r="FC7" s="417" t="s">
        <v>1566</v>
      </c>
      <c r="FD7" s="417" t="s">
        <v>1567</v>
      </c>
      <c r="FE7" s="417" t="s">
        <v>1568</v>
      </c>
      <c r="FF7" s="417" t="s">
        <v>1569</v>
      </c>
      <c r="FG7" s="417" t="s">
        <v>1570</v>
      </c>
      <c r="FH7" s="417" t="s">
        <v>1571</v>
      </c>
      <c r="FI7" s="417" t="s">
        <v>1572</v>
      </c>
      <c r="FJ7" s="417" t="s">
        <v>1573</v>
      </c>
      <c r="FK7" s="417" t="s">
        <v>1574</v>
      </c>
      <c r="FL7" s="417" t="s">
        <v>1575</v>
      </c>
      <c r="FM7" s="417" t="s">
        <v>1576</v>
      </c>
      <c r="FN7" s="417" t="s">
        <v>1577</v>
      </c>
      <c r="FO7" s="417" t="s">
        <v>1578</v>
      </c>
      <c r="FP7" s="417" t="s">
        <v>1579</v>
      </c>
      <c r="FQ7" s="417" t="s">
        <v>1580</v>
      </c>
      <c r="FR7" s="417" t="s">
        <v>1581</v>
      </c>
      <c r="FS7" s="417" t="s">
        <v>1582</v>
      </c>
      <c r="FT7" s="417" t="s">
        <v>1583</v>
      </c>
      <c r="FU7" s="417" t="s">
        <v>1584</v>
      </c>
      <c r="FV7" s="417" t="s">
        <v>1585</v>
      </c>
      <c r="FW7" s="417" t="s">
        <v>1586</v>
      </c>
      <c r="FX7" s="417" t="s">
        <v>1587</v>
      </c>
      <c r="FY7" s="417" t="s">
        <v>1588</v>
      </c>
      <c r="FZ7" s="417" t="s">
        <v>1589</v>
      </c>
      <c r="GA7" s="417" t="s">
        <v>1590</v>
      </c>
      <c r="GB7" s="417" t="s">
        <v>1591</v>
      </c>
      <c r="GC7" s="417" t="s">
        <v>1592</v>
      </c>
      <c r="GD7" s="417" t="s">
        <v>1593</v>
      </c>
      <c r="GE7" s="417" t="s">
        <v>1594</v>
      </c>
      <c r="GF7" s="417" t="s">
        <v>1595</v>
      </c>
      <c r="GG7" s="417" t="s">
        <v>1596</v>
      </c>
      <c r="GH7" s="417" t="s">
        <v>1597</v>
      </c>
      <c r="GI7" s="417" t="s">
        <v>1598</v>
      </c>
      <c r="GJ7" s="417" t="s">
        <v>1599</v>
      </c>
      <c r="GK7" s="417" t="s">
        <v>1600</v>
      </c>
      <c r="GL7" s="417" t="s">
        <v>1601</v>
      </c>
      <c r="GM7" s="417" t="s">
        <v>1602</v>
      </c>
      <c r="GN7" s="417" t="s">
        <v>1603</v>
      </c>
      <c r="GO7" s="417" t="s">
        <v>1604</v>
      </c>
      <c r="GP7" s="417" t="s">
        <v>1605</v>
      </c>
      <c r="GQ7" s="417" t="s">
        <v>1606</v>
      </c>
      <c r="GR7" s="417" t="s">
        <v>1607</v>
      </c>
      <c r="GS7" s="417" t="s">
        <v>1608</v>
      </c>
      <c r="GT7" s="417" t="s">
        <v>1609</v>
      </c>
      <c r="GU7" s="417" t="s">
        <v>1610</v>
      </c>
      <c r="GV7" s="417" t="s">
        <v>1611</v>
      </c>
      <c r="GW7" s="417" t="s">
        <v>1612</v>
      </c>
      <c r="GX7" s="417" t="s">
        <v>1613</v>
      </c>
      <c r="GY7" s="417" t="s">
        <v>1614</v>
      </c>
      <c r="GZ7" s="417" t="s">
        <v>1615</v>
      </c>
      <c r="HA7" s="417" t="s">
        <v>1616</v>
      </c>
      <c r="HB7" s="417" t="s">
        <v>1617</v>
      </c>
      <c r="HC7" s="417" t="s">
        <v>1618</v>
      </c>
      <c r="HD7" s="417" t="s">
        <v>1619</v>
      </c>
      <c r="HE7" s="417" t="s">
        <v>1620</v>
      </c>
      <c r="HF7" s="417" t="s">
        <v>1621</v>
      </c>
      <c r="HG7" s="417" t="s">
        <v>1622</v>
      </c>
      <c r="HH7" s="417" t="s">
        <v>1623</v>
      </c>
      <c r="HI7" s="417" t="s">
        <v>1624</v>
      </c>
      <c r="HJ7" s="417" t="s">
        <v>1625</v>
      </c>
      <c r="HK7" s="417" t="s">
        <v>1626</v>
      </c>
      <c r="HL7" s="417" t="s">
        <v>1627</v>
      </c>
      <c r="HM7" s="417" t="s">
        <v>1628</v>
      </c>
      <c r="HN7" s="417" t="s">
        <v>1629</v>
      </c>
      <c r="HO7" s="417" t="s">
        <v>1630</v>
      </c>
      <c r="HP7" s="417" t="s">
        <v>1631</v>
      </c>
      <c r="HQ7" s="417" t="s">
        <v>1632</v>
      </c>
      <c r="HR7" s="417" t="s">
        <v>1633</v>
      </c>
      <c r="HS7" s="417" t="s">
        <v>1634</v>
      </c>
      <c r="HT7" s="417" t="s">
        <v>1635</v>
      </c>
      <c r="HU7" s="417" t="s">
        <v>1636</v>
      </c>
      <c r="HV7" s="417" t="s">
        <v>1637</v>
      </c>
      <c r="HW7" s="417" t="s">
        <v>1638</v>
      </c>
      <c r="HX7" s="417" t="s">
        <v>1639</v>
      </c>
      <c r="HY7" s="417" t="s">
        <v>1640</v>
      </c>
      <c r="HZ7" s="417" t="s">
        <v>1641</v>
      </c>
      <c r="IA7" s="417" t="s">
        <v>1642</v>
      </c>
      <c r="IB7" s="417" t="s">
        <v>1643</v>
      </c>
      <c r="IC7" s="417" t="s">
        <v>1644</v>
      </c>
      <c r="ID7" s="1422" t="s">
        <v>2274</v>
      </c>
      <c r="IF7" s="1422" t="s">
        <v>2275</v>
      </c>
    </row>
    <row r="8" spans="1:241" ht="21.75" customHeight="1" x14ac:dyDescent="0.3">
      <c r="A8" s="253" t="s">
        <v>188</v>
      </c>
      <c r="B8" s="254" t="s">
        <v>329</v>
      </c>
      <c r="C8" s="255" t="s">
        <v>199</v>
      </c>
      <c r="D8" s="274"/>
      <c r="E8" s="274"/>
      <c r="F8" s="274"/>
      <c r="G8" s="274"/>
      <c r="H8" s="274"/>
      <c r="I8" s="274"/>
      <c r="J8" s="274"/>
      <c r="K8" s="274"/>
      <c r="L8" s="274"/>
      <c r="M8" s="274"/>
      <c r="N8" s="274"/>
      <c r="O8" s="274"/>
      <c r="P8" s="274"/>
      <c r="Q8" s="274"/>
      <c r="R8" s="274"/>
      <c r="S8" s="274"/>
      <c r="T8" s="274"/>
      <c r="U8" s="274"/>
      <c r="V8" s="286"/>
      <c r="W8" s="286"/>
      <c r="X8" s="286"/>
      <c r="Y8" s="286"/>
      <c r="Z8" s="286"/>
      <c r="AA8" s="286"/>
      <c r="AB8" s="286"/>
      <c r="AC8" s="286"/>
      <c r="AD8" s="286"/>
      <c r="AE8" s="286"/>
      <c r="AF8" s="286"/>
      <c r="AG8" s="286"/>
      <c r="AH8" s="286"/>
      <c r="AI8" s="286"/>
      <c r="AJ8" s="274">
        <f>+(87027625)+361190</f>
        <v>87388815</v>
      </c>
      <c r="AK8" s="274">
        <f>+AJ8+100000</f>
        <v>87488815</v>
      </c>
      <c r="AL8" s="274">
        <v>19400000</v>
      </c>
      <c r="AM8" s="274">
        <f>+AL8-451200+451200+27934000+400000-100000+100000+100000-80000+80000-3570000+1300000+500000+1770000+3630000+1499952</f>
        <v>52963952</v>
      </c>
      <c r="AN8" s="274"/>
      <c r="AO8" s="274"/>
      <c r="AP8" s="274"/>
      <c r="AQ8" s="274"/>
      <c r="AR8" s="274"/>
      <c r="AS8" s="274"/>
      <c r="AT8" s="274"/>
      <c r="AU8" s="274"/>
      <c r="AV8" s="274">
        <v>1238938</v>
      </c>
      <c r="AW8" s="274">
        <f>+AV8</f>
        <v>1238938</v>
      </c>
      <c r="AX8" s="274"/>
      <c r="AY8" s="274">
        <v>467400</v>
      </c>
      <c r="AZ8" s="274"/>
      <c r="BA8" s="274"/>
      <c r="BB8" s="274"/>
      <c r="BC8" s="274"/>
      <c r="BD8" s="274"/>
      <c r="BE8" s="274"/>
      <c r="BF8" s="274"/>
      <c r="BG8" s="274"/>
      <c r="BH8" s="274"/>
      <c r="BI8" s="274"/>
      <c r="BJ8" s="274"/>
      <c r="BK8" s="274"/>
      <c r="BL8" s="274"/>
      <c r="BM8" s="274"/>
      <c r="BN8" s="274"/>
      <c r="BO8" s="274"/>
      <c r="BP8" s="274">
        <v>144000</v>
      </c>
      <c r="BQ8" s="274">
        <f>+BP8</f>
        <v>144000</v>
      </c>
      <c r="BR8" s="274">
        <v>4000000</v>
      </c>
      <c r="BS8" s="274">
        <f>+BR8</f>
        <v>4000000</v>
      </c>
      <c r="BT8" s="274"/>
      <c r="BU8" s="274"/>
      <c r="BV8" s="274"/>
      <c r="BW8" s="274"/>
      <c r="BX8" s="274"/>
      <c r="BY8" s="274"/>
      <c r="BZ8" s="274">
        <v>12870000</v>
      </c>
      <c r="CA8" s="274">
        <f>+BZ8-15600+15600-90000+90000-90000+90000-90000+90000-210000+210000-90000+90000-90000+90000-90000+90000-90000+90000-90000+90000-1160000+90000+1070000-90000+90000</f>
        <v>12870000</v>
      </c>
      <c r="CB8" s="286"/>
      <c r="CC8" s="286"/>
      <c r="CD8" s="274"/>
      <c r="CE8" s="274"/>
      <c r="CF8" s="274"/>
      <c r="CG8" s="274"/>
      <c r="CH8" s="274"/>
      <c r="CI8" s="274"/>
      <c r="CJ8" s="306">
        <v>3000000</v>
      </c>
      <c r="CK8" s="306">
        <f>+CJ8</f>
        <v>3000000</v>
      </c>
      <c r="CL8" s="274"/>
      <c r="CM8" s="274"/>
      <c r="CN8" s="274">
        <v>14525000</v>
      </c>
      <c r="CO8" s="274">
        <f>+CN8-210000+210000-509195+500000+9195+100000-32184+32184-500000+500000-1499952</f>
        <v>13125048</v>
      </c>
      <c r="CP8" s="274">
        <v>18905000</v>
      </c>
      <c r="CQ8" s="274">
        <f>+CP8-61855+61855-6872+6872+200000-172223+172223+75000-350000+350000-4618559</f>
        <v>14561441</v>
      </c>
      <c r="CR8" s="274"/>
      <c r="CS8" s="274"/>
      <c r="CT8" s="274"/>
      <c r="CU8" s="274"/>
      <c r="CV8" s="274"/>
      <c r="CW8" s="274"/>
      <c r="CX8" s="274"/>
      <c r="CY8" s="274"/>
      <c r="CZ8" s="274">
        <v>13072000</v>
      </c>
      <c r="DA8" s="274">
        <f>+CZ8-9000+9000-46800+9000+37800+400000-18000+18000-27000+27000-90000+36000+54000+100000-18000+18000-9000+9000+1200000+96154-9000+9000</f>
        <v>14868154</v>
      </c>
      <c r="DB8" s="274">
        <v>36430000</v>
      </c>
      <c r="DC8" s="274">
        <f>+DB8-142000+142000-67000+27000+40000-40000+40000-74200+9000+65200+1039451-187600+9000+178600-155971+155971-58000+18000+40000-67000+27000+40000+300000-58000+18000+40000-49000+9000+40000-4896703+3560549+40000-40000+40000</f>
        <v>36473297</v>
      </c>
      <c r="DD8" s="274"/>
      <c r="DE8" s="274"/>
      <c r="DF8" s="274">
        <v>9100000</v>
      </c>
      <c r="DG8" s="274">
        <f>+DF8-654000</f>
        <v>8446000</v>
      </c>
      <c r="DH8" s="274">
        <v>17699115</v>
      </c>
      <c r="DI8" s="274">
        <f>+DH8+30000-390000+390000-3779387</f>
        <v>13949728</v>
      </c>
      <c r="DJ8" s="274"/>
      <c r="DK8" s="274">
        <f>952649+200000+1000000+5400000-75000+75000</f>
        <v>7552649</v>
      </c>
      <c r="DL8" s="285">
        <f>+(43900000)+63810</f>
        <v>43963810</v>
      </c>
      <c r="DM8" s="285">
        <f>+DL8-85750+85750-12250+12250+1600000-173117+173117-186209+186209-70000+70000+600000-200000+200000-6200000+6100000+100000+988559</f>
        <v>47152369</v>
      </c>
      <c r="DN8" s="286"/>
      <c r="DO8" s="286"/>
      <c r="DP8" s="274"/>
      <c r="DQ8" s="274"/>
      <c r="DR8" s="274">
        <v>707965</v>
      </c>
      <c r="DS8" s="274">
        <f>+DR8+624000</f>
        <v>1331965</v>
      </c>
      <c r="DT8" s="274"/>
      <c r="DU8" s="274"/>
      <c r="DV8" s="274"/>
      <c r="DW8" s="274"/>
      <c r="DX8" s="274"/>
      <c r="DY8" s="274"/>
      <c r="DZ8" s="274"/>
      <c r="EA8" s="274"/>
      <c r="EB8" s="274"/>
      <c r="EC8" s="274"/>
      <c r="ED8" s="274"/>
      <c r="EE8" s="274"/>
      <c r="EF8" s="274"/>
      <c r="EG8" s="274"/>
      <c r="EH8" s="274"/>
      <c r="EI8" s="274"/>
      <c r="EJ8" s="274"/>
      <c r="EK8" s="274"/>
      <c r="EL8" s="274"/>
      <c r="EM8" s="274"/>
      <c r="EN8" s="274"/>
      <c r="EO8" s="274"/>
      <c r="EP8" s="274"/>
      <c r="EQ8" s="274"/>
      <c r="ER8" s="669">
        <v>3552035</v>
      </c>
      <c r="ES8" s="669">
        <f>+ER8</f>
        <v>3552035</v>
      </c>
      <c r="ET8" s="274"/>
      <c r="EU8" s="274"/>
      <c r="EV8" s="274"/>
      <c r="EW8" s="274"/>
      <c r="EX8" s="274">
        <v>720000</v>
      </c>
      <c r="EY8" s="274">
        <f>+EX8</f>
        <v>720000</v>
      </c>
      <c r="EZ8" s="274"/>
      <c r="FA8" s="274"/>
      <c r="FB8" s="274"/>
      <c r="FC8" s="274"/>
      <c r="FD8" s="274"/>
      <c r="FE8" s="274"/>
      <c r="FF8" s="274"/>
      <c r="FG8" s="274"/>
      <c r="FH8" s="274"/>
      <c r="FI8" s="274"/>
      <c r="FJ8" s="274"/>
      <c r="FK8" s="274"/>
      <c r="FL8" s="274"/>
      <c r="FM8" s="274"/>
      <c r="FN8" s="274"/>
      <c r="FO8" s="274"/>
      <c r="FP8" s="274"/>
      <c r="FQ8" s="274"/>
      <c r="FR8" s="274"/>
      <c r="FS8" s="274"/>
      <c r="FT8" s="274"/>
      <c r="FU8" s="274"/>
      <c r="FV8" s="274"/>
      <c r="FW8" s="274"/>
      <c r="FX8" s="274"/>
      <c r="FY8" s="274"/>
      <c r="FZ8" s="274"/>
      <c r="GA8" s="274"/>
      <c r="GB8" s="274"/>
      <c r="GC8" s="274"/>
      <c r="GD8" s="274"/>
      <c r="GE8" s="274"/>
      <c r="GF8" s="274"/>
      <c r="GG8" s="274"/>
      <c r="GH8" s="274"/>
      <c r="GI8" s="274">
        <f>20000+100000</f>
        <v>120000</v>
      </c>
      <c r="GJ8" s="286"/>
      <c r="GK8" s="286"/>
      <c r="GL8" s="286"/>
      <c r="GM8" s="286"/>
      <c r="GN8" s="286"/>
      <c r="GO8" s="286"/>
      <c r="GP8" s="286"/>
      <c r="GQ8" s="286"/>
      <c r="GR8" s="286"/>
      <c r="GS8" s="286"/>
      <c r="GT8" s="286"/>
      <c r="GU8" s="286"/>
      <c r="GV8" s="286"/>
      <c r="GW8" s="286"/>
      <c r="GX8" s="286"/>
      <c r="GY8" s="286"/>
      <c r="GZ8" s="286"/>
      <c r="HA8" s="286"/>
      <c r="HB8" s="274"/>
      <c r="HC8" s="274"/>
      <c r="HD8" s="306"/>
      <c r="HE8" s="306">
        <v>1739280</v>
      </c>
      <c r="HF8" s="306"/>
      <c r="HG8" s="306"/>
      <c r="HH8" s="274"/>
      <c r="HI8" s="274"/>
      <c r="HJ8" s="274"/>
      <c r="HK8" s="274"/>
      <c r="HL8" s="274"/>
      <c r="HM8" s="274"/>
      <c r="HN8" s="274"/>
      <c r="HO8" s="274"/>
      <c r="HP8" s="274"/>
      <c r="HQ8" s="274"/>
      <c r="HR8" s="274"/>
      <c r="HS8" s="274"/>
      <c r="HT8" s="274"/>
      <c r="HU8" s="274"/>
      <c r="HV8" s="274"/>
      <c r="HW8" s="274"/>
      <c r="HX8" s="274"/>
      <c r="HY8" s="274"/>
      <c r="HZ8" s="274"/>
      <c r="IA8" s="274"/>
      <c r="IB8" s="274"/>
      <c r="IC8" s="274"/>
      <c r="ID8" s="957">
        <f>+D8+F8+H8+L8+N8+P8+R8+T8+V8+AB8+AD8+AF8+AH8+AJ8+AL8+AN8+AP8+AR8+AZ8+BB8+BD8+BF8+BH8+BJ8+BL8+BN8+BP8+BV8+BX8+BZ8+CB8+CF8+CN8+CP8+CR8+CT8+CV8+CZ8+DB8+DD8+DP8+DT8+DZ8+EB8+EF8+EH8+EL8+EV8+EX8+EZ8+FL8+FN8+FP8+FT8+FV8+FZ8+GB8+GD8+GF8+GJ8+GL8+GN8+GP8+HD8+HF8+HH8+HJ8+HL8+HN8+HP8+HR8+IB8</f>
        <v>203454815</v>
      </c>
      <c r="IE8" s="957">
        <f>+E8+G8+I8+M8+O8+Q8+S8+U8+W8+AC8+AE8+AG8+AI8+AK8+AM8+AO8+AQ8+AS8+BA8+BC8+BE8+BG8+BI8+BK8+BM8+BO8+BQ8+BW8+BY8+CA8+CC8+CG8+CO8+CQ8+CS8+CU8+CW8+DA8+DC8+DE8+DQ8+DU8+EA8+EC8+EG8+EI8+EM8+EW8+EY8+FA8+FM8+FO8+FQ8+FU8+FW8+GA8+GC8+GE8+GG8+GK8+GM8+GO8+GQ8+HE8+HG8+HI8+HK8+HM8+HO8+HQ8+HS8+IC8+EE8+EK8+CY8</f>
        <v>234953987</v>
      </c>
      <c r="IF8" s="258">
        <f>+J8+X8+Z8+AT8+AV8+AX8+BR8+BT8+CD8+CH8+CJ8+CL8+DF8+DH8+DJ8+DL8+DN8+DR8+DV8+DX8+EN8+EP8+ER8+ET8+FB8+FD8+FF8+FH8+FJ8+FR8+FX8+GH8+GR8+GT8+GV8+GX8+GZ8+HB8+HT8+HV8+HX8+HZ8</f>
        <v>83261863</v>
      </c>
      <c r="IG8" s="258">
        <f>+K8+Y8+AA8+AU8+AW8+AY8+BS8+BU8+CE8+CI8+CK8+CM8+DG8+DI8+DK8+DM8+DO8+DS8+DW8+DY8+EO8+EQ8+ES8+EU8+FC8+FE8+FG8+FI8+FK8+FS8+FY8+GI8+GS8+GU8+GW8+GY8+HA8+HC8+HU8+HW8+HY8+IA8</f>
        <v>90811084</v>
      </c>
    </row>
    <row r="9" spans="1:241" s="260" customFormat="1" ht="21.75" customHeight="1" x14ac:dyDescent="0.3">
      <c r="A9" s="253" t="s">
        <v>189</v>
      </c>
      <c r="B9" s="259" t="s">
        <v>200</v>
      </c>
      <c r="C9" s="255" t="s">
        <v>201</v>
      </c>
      <c r="D9" s="274"/>
      <c r="E9" s="274"/>
      <c r="F9" s="274"/>
      <c r="G9" s="274"/>
      <c r="H9" s="274"/>
      <c r="I9" s="274"/>
      <c r="J9" s="274"/>
      <c r="K9" s="274"/>
      <c r="L9" s="274"/>
      <c r="M9" s="274"/>
      <c r="N9" s="274"/>
      <c r="O9" s="274"/>
      <c r="P9" s="274"/>
      <c r="Q9" s="274"/>
      <c r="R9" s="274"/>
      <c r="S9" s="274"/>
      <c r="T9" s="274"/>
      <c r="U9" s="274"/>
      <c r="V9" s="285"/>
      <c r="W9" s="285"/>
      <c r="X9" s="285"/>
      <c r="Y9" s="285"/>
      <c r="Z9" s="285"/>
      <c r="AA9" s="285"/>
      <c r="AB9" s="285"/>
      <c r="AC9" s="285"/>
      <c r="AD9" s="285"/>
      <c r="AE9" s="285"/>
      <c r="AF9" s="285"/>
      <c r="AG9" s="285"/>
      <c r="AH9" s="285"/>
      <c r="AI9" s="285"/>
      <c r="AJ9" s="274">
        <v>11855591</v>
      </c>
      <c r="AK9" s="274">
        <f>+AJ9+28000-350745-1999921-23736</f>
        <v>9509189</v>
      </c>
      <c r="AL9" s="274">
        <f>2592000+600832+100000+400000+650000</f>
        <v>4342832</v>
      </c>
      <c r="AM9" s="274">
        <f>+AL9+3631420+52000-388041-309471+28000</f>
        <v>7356740</v>
      </c>
      <c r="AN9" s="274"/>
      <c r="AO9" s="274"/>
      <c r="AP9" s="274"/>
      <c r="AQ9" s="274"/>
      <c r="AR9" s="274"/>
      <c r="AS9" s="274"/>
      <c r="AT9" s="274"/>
      <c r="AU9" s="274"/>
      <c r="AV9" s="274">
        <v>161062</v>
      </c>
      <c r="AW9" s="274">
        <f>+AV9</f>
        <v>161062</v>
      </c>
      <c r="AX9" s="274"/>
      <c r="AY9" s="274">
        <v>170000</v>
      </c>
      <c r="AZ9" s="274"/>
      <c r="BA9" s="274"/>
      <c r="BB9" s="274"/>
      <c r="BC9" s="274"/>
      <c r="BD9" s="274"/>
      <c r="BE9" s="274"/>
      <c r="BF9" s="274"/>
      <c r="BG9" s="274"/>
      <c r="BH9" s="274"/>
      <c r="BI9" s="274"/>
      <c r="BJ9" s="274"/>
      <c r="BK9" s="274"/>
      <c r="BL9" s="274"/>
      <c r="BM9" s="274"/>
      <c r="BN9" s="274"/>
      <c r="BO9" s="274"/>
      <c r="BP9" s="274">
        <v>18720</v>
      </c>
      <c r="BQ9" s="274">
        <f>+BP9</f>
        <v>18720</v>
      </c>
      <c r="BR9" s="274"/>
      <c r="BS9" s="274"/>
      <c r="BT9" s="274"/>
      <c r="BU9" s="274"/>
      <c r="BV9" s="274"/>
      <c r="BW9" s="274"/>
      <c r="BX9" s="274"/>
      <c r="BY9" s="274"/>
      <c r="BZ9" s="274">
        <v>1699350</v>
      </c>
      <c r="CA9" s="274">
        <f>+BZ9</f>
        <v>1699350</v>
      </c>
      <c r="CB9" s="285"/>
      <c r="CC9" s="285"/>
      <c r="CD9" s="274"/>
      <c r="CE9" s="274"/>
      <c r="CF9" s="274"/>
      <c r="CG9" s="274"/>
      <c r="CH9" s="274"/>
      <c r="CI9" s="274"/>
      <c r="CJ9" s="306">
        <v>390000</v>
      </c>
      <c r="CK9" s="306">
        <f>+CJ9</f>
        <v>390000</v>
      </c>
      <c r="CL9" s="274"/>
      <c r="CM9" s="274"/>
      <c r="CN9" s="274">
        <v>1958250</v>
      </c>
      <c r="CO9" s="274">
        <f>+CN9+28000</f>
        <v>1986250</v>
      </c>
      <c r="CP9" s="274">
        <v>2553900</v>
      </c>
      <c r="CQ9" s="274">
        <f>+CP9+26000+21000-333541</f>
        <v>2267359</v>
      </c>
      <c r="CR9" s="274"/>
      <c r="CS9" s="274"/>
      <c r="CT9" s="274"/>
      <c r="CU9" s="274"/>
      <c r="CV9" s="274"/>
      <c r="CW9" s="274"/>
      <c r="CX9" s="274"/>
      <c r="CY9" s="274"/>
      <c r="CZ9" s="274">
        <v>1769360</v>
      </c>
      <c r="DA9" s="274">
        <f>+CZ9+52000+28000+34808+104130</f>
        <v>1988298</v>
      </c>
      <c r="DB9" s="274">
        <v>4910900</v>
      </c>
      <c r="DC9" s="274">
        <f>+DB9+135129+84000-34808-104130</f>
        <v>4991091</v>
      </c>
      <c r="DD9" s="274"/>
      <c r="DE9" s="274"/>
      <c r="DF9" s="274">
        <v>1218000</v>
      </c>
      <c r="DG9" s="274">
        <f>+DF9-470739</f>
        <v>747261</v>
      </c>
      <c r="DH9" s="274">
        <v>2300885</v>
      </c>
      <c r="DI9" s="274">
        <f>+DH9+353568+19824+350745</f>
        <v>3025022</v>
      </c>
      <c r="DJ9" s="274"/>
      <c r="DK9" s="274">
        <f>388041+35171+1999921+20434</f>
        <v>2443567</v>
      </c>
      <c r="DL9" s="285">
        <v>5952000</v>
      </c>
      <c r="DM9" s="285">
        <f>+DL9+208000+168000+333541</f>
        <v>6661541</v>
      </c>
      <c r="DN9" s="285"/>
      <c r="DO9" s="285"/>
      <c r="DP9" s="274"/>
      <c r="DQ9" s="274"/>
      <c r="DR9" s="274">
        <v>92035</v>
      </c>
      <c r="DS9" s="274">
        <f>+DR9+82000+289647</f>
        <v>463682</v>
      </c>
      <c r="DT9" s="274"/>
      <c r="DU9" s="274"/>
      <c r="DV9" s="274"/>
      <c r="DW9" s="274"/>
      <c r="DX9" s="274"/>
      <c r="DY9" s="274"/>
      <c r="DZ9" s="274"/>
      <c r="EA9" s="274"/>
      <c r="EB9" s="274"/>
      <c r="EC9" s="274"/>
      <c r="ED9" s="274"/>
      <c r="EE9" s="274"/>
      <c r="EF9" s="274"/>
      <c r="EG9" s="274"/>
      <c r="EH9" s="274"/>
      <c r="EI9" s="274"/>
      <c r="EJ9" s="274"/>
      <c r="EK9" s="274"/>
      <c r="EL9" s="274"/>
      <c r="EM9" s="274"/>
      <c r="EN9" s="274"/>
      <c r="EO9" s="274"/>
      <c r="EP9" s="274"/>
      <c r="EQ9" s="274"/>
      <c r="ER9" s="669">
        <v>488800</v>
      </c>
      <c r="ES9" s="669">
        <f>+ER9</f>
        <v>488800</v>
      </c>
      <c r="ET9" s="274"/>
      <c r="EU9" s="274"/>
      <c r="EV9" s="274"/>
      <c r="EW9" s="274"/>
      <c r="EX9" s="274"/>
      <c r="EY9" s="274"/>
      <c r="EZ9" s="274"/>
      <c r="FA9" s="274"/>
      <c r="FB9" s="274"/>
      <c r="FC9" s="274"/>
      <c r="FD9" s="274"/>
      <c r="FE9" s="274"/>
      <c r="FF9" s="274"/>
      <c r="FG9" s="274"/>
      <c r="FH9" s="274"/>
      <c r="FI9" s="274"/>
      <c r="FJ9" s="274"/>
      <c r="FK9" s="274"/>
      <c r="FL9" s="274"/>
      <c r="FM9" s="274"/>
      <c r="FN9" s="274"/>
      <c r="FO9" s="274"/>
      <c r="FP9" s="274"/>
      <c r="FQ9" s="274"/>
      <c r="FR9" s="274"/>
      <c r="FS9" s="274"/>
      <c r="FT9" s="274"/>
      <c r="FU9" s="274"/>
      <c r="FV9" s="274"/>
      <c r="FW9" s="274"/>
      <c r="FX9" s="274"/>
      <c r="FY9" s="274"/>
      <c r="FZ9" s="274"/>
      <c r="GA9" s="274"/>
      <c r="GB9" s="274"/>
      <c r="GC9" s="274"/>
      <c r="GD9" s="274"/>
      <c r="GE9" s="274"/>
      <c r="GF9" s="274"/>
      <c r="GG9" s="274"/>
      <c r="GH9" s="274"/>
      <c r="GI9" s="274">
        <v>3302</v>
      </c>
      <c r="GJ9" s="285"/>
      <c r="GK9" s="285"/>
      <c r="GL9" s="285"/>
      <c r="GM9" s="285"/>
      <c r="GN9" s="285"/>
      <c r="GO9" s="285"/>
      <c r="GP9" s="285"/>
      <c r="GQ9" s="285"/>
      <c r="GR9" s="285"/>
      <c r="GS9" s="285"/>
      <c r="GT9" s="285"/>
      <c r="GU9" s="285"/>
      <c r="GV9" s="285"/>
      <c r="GW9" s="285"/>
      <c r="GX9" s="285"/>
      <c r="GY9" s="285"/>
      <c r="GZ9" s="285"/>
      <c r="HA9" s="285"/>
      <c r="HB9" s="274"/>
      <c r="HC9" s="274"/>
      <c r="HD9" s="306"/>
      <c r="HE9" s="306">
        <v>203496</v>
      </c>
      <c r="HF9" s="306"/>
      <c r="HG9" s="306"/>
      <c r="HH9" s="274"/>
      <c r="HI9" s="274"/>
      <c r="HJ9" s="274"/>
      <c r="HK9" s="274"/>
      <c r="HL9" s="274"/>
      <c r="HM9" s="274"/>
      <c r="HN9" s="274"/>
      <c r="HO9" s="274"/>
      <c r="HP9" s="274"/>
      <c r="HQ9" s="274"/>
      <c r="HR9" s="274"/>
      <c r="HS9" s="274"/>
      <c r="HT9" s="274"/>
      <c r="HU9" s="274"/>
      <c r="HV9" s="274"/>
      <c r="HW9" s="274"/>
      <c r="HX9" s="274"/>
      <c r="HY9" s="274"/>
      <c r="HZ9" s="274"/>
      <c r="IA9" s="274"/>
      <c r="IB9" s="274"/>
      <c r="IC9" s="274"/>
      <c r="ID9" s="957">
        <f t="shared" ref="ID9:ID16" si="0">+D9+F9+H9+L9+N9+P9+R9+T9+V9+AB9+AD9+AF9+AH9+AJ9+AL9+AN9+AP9+AR9+AZ9+BB9+BD9+BF9+BH9+BJ9+BL9+BN9+BP9+BV9+BX9+BZ9+CB9+CF9+CN9+CP9+CR9+CT9+CV9+CZ9+DB9+DD9+DP9+DT9+DZ9+EB9+EF9+EH9+EL9+EV9+EX9+EZ9+FL9+FN9+FP9+FT9+FV9+FZ9+GB9+GD9+GF9+GJ9+GL9+GN9+GP9+HD9+HF9+HH9+HJ9+HL9+HN9+HP9+HR9+IB9</f>
        <v>29108903</v>
      </c>
      <c r="IE9" s="957">
        <f t="shared" ref="IE9:IE49" si="1">+E9+G9+I9+M9+O9+Q9+S9+U9+W9+AC9+AE9+AG9+AI9+AK9+AM9+AO9+AQ9+AS9+BA9+BC9+BE9+BG9+BI9+BK9+BM9+BO9+BQ9+BW9+BY9+CA9+CC9+CG9+CO9+CQ9+CS9+CU9+CW9+DA9+DC9+DE9+DQ9+DU9+EA9+EC9+EG9+EI9+EM9+EW9+EY9+FA9+FM9+FO9+FQ9+FU9+FW9+GA9+GC9+GE9+GG9+GK9+GM9+GO9+GQ9+HE9+HG9+HI9+HK9+HM9+HO9+HQ9+HS9+IC9+EE9+EK9+CY9</f>
        <v>30020493</v>
      </c>
      <c r="IF9" s="258">
        <f t="shared" ref="IF9:IF50" si="2">+J9+X9+Z9+AT9+AV9+AX9+BR9+BT9+CD9+CH9+CJ9+CL9+DF9+DH9+DJ9+DL9+DN9+DR9+DV9+DX9+EN9+EP9+ER9+ET9+FB9+FD9+FF9+FH9+FJ9+FR9+FX9+GH9+GR9+GT9+GV9+GX9+GZ9+HB9+HT9+HV9+HX9+HZ9</f>
        <v>10602782</v>
      </c>
      <c r="IG9" s="258">
        <f t="shared" ref="IG9:IG50" si="3">+K9+Y9+AA9+AU9+AW9+AY9+BS9+BU9+CE9+CI9+CK9+CM9+DG9+DI9+DK9+DM9+DO9+DS9+DW9+DY9+EO9+EQ9+ES9+EU9+FC9+FE9+FG9+FI9+FK9+FS9+FY9+GI9+GS9+GU9+GW9+GY9+HA9+HC9+HU9+HW9+HY9+IA9</f>
        <v>14554237</v>
      </c>
    </row>
    <row r="10" spans="1:241" ht="21.75" customHeight="1" x14ac:dyDescent="0.3">
      <c r="A10" s="253" t="s">
        <v>190</v>
      </c>
      <c r="B10" s="259" t="s">
        <v>330</v>
      </c>
      <c r="C10" s="255" t="s">
        <v>202</v>
      </c>
      <c r="D10" s="306"/>
      <c r="E10" s="306"/>
      <c r="F10" s="306"/>
      <c r="G10" s="306"/>
      <c r="H10" s="306"/>
      <c r="I10" s="306"/>
      <c r="J10" s="306"/>
      <c r="K10" s="306"/>
      <c r="L10" s="306"/>
      <c r="M10" s="306">
        <f>597600+161352+3500000+945000-597600-161352+50000+13500</f>
        <v>4508500</v>
      </c>
      <c r="N10" s="306"/>
      <c r="O10" s="306"/>
      <c r="P10" s="306"/>
      <c r="Q10" s="306"/>
      <c r="R10" s="306"/>
      <c r="S10" s="306"/>
      <c r="T10" s="274">
        <v>1000000</v>
      </c>
      <c r="U10" s="274">
        <f>+T10-42520+42520</f>
        <v>1000000</v>
      </c>
      <c r="V10" s="324">
        <f>+(10000000)+1114920+600631+301028+162170+4126+1114+40000+10800+235899+63693+9869+2665+58866+15894</f>
        <v>12621675</v>
      </c>
      <c r="W10" s="324">
        <f>+V10+10000000+2700000+10000000+2700000+15000000+4050000-6666333-7558459</f>
        <v>42846883</v>
      </c>
      <c r="X10" s="256"/>
      <c r="Y10" s="256"/>
      <c r="Z10" s="256"/>
      <c r="AA10" s="256">
        <f>35000+9450</f>
        <v>44450</v>
      </c>
      <c r="AB10" s="256"/>
      <c r="AC10" s="256"/>
      <c r="AD10" s="256"/>
      <c r="AE10" s="256"/>
      <c r="AF10" s="256"/>
      <c r="AG10" s="256"/>
      <c r="AH10" s="286"/>
      <c r="AI10" s="286"/>
      <c r="AJ10" s="306">
        <f>+(3126500)+18060</f>
        <v>3144560</v>
      </c>
      <c r="AK10" s="306">
        <f>+AJ10-15000+15000+400000</f>
        <v>3544560</v>
      </c>
      <c r="AL10" s="274">
        <f>+(50265964)+400000+108000+5200000+1404000</f>
        <v>57377964</v>
      </c>
      <c r="AM10" s="274">
        <f>+AL10-500000+500000-23370-200000+200000</f>
        <v>57354594</v>
      </c>
      <c r="AN10" s="306"/>
      <c r="AO10" s="306">
        <f>289600+78192</f>
        <v>367792</v>
      </c>
      <c r="AP10" s="306">
        <f>(5000000+3000000)+645+270000+97200</f>
        <v>8367845</v>
      </c>
      <c r="AQ10" s="306">
        <f>+AP10-1897181+1496063+401118+2000000+540000+483960+130669-12000+12000-30000+30000</f>
        <v>11522474</v>
      </c>
      <c r="AR10" s="274"/>
      <c r="AS10" s="274"/>
      <c r="AT10" s="306"/>
      <c r="AU10" s="306"/>
      <c r="AV10" s="306">
        <v>30000000</v>
      </c>
      <c r="AW10" s="306">
        <f>+AV10-1000000+1000000</f>
        <v>30000000</v>
      </c>
      <c r="AX10" s="306">
        <v>10000000</v>
      </c>
      <c r="AY10" s="306">
        <f>+AX10+1381441+372989-1000000-600000+1527386+72614+23370</f>
        <v>11777800</v>
      </c>
      <c r="AZ10" s="306">
        <v>10000000</v>
      </c>
      <c r="BA10" s="306">
        <f>+AZ10-3937008-1062992-600000-600000-393701-106299-742848-200569-1383136-373447-217323-382677</f>
        <v>0</v>
      </c>
      <c r="BB10" s="306">
        <v>20000000</v>
      </c>
      <c r="BC10" s="306">
        <f>+BB10+2672441+721559-2451260+2451260+2520000+680400+600000+600000+600000+5980000+1614600+600000+600000+750000+202500</f>
        <v>38141500</v>
      </c>
      <c r="BD10" s="306">
        <f>(8000000+230005244+10000000+1000000+5000000+5000000+32000000+5000000+7000000+2000000+5000000+1632000+5000000+6000000)+12550350+3388592+91345+24666+395000+106650</f>
        <v>339193847</v>
      </c>
      <c r="BE10" s="306">
        <f>+BD10-265000-71550-2238961-604519+4497598+1214352-2672441-721559-1045000-214650+250000-2520000-680400-600000+3937008+1062992+3937008+1062992+3937008+1062992+14970000+4041900+5000000+1350000+5021969+1355931+778031+210069+393701+106299-1399965-95581-167840+1663386-45024+778300+210141+14985000+4045950+1383136+373447+788517+212900+395000+106650+1750000+256500+720000+194400+3149606+850394+6000000+1620000+10000000+2700000-600000+1194600+175500+1000000+270000+970600+262062+4737000+1278990+740000</f>
        <v>442253286</v>
      </c>
      <c r="BF10" s="306">
        <f>(10000000+12000000+10000000+1908000+1620000)+780000+210600+90553+24447+93699+25302+4198820+1133681</f>
        <v>42085102</v>
      </c>
      <c r="BG10" s="306">
        <f>+BF10+8000000+2160000-3937008-1062992-2579200-696384-800000-216000-720000-194400-160400-43308-118110-31890+983465+265535</f>
        <v>42934410</v>
      </c>
      <c r="BH10" s="306">
        <f>32500000+19000000</f>
        <v>51500000</v>
      </c>
      <c r="BI10" s="306">
        <f>+BH10-8000000-2160000-1264875-341516-560598-151362-3937008-1062992-393711-106302-843475-227738-425197-114803-1750000-256500-676317-276183</f>
        <v>28951423</v>
      </c>
      <c r="BJ10" s="306">
        <f>5000000+300000</f>
        <v>5300000</v>
      </c>
      <c r="BK10" s="306">
        <f>+BJ10+560598+151362+219402+10990+5000000+1350000-6357+6357</f>
        <v>12592352</v>
      </c>
      <c r="BL10" s="306">
        <f>(190000000+5000000+2000000)+16851741+4549970+1400000+378000</f>
        <v>220179711</v>
      </c>
      <c r="BM10" s="306">
        <f>+BL10+3365560+908701+192000+51840-192000-51840+572050+154453-2000000+1574803+425197+861370+232570+4950668+1336680+2579200+696384+6800000+1836000+600000+162000</f>
        <v>245235347</v>
      </c>
      <c r="BN10" s="306">
        <f>(50000000+50000000+1000000)+1424974+384743+252250+68107+1250000+337500</f>
        <v>104717574</v>
      </c>
      <c r="BO10" s="306">
        <f>+BN10+1691400+456678+192000+51840+945000+255150+1678703+453250+2804368+757179+465748+125752+393711+106302+425197+114803-63499+63499+800000+216000+597600+161352+118110+31890+94488+25512+360000+97200+118110+31890</f>
        <v>118286807</v>
      </c>
      <c r="BP10" s="306">
        <f>+(35223000)+950000+256500+50000+13500+150000+40500+216000+58320+470000</f>
        <v>37427820</v>
      </c>
      <c r="BQ10" s="306">
        <f>+BP10-3000000+3000000-500000-136000-51500+51500+4304000+1162080-2000000+2000000-50000-13500-3000000+3000000</f>
        <v>42194400</v>
      </c>
      <c r="BR10" s="306">
        <f>1250000+1600000</f>
        <v>2850000</v>
      </c>
      <c r="BS10" s="306">
        <f>+BR10</f>
        <v>2850000</v>
      </c>
      <c r="BT10" s="306">
        <f>+(21000000)+300000+300000+200000+54000</f>
        <v>21854000</v>
      </c>
      <c r="BU10" s="306">
        <f>+BT10-1920000+1920000</f>
        <v>21854000</v>
      </c>
      <c r="BV10" s="274">
        <f>(5000000+4884000)+272440+73560</f>
        <v>10230000</v>
      </c>
      <c r="BW10" s="274">
        <f>+BV10-305600-82512-100000+100000-70000+70000-600000+600000+657312+177474-75000-81500+156500+45850+12380+34000+9180</f>
        <v>10778084</v>
      </c>
      <c r="BX10" s="274">
        <f>+(10000000)+480000+129600+590000+159300+7000000+1890000</f>
        <v>20248900</v>
      </c>
      <c r="BY10" s="274">
        <f>+BX10+5905512+1594488+7874016+2125984-5905512-1594488+5339400+7874016+2125984</f>
        <v>45588300</v>
      </c>
      <c r="BZ10" s="306">
        <f>+(32042100)+670000+180900+270000+72900+286000+77220</f>
        <v>33599120</v>
      </c>
      <c r="CA10" s="306">
        <f>+BZ10-20000+20000+543465+146736+1680000+453600-100000+100000+987500+266625+3000000+810000+6000000+1200000+1968504+531496-100000-27000-944359-1618601</f>
        <v>48497086</v>
      </c>
      <c r="CB10" s="256"/>
      <c r="CC10" s="256"/>
      <c r="CD10" s="306">
        <v>2000000</v>
      </c>
      <c r="CE10" s="306">
        <f>+CD10-1574803+1574803</f>
        <v>2000000</v>
      </c>
      <c r="CF10" s="306"/>
      <c r="CG10" s="306"/>
      <c r="CH10" s="274"/>
      <c r="CI10" s="274"/>
      <c r="CJ10" s="306">
        <v>500000</v>
      </c>
      <c r="CK10" s="306">
        <f>+CJ10</f>
        <v>500000</v>
      </c>
      <c r="CL10" s="306">
        <v>20000000</v>
      </c>
      <c r="CM10" s="306">
        <f>+CL10-64000-17280-5200000+200000+4000000+1000000-300000+300000-657312-177474-125984-34016-3185128-859985-1200000-324000-410000-110700-788517-212900-395000-106650-1000000+1000000-289600-78192-398700-107649-157000-42390+3200000+864000</f>
        <v>14321523</v>
      </c>
      <c r="CN10" s="306">
        <v>2500000</v>
      </c>
      <c r="CO10" s="306">
        <f>+CN10-200000+100000+100000</f>
        <v>2500000</v>
      </c>
      <c r="CP10" s="306">
        <f>+(29331350)+4083+1102+7200+1944</f>
        <v>29345679</v>
      </c>
      <c r="CQ10" s="306">
        <f>+CP10-100000-27000+4315024+1165056-120000+120000-200000+200000-50000+50000-1600000-432000</f>
        <v>32666759</v>
      </c>
      <c r="CR10" s="306">
        <v>1500000</v>
      </c>
      <c r="CS10" s="306">
        <f>+CR10-60000-16200</f>
        <v>1423800</v>
      </c>
      <c r="CT10" s="306">
        <f>+(8128000)+665000+179550+100000</f>
        <v>9072550</v>
      </c>
      <c r="CU10" s="306">
        <f>+CT10+100000+27000+2047244+637796+157480+157480+180000+48600+922956+1164512+480315+31000+4000000+1080000+200000+960000+43200+1372000+370440+5917000+1597590+2000000-300000+300000-906733-2579</f>
        <v>31657851</v>
      </c>
      <c r="CV10" s="306">
        <f>+(1100000)+13270+3583</f>
        <v>1116853</v>
      </c>
      <c r="CW10" s="306">
        <f>+CV10+1000000+270000</f>
        <v>2386853</v>
      </c>
      <c r="CX10" s="306"/>
      <c r="CY10" s="306">
        <f>3150000+850500+871000-38100+30000+8100</f>
        <v>4871500</v>
      </c>
      <c r="CZ10" s="306">
        <v>16888300</v>
      </c>
      <c r="DA10" s="306">
        <f>+CZ10-100000+100000+200000+500000+200000-483500-130545+900000+250000+100000+86230-116221-72147</f>
        <v>18322117</v>
      </c>
      <c r="DB10" s="306">
        <f>+(35016976)+10800+2916+3400+27000+8208+642600+173502+277200+74844</f>
        <v>36237446</v>
      </c>
      <c r="DC10" s="306">
        <f>+DB10+378833+102285-100000+100000-948500-256095-3524+3524+2000000+540000+3000000+810000-800000+800000+500000+500000+800000+1700000+30000+1000000+1111732+578268-797441-85334</f>
        <v>47201194</v>
      </c>
      <c r="DD10" s="274">
        <f>(180180000+5000000+5000000+6000000)+2500000+675000+200000+54000</f>
        <v>199609000</v>
      </c>
      <c r="DE10" s="274">
        <f>+DD10+922992+249208+8696882+2348158+7352546+1985187+7000000+1890000+5000000+1350000+1186000+320220+114110+30810-189600+189600+10358000+2796660-1261039+1261039+16000000+4320000</f>
        <v>271529773</v>
      </c>
      <c r="DF10" s="274">
        <v>27600000</v>
      </c>
      <c r="DG10" s="274">
        <f>+DF10-13378-3612+1000000+270000+380000+100000-308261-80574</f>
        <v>28944175</v>
      </c>
      <c r="DH10" s="306">
        <f>+(50000000)+50000</f>
        <v>50050000</v>
      </c>
      <c r="DI10" s="306">
        <f>+DH10-500000+500000-1585000-427950-561600-151632-50000+50000-2018841-372989+19685039+5314961-1574803-425197-13385827-3614173-110100+100000+10100-700000+700000+590000-100000+100000+9448819+2551181+500000+5783370+1561510+45881+3089601+70000+573905</f>
        <v>75146255</v>
      </c>
      <c r="DJ10" s="306">
        <v>15000000</v>
      </c>
      <c r="DK10" s="306">
        <f>+DJ10-142857+142857+1574803+425197-999893+47244-300000+100000-1000000-10600000+300000+4000000+900000-126755+126755</f>
        <v>9447351</v>
      </c>
      <c r="DL10" s="324">
        <f>+(65225600)+893917+241358+83072+22429+962591+259900+3191</f>
        <v>67692058</v>
      </c>
      <c r="DM10" s="324">
        <f>+DL10-1037630-280160+1457688+393576+5811024+6000000+3188976+787402+212598+231495+62505+2559472+691058+1880712+361437+2000000+6682677+1804323-400000-108000-300000</f>
        <v>99691211</v>
      </c>
      <c r="DN10" s="324"/>
      <c r="DO10" s="324"/>
      <c r="DP10" s="306">
        <v>24000000</v>
      </c>
      <c r="DQ10" s="306">
        <f>+DP10</f>
        <v>24000000</v>
      </c>
      <c r="DR10" s="306">
        <v>2000000</v>
      </c>
      <c r="DS10" s="306">
        <f>+DR10+787402+212598-383466+383466</f>
        <v>3000000</v>
      </c>
      <c r="DT10" s="306">
        <v>800000</v>
      </c>
      <c r="DU10" s="306">
        <f>+DT10</f>
        <v>800000</v>
      </c>
      <c r="DV10" s="306">
        <f>+(4560000)+251973+68037</f>
        <v>4880010</v>
      </c>
      <c r="DW10" s="306">
        <f>+DV10+125984+34016</f>
        <v>5040010</v>
      </c>
      <c r="DX10" s="306"/>
      <c r="DY10" s="306"/>
      <c r="DZ10" s="306"/>
      <c r="EA10" s="306"/>
      <c r="EB10" s="306"/>
      <c r="EC10" s="306">
        <v>951429</v>
      </c>
      <c r="ED10" s="306"/>
      <c r="EE10" s="306">
        <v>674949</v>
      </c>
      <c r="EF10" s="306"/>
      <c r="EG10" s="306"/>
      <c r="EH10" s="306"/>
      <c r="EI10" s="306">
        <f>9347819-9347819</f>
        <v>0</v>
      </c>
      <c r="EJ10" s="306"/>
      <c r="EK10" s="306">
        <v>9347819</v>
      </c>
      <c r="EL10" s="306"/>
      <c r="EM10" s="306"/>
      <c r="EN10" s="306">
        <f>(800000+800000+800000+1800000+200000)+150000</f>
        <v>4550000</v>
      </c>
      <c r="EO10" s="306">
        <f>+EN10</f>
        <v>4550000</v>
      </c>
      <c r="EP10" s="274">
        <f>+(2000000)+902345+45116</f>
        <v>2947461</v>
      </c>
      <c r="EQ10" s="274">
        <f>+EP10+423958+21198</f>
        <v>3392617</v>
      </c>
      <c r="ER10" s="274">
        <v>3670000</v>
      </c>
      <c r="ES10" s="274">
        <f>+ER10</f>
        <v>3670000</v>
      </c>
      <c r="ET10" s="306">
        <v>1000000</v>
      </c>
      <c r="EU10" s="306">
        <f>+ET10</f>
        <v>1000000</v>
      </c>
      <c r="EV10" s="306">
        <v>7400000</v>
      </c>
      <c r="EW10" s="306">
        <f>+EV10</f>
        <v>7400000</v>
      </c>
      <c r="EX10" s="274">
        <v>5000000</v>
      </c>
      <c r="EY10" s="274">
        <f>+EX10</f>
        <v>5000000</v>
      </c>
      <c r="EZ10" s="306">
        <f>+(5000000)+437000</f>
        <v>5437000</v>
      </c>
      <c r="FA10" s="306">
        <f>+EZ10</f>
        <v>5437000</v>
      </c>
      <c r="FB10" s="306"/>
      <c r="FC10" s="306"/>
      <c r="FD10" s="306"/>
      <c r="FE10" s="306"/>
      <c r="FF10" s="306"/>
      <c r="FG10" s="306"/>
      <c r="FH10" s="306"/>
      <c r="FI10" s="306"/>
      <c r="FJ10" s="306"/>
      <c r="FK10" s="306"/>
      <c r="FL10" s="306"/>
      <c r="FM10" s="306"/>
      <c r="FN10" s="306"/>
      <c r="FO10" s="306"/>
      <c r="FP10" s="274"/>
      <c r="FQ10" s="274"/>
      <c r="FR10" s="306">
        <f>+(5000000)+14920+4028+8964+2421</f>
        <v>5030333</v>
      </c>
      <c r="FS10" s="306">
        <f>+FR10+4270473+1300000+2100000+567000+8000000+2160000</f>
        <v>23427806</v>
      </c>
      <c r="FT10" s="306">
        <f>20000000+2336777</f>
        <v>22336777</v>
      </c>
      <c r="FU10" s="306">
        <f>+FT10+1288879+850394+26352000+2739420</f>
        <v>53567470</v>
      </c>
      <c r="FV10" s="274"/>
      <c r="FW10" s="274"/>
      <c r="FX10" s="274"/>
      <c r="FY10" s="274"/>
      <c r="FZ10" s="306"/>
      <c r="GA10" s="306"/>
      <c r="GB10" s="306"/>
      <c r="GC10" s="306"/>
      <c r="GD10" s="306"/>
      <c r="GE10" s="306"/>
      <c r="GF10" s="306"/>
      <c r="GG10" s="306">
        <f>60000+16200+50000+13500+560000+151200</f>
        <v>850900</v>
      </c>
      <c r="GH10" s="306">
        <v>5000000</v>
      </c>
      <c r="GI10" s="306">
        <f>+GH10+393701+106299-1496235+41456+1360000+42200+17799-63894+14126+45000+4768-530000+30000+200000+300000-175000-50000+50000-220000+200000+59055+15945+2460000+664200-185000+50000+135000-313370-3610+200000</f>
        <v>8352440</v>
      </c>
      <c r="GJ10" s="256"/>
      <c r="GK10" s="256"/>
      <c r="GL10" s="285">
        <v>2000000</v>
      </c>
      <c r="GM10" s="285">
        <f>+GL10</f>
        <v>2000000</v>
      </c>
      <c r="GN10" s="285"/>
      <c r="GO10" s="285">
        <f>36147254+201278982+40300+10881</f>
        <v>237477417</v>
      </c>
      <c r="GP10" s="285"/>
      <c r="GQ10" s="285">
        <f>300000+81000+62478+16869+5048+1363+50000+13500+100000+27000+268300+72441+348500+94095+800000+216000-348500-94095+320000+86400+3574000+424980</f>
        <v>6419379</v>
      </c>
      <c r="GR10" s="285"/>
      <c r="GS10" s="285"/>
      <c r="GT10" s="285"/>
      <c r="GU10" s="285"/>
      <c r="GV10" s="285"/>
      <c r="GW10" s="285"/>
      <c r="GX10" s="285"/>
      <c r="GY10" s="285">
        <v>23017532</v>
      </c>
      <c r="GZ10" s="285"/>
      <c r="HA10" s="285"/>
      <c r="HB10" s="306"/>
      <c r="HC10" s="306"/>
      <c r="HD10" s="306"/>
      <c r="HE10" s="306">
        <f>1600000+432000+150000-190000-51300+1200000+324000</f>
        <v>3464700</v>
      </c>
      <c r="HF10" s="306"/>
      <c r="HG10" s="306">
        <f>500000+136000+14500+3915+320000+86400</f>
        <v>1060815</v>
      </c>
      <c r="HH10" s="306"/>
      <c r="HI10" s="306"/>
      <c r="HJ10" s="306"/>
      <c r="HK10" s="306"/>
      <c r="HL10" s="306"/>
      <c r="HM10" s="306"/>
      <c r="HN10" s="306"/>
      <c r="HO10" s="306"/>
      <c r="HP10" s="306"/>
      <c r="HQ10" s="306"/>
      <c r="HR10" s="306"/>
      <c r="HS10" s="306"/>
      <c r="HT10" s="306"/>
      <c r="HU10" s="306"/>
      <c r="HV10" s="306"/>
      <c r="HW10" s="306"/>
      <c r="HX10" s="306"/>
      <c r="HY10" s="306">
        <f>2004484+34662205+1000000+7624311</f>
        <v>45291000</v>
      </c>
      <c r="HZ10" s="306"/>
      <c r="IA10" s="306">
        <f>1465000+395550+2304331+622169</f>
        <v>4787050</v>
      </c>
      <c r="IB10" s="306"/>
      <c r="IC10" s="306"/>
      <c r="ID10" s="957">
        <f t="shared" si="0"/>
        <v>1340237723</v>
      </c>
      <c r="IE10" s="957">
        <f t="shared" si="1"/>
        <v>1967609523</v>
      </c>
      <c r="IF10" s="258">
        <f t="shared" si="2"/>
        <v>276623862</v>
      </c>
      <c r="IG10" s="258">
        <f t="shared" si="3"/>
        <v>422105220</v>
      </c>
    </row>
    <row r="11" spans="1:241" ht="21.75" customHeight="1" x14ac:dyDescent="0.3">
      <c r="A11" s="253" t="s">
        <v>191</v>
      </c>
      <c r="B11" s="262" t="s">
        <v>331</v>
      </c>
      <c r="C11" s="255" t="s">
        <v>203</v>
      </c>
      <c r="D11" s="274"/>
      <c r="E11" s="274"/>
      <c r="F11" s="274"/>
      <c r="G11" s="274"/>
      <c r="H11" s="274"/>
      <c r="I11" s="274"/>
      <c r="J11" s="274"/>
      <c r="K11" s="274"/>
      <c r="L11" s="274"/>
      <c r="M11" s="274"/>
      <c r="N11" s="274"/>
      <c r="O11" s="274"/>
      <c r="P11" s="274"/>
      <c r="Q11" s="274"/>
      <c r="R11" s="274"/>
      <c r="S11" s="274"/>
      <c r="T11" s="274"/>
      <c r="U11" s="274"/>
      <c r="V11" s="286"/>
      <c r="W11" s="286"/>
      <c r="X11" s="286"/>
      <c r="Y11" s="286"/>
      <c r="Z11" s="286"/>
      <c r="AA11" s="286"/>
      <c r="AB11" s="286"/>
      <c r="AC11" s="286"/>
      <c r="AD11" s="286"/>
      <c r="AE11" s="286"/>
      <c r="AF11" s="286"/>
      <c r="AG11" s="286"/>
      <c r="AH11" s="286"/>
      <c r="AI11" s="286"/>
      <c r="AJ11" s="274"/>
      <c r="AK11" s="274"/>
      <c r="AL11" s="274"/>
      <c r="AM11" s="274"/>
      <c r="AN11" s="274"/>
      <c r="AO11" s="274"/>
      <c r="AP11" s="274"/>
      <c r="AQ11" s="274"/>
      <c r="AR11" s="274"/>
      <c r="AS11" s="274"/>
      <c r="AT11" s="274"/>
      <c r="AU11" s="274"/>
      <c r="AV11" s="274"/>
      <c r="AW11" s="274"/>
      <c r="AX11" s="274"/>
      <c r="AY11" s="274"/>
      <c r="AZ11" s="274"/>
      <c r="BA11" s="274"/>
      <c r="BB11" s="274"/>
      <c r="BC11" s="274"/>
      <c r="BD11" s="274"/>
      <c r="BE11" s="274"/>
      <c r="BF11" s="274"/>
      <c r="BG11" s="274"/>
      <c r="BH11" s="274"/>
      <c r="BI11" s="274"/>
      <c r="BJ11" s="274"/>
      <c r="BK11" s="274"/>
      <c r="BL11" s="274"/>
      <c r="BM11" s="274"/>
      <c r="BN11" s="274"/>
      <c r="BO11" s="274"/>
      <c r="BP11" s="274"/>
      <c r="BQ11" s="274"/>
      <c r="BR11" s="274"/>
      <c r="BS11" s="274"/>
      <c r="BT11" s="274"/>
      <c r="BU11" s="274"/>
      <c r="BV11" s="274"/>
      <c r="BW11" s="274"/>
      <c r="BX11" s="274"/>
      <c r="BY11" s="274"/>
      <c r="BZ11" s="274"/>
      <c r="CA11" s="274"/>
      <c r="CB11" s="286"/>
      <c r="CC11" s="286"/>
      <c r="CD11" s="274"/>
      <c r="CE11" s="274"/>
      <c r="CF11" s="274"/>
      <c r="CG11" s="274"/>
      <c r="CH11" s="274"/>
      <c r="CI11" s="274"/>
      <c r="CJ11" s="274"/>
      <c r="CK11" s="274"/>
      <c r="CL11" s="274"/>
      <c r="CM11" s="274"/>
      <c r="CN11" s="274"/>
      <c r="CO11" s="274"/>
      <c r="CP11" s="274"/>
      <c r="CQ11" s="274"/>
      <c r="CR11" s="274"/>
      <c r="CS11" s="274"/>
      <c r="CT11" s="274"/>
      <c r="CU11" s="274"/>
      <c r="CV11" s="274"/>
      <c r="CW11" s="274"/>
      <c r="CX11" s="274"/>
      <c r="CY11" s="274"/>
      <c r="CZ11" s="274"/>
      <c r="DA11" s="274"/>
      <c r="DB11" s="274"/>
      <c r="DC11" s="274"/>
      <c r="DD11" s="274"/>
      <c r="DE11" s="274"/>
      <c r="DF11" s="274"/>
      <c r="DG11" s="274"/>
      <c r="DH11" s="274"/>
      <c r="DI11" s="274"/>
      <c r="DJ11" s="274"/>
      <c r="DK11" s="274"/>
      <c r="DL11" s="286"/>
      <c r="DM11" s="286"/>
      <c r="DN11" s="286"/>
      <c r="DO11" s="286"/>
      <c r="DP11" s="274"/>
      <c r="DQ11" s="274"/>
      <c r="DR11" s="274"/>
      <c r="DS11" s="274"/>
      <c r="DT11" s="274"/>
      <c r="DU11" s="274"/>
      <c r="DV11" s="274"/>
      <c r="DW11" s="274"/>
      <c r="DX11" s="274"/>
      <c r="DY11" s="274"/>
      <c r="DZ11" s="274"/>
      <c r="EA11" s="274"/>
      <c r="EB11" s="274"/>
      <c r="EC11" s="274"/>
      <c r="ED11" s="274"/>
      <c r="EE11" s="274"/>
      <c r="EF11" s="274"/>
      <c r="EG11" s="274"/>
      <c r="EH11" s="274"/>
      <c r="EI11" s="274"/>
      <c r="EJ11" s="274"/>
      <c r="EK11" s="274"/>
      <c r="EL11" s="274"/>
      <c r="EM11" s="274"/>
      <c r="EN11" s="274"/>
      <c r="EO11" s="274"/>
      <c r="EP11" s="274"/>
      <c r="EQ11" s="274"/>
      <c r="ER11" s="274"/>
      <c r="ES11" s="274"/>
      <c r="ET11" s="274"/>
      <c r="EU11" s="274"/>
      <c r="EV11" s="274"/>
      <c r="EW11" s="274"/>
      <c r="EX11" s="274"/>
      <c r="EY11" s="274"/>
      <c r="EZ11" s="274"/>
      <c r="FA11" s="274"/>
      <c r="FB11" s="274"/>
      <c r="FC11" s="274"/>
      <c r="FD11" s="274"/>
      <c r="FE11" s="274"/>
      <c r="FF11" s="274"/>
      <c r="FG11" s="274"/>
      <c r="FH11" s="274"/>
      <c r="FI11" s="274"/>
      <c r="FJ11" s="274"/>
      <c r="FK11" s="274"/>
      <c r="FL11" s="274"/>
      <c r="FM11" s="274"/>
      <c r="FN11" s="274"/>
      <c r="FO11" s="274"/>
      <c r="FP11" s="274"/>
      <c r="FQ11" s="274"/>
      <c r="FR11" s="274"/>
      <c r="FS11" s="274"/>
      <c r="FT11" s="274"/>
      <c r="FU11" s="274"/>
      <c r="FV11" s="274"/>
      <c r="FW11" s="274"/>
      <c r="FX11" s="274"/>
      <c r="FY11" s="274"/>
      <c r="FZ11" s="274"/>
      <c r="GA11" s="274"/>
      <c r="GB11" s="274"/>
      <c r="GC11" s="274"/>
      <c r="GD11" s="274"/>
      <c r="GE11" s="274"/>
      <c r="GF11" s="274"/>
      <c r="GG11" s="274"/>
      <c r="GH11" s="274"/>
      <c r="GI11" s="274"/>
      <c r="GJ11" s="286"/>
      <c r="GK11" s="286"/>
      <c r="GL11" s="286"/>
      <c r="GM11" s="286"/>
      <c r="GN11" s="286"/>
      <c r="GO11" s="286"/>
      <c r="GP11" s="286"/>
      <c r="GQ11" s="286"/>
      <c r="GR11" s="286"/>
      <c r="GS11" s="286"/>
      <c r="GT11" s="286"/>
      <c r="GU11" s="286"/>
      <c r="GV11" s="286"/>
      <c r="GW11" s="286"/>
      <c r="GX11" s="286"/>
      <c r="GY11" s="286"/>
      <c r="GZ11" s="286"/>
      <c r="HA11" s="286"/>
      <c r="HB11" s="274"/>
      <c r="HC11" s="274"/>
      <c r="HD11" s="274"/>
      <c r="HE11" s="274"/>
      <c r="HF11" s="274"/>
      <c r="HG11" s="274"/>
      <c r="HH11" s="274"/>
      <c r="HI11" s="274"/>
      <c r="HJ11" s="274"/>
      <c r="HK11" s="274"/>
      <c r="HL11" s="274"/>
      <c r="HM11" s="274"/>
      <c r="HN11" s="274"/>
      <c r="HO11" s="274"/>
      <c r="HP11" s="274"/>
      <c r="HQ11" s="274"/>
      <c r="HR11" s="274"/>
      <c r="HS11" s="274"/>
      <c r="HT11" s="274"/>
      <c r="HU11" s="274"/>
      <c r="HV11" s="274"/>
      <c r="HW11" s="274"/>
      <c r="HX11" s="274"/>
      <c r="HY11" s="274"/>
      <c r="HZ11" s="274"/>
      <c r="IA11" s="274"/>
      <c r="IB11" s="274"/>
      <c r="IC11" s="274"/>
      <c r="ID11" s="957">
        <f t="shared" si="0"/>
        <v>0</v>
      </c>
      <c r="IE11" s="957">
        <f t="shared" si="1"/>
        <v>0</v>
      </c>
      <c r="IF11" s="258">
        <f t="shared" si="2"/>
        <v>0</v>
      </c>
      <c r="IG11" s="258">
        <f t="shared" si="3"/>
        <v>0</v>
      </c>
    </row>
    <row r="12" spans="1:241" ht="21.75" customHeight="1" x14ac:dyDescent="0.3">
      <c r="A12" s="253" t="s">
        <v>192</v>
      </c>
      <c r="B12" s="262" t="s">
        <v>234</v>
      </c>
      <c r="C12" s="255" t="s">
        <v>204</v>
      </c>
      <c r="D12" s="274">
        <f>+D13+D14+D15</f>
        <v>0</v>
      </c>
      <c r="E12" s="274">
        <f>+E13+E14+E15</f>
        <v>0</v>
      </c>
      <c r="F12" s="274">
        <f t="shared" ref="F12:EU12" si="4">+F13+F14+F15</f>
        <v>0</v>
      </c>
      <c r="G12" s="274">
        <f t="shared" si="4"/>
        <v>0</v>
      </c>
      <c r="H12" s="274">
        <f t="shared" si="4"/>
        <v>0</v>
      </c>
      <c r="I12" s="274">
        <f t="shared" si="4"/>
        <v>0</v>
      </c>
      <c r="J12" s="274">
        <f t="shared" si="4"/>
        <v>0</v>
      </c>
      <c r="K12" s="274">
        <f t="shared" si="4"/>
        <v>0</v>
      </c>
      <c r="L12" s="274">
        <f t="shared" si="4"/>
        <v>0</v>
      </c>
      <c r="M12" s="274">
        <f t="shared" si="4"/>
        <v>0</v>
      </c>
      <c r="N12" s="274">
        <f t="shared" si="4"/>
        <v>0</v>
      </c>
      <c r="O12" s="274">
        <f t="shared" si="4"/>
        <v>0</v>
      </c>
      <c r="P12" s="274">
        <f t="shared" si="4"/>
        <v>0</v>
      </c>
      <c r="Q12" s="274">
        <f t="shared" si="4"/>
        <v>0</v>
      </c>
      <c r="R12" s="274">
        <f t="shared" si="4"/>
        <v>0</v>
      </c>
      <c r="S12" s="274">
        <f t="shared" si="4"/>
        <v>0</v>
      </c>
      <c r="T12" s="274">
        <f t="shared" si="4"/>
        <v>0</v>
      </c>
      <c r="U12" s="274">
        <f t="shared" si="4"/>
        <v>0</v>
      </c>
      <c r="V12" s="274">
        <f t="shared" si="4"/>
        <v>0</v>
      </c>
      <c r="W12" s="274">
        <f t="shared" si="4"/>
        <v>0</v>
      </c>
      <c r="X12" s="274">
        <f t="shared" si="4"/>
        <v>0</v>
      </c>
      <c r="Y12" s="274">
        <f t="shared" si="4"/>
        <v>0</v>
      </c>
      <c r="Z12" s="274">
        <f t="shared" si="4"/>
        <v>0</v>
      </c>
      <c r="AA12" s="274">
        <f t="shared" si="4"/>
        <v>0</v>
      </c>
      <c r="AB12" s="274">
        <f t="shared" si="4"/>
        <v>0</v>
      </c>
      <c r="AC12" s="274">
        <f t="shared" si="4"/>
        <v>0</v>
      </c>
      <c r="AD12" s="274">
        <f t="shared" si="4"/>
        <v>0</v>
      </c>
      <c r="AE12" s="274">
        <f t="shared" si="4"/>
        <v>0</v>
      </c>
      <c r="AF12" s="274">
        <f t="shared" si="4"/>
        <v>0</v>
      </c>
      <c r="AG12" s="274">
        <f t="shared" si="4"/>
        <v>0</v>
      </c>
      <c r="AH12" s="274">
        <f t="shared" si="4"/>
        <v>0</v>
      </c>
      <c r="AI12" s="274">
        <f t="shared" si="4"/>
        <v>0</v>
      </c>
      <c r="AJ12" s="274">
        <f t="shared" si="4"/>
        <v>0</v>
      </c>
      <c r="AK12" s="274">
        <f t="shared" si="4"/>
        <v>0</v>
      </c>
      <c r="AL12" s="274">
        <f t="shared" si="4"/>
        <v>0</v>
      </c>
      <c r="AM12" s="274">
        <f t="shared" si="4"/>
        <v>0</v>
      </c>
      <c r="AN12" s="274">
        <f t="shared" si="4"/>
        <v>0</v>
      </c>
      <c r="AO12" s="274">
        <f t="shared" si="4"/>
        <v>0</v>
      </c>
      <c r="AP12" s="274">
        <f t="shared" si="4"/>
        <v>0</v>
      </c>
      <c r="AQ12" s="274">
        <f t="shared" si="4"/>
        <v>0</v>
      </c>
      <c r="AR12" s="274">
        <f t="shared" si="4"/>
        <v>0</v>
      </c>
      <c r="AS12" s="274">
        <f t="shared" si="4"/>
        <v>0</v>
      </c>
      <c r="AT12" s="274">
        <f t="shared" si="4"/>
        <v>0</v>
      </c>
      <c r="AU12" s="274">
        <f t="shared" si="4"/>
        <v>0</v>
      </c>
      <c r="AV12" s="274">
        <f t="shared" si="4"/>
        <v>0</v>
      </c>
      <c r="AW12" s="274">
        <f t="shared" si="4"/>
        <v>0</v>
      </c>
      <c r="AX12" s="274">
        <f t="shared" si="4"/>
        <v>0</v>
      </c>
      <c r="AY12" s="274">
        <f t="shared" si="4"/>
        <v>0</v>
      </c>
      <c r="AZ12" s="274">
        <f t="shared" si="4"/>
        <v>0</v>
      </c>
      <c r="BA12" s="274">
        <f t="shared" si="4"/>
        <v>0</v>
      </c>
      <c r="BB12" s="274">
        <f t="shared" si="4"/>
        <v>0</v>
      </c>
      <c r="BC12" s="274">
        <f t="shared" si="4"/>
        <v>0</v>
      </c>
      <c r="BD12" s="274">
        <f t="shared" si="4"/>
        <v>0</v>
      </c>
      <c r="BE12" s="274">
        <f t="shared" si="4"/>
        <v>0</v>
      </c>
      <c r="BF12" s="274">
        <f t="shared" si="4"/>
        <v>0</v>
      </c>
      <c r="BG12" s="274">
        <f t="shared" si="4"/>
        <v>0</v>
      </c>
      <c r="BH12" s="274">
        <f t="shared" si="4"/>
        <v>0</v>
      </c>
      <c r="BI12" s="274">
        <f t="shared" si="4"/>
        <v>0</v>
      </c>
      <c r="BJ12" s="274">
        <f t="shared" si="4"/>
        <v>0</v>
      </c>
      <c r="BK12" s="274">
        <f t="shared" si="4"/>
        <v>0</v>
      </c>
      <c r="BL12" s="274">
        <f t="shared" si="4"/>
        <v>0</v>
      </c>
      <c r="BM12" s="274">
        <f t="shared" si="4"/>
        <v>0</v>
      </c>
      <c r="BN12" s="274">
        <f t="shared" si="4"/>
        <v>0</v>
      </c>
      <c r="BO12" s="274">
        <f t="shared" si="4"/>
        <v>0</v>
      </c>
      <c r="BP12" s="274">
        <f t="shared" si="4"/>
        <v>0</v>
      </c>
      <c r="BQ12" s="274">
        <f t="shared" si="4"/>
        <v>0</v>
      </c>
      <c r="BR12" s="274">
        <f t="shared" si="4"/>
        <v>0</v>
      </c>
      <c r="BS12" s="274">
        <f t="shared" si="4"/>
        <v>0</v>
      </c>
      <c r="BT12" s="274">
        <f t="shared" si="4"/>
        <v>0</v>
      </c>
      <c r="BU12" s="274">
        <f t="shared" si="4"/>
        <v>0</v>
      </c>
      <c r="BV12" s="274">
        <f t="shared" si="4"/>
        <v>0</v>
      </c>
      <c r="BW12" s="274">
        <f t="shared" si="4"/>
        <v>0</v>
      </c>
      <c r="BX12" s="274">
        <f t="shared" si="4"/>
        <v>0</v>
      </c>
      <c r="BY12" s="274">
        <f t="shared" si="4"/>
        <v>0</v>
      </c>
      <c r="BZ12" s="274">
        <f t="shared" si="4"/>
        <v>0</v>
      </c>
      <c r="CA12" s="274">
        <f t="shared" si="4"/>
        <v>0</v>
      </c>
      <c r="CB12" s="274">
        <f t="shared" si="4"/>
        <v>0</v>
      </c>
      <c r="CC12" s="274">
        <f t="shared" si="4"/>
        <v>0</v>
      </c>
      <c r="CD12" s="274">
        <f t="shared" si="4"/>
        <v>0</v>
      </c>
      <c r="CE12" s="274">
        <f t="shared" si="4"/>
        <v>0</v>
      </c>
      <c r="CF12" s="274">
        <f t="shared" si="4"/>
        <v>0</v>
      </c>
      <c r="CG12" s="274">
        <f t="shared" si="4"/>
        <v>0</v>
      </c>
      <c r="CH12" s="274">
        <f t="shared" si="4"/>
        <v>0</v>
      </c>
      <c r="CI12" s="274">
        <f t="shared" si="4"/>
        <v>0</v>
      </c>
      <c r="CJ12" s="274">
        <f t="shared" si="4"/>
        <v>0</v>
      </c>
      <c r="CK12" s="274">
        <f t="shared" si="4"/>
        <v>0</v>
      </c>
      <c r="CL12" s="274">
        <f t="shared" si="4"/>
        <v>0</v>
      </c>
      <c r="CM12" s="274">
        <f t="shared" si="4"/>
        <v>0</v>
      </c>
      <c r="CN12" s="274">
        <f t="shared" si="4"/>
        <v>0</v>
      </c>
      <c r="CO12" s="274">
        <f t="shared" si="4"/>
        <v>0</v>
      </c>
      <c r="CP12" s="274">
        <f t="shared" si="4"/>
        <v>0</v>
      </c>
      <c r="CQ12" s="274">
        <f t="shared" si="4"/>
        <v>0</v>
      </c>
      <c r="CR12" s="274">
        <f t="shared" si="4"/>
        <v>0</v>
      </c>
      <c r="CS12" s="274">
        <f t="shared" si="4"/>
        <v>0</v>
      </c>
      <c r="CT12" s="274">
        <f t="shared" si="4"/>
        <v>0</v>
      </c>
      <c r="CU12" s="274">
        <f t="shared" si="4"/>
        <v>0</v>
      </c>
      <c r="CV12" s="274">
        <f t="shared" si="4"/>
        <v>0</v>
      </c>
      <c r="CW12" s="274">
        <f t="shared" si="4"/>
        <v>0</v>
      </c>
      <c r="CX12" s="274">
        <f t="shared" si="4"/>
        <v>0</v>
      </c>
      <c r="CY12" s="274">
        <f t="shared" si="4"/>
        <v>0</v>
      </c>
      <c r="CZ12" s="274">
        <f t="shared" si="4"/>
        <v>0</v>
      </c>
      <c r="DA12" s="274">
        <f t="shared" si="4"/>
        <v>0</v>
      </c>
      <c r="DB12" s="274">
        <f t="shared" si="4"/>
        <v>0</v>
      </c>
      <c r="DC12" s="274">
        <f t="shared" si="4"/>
        <v>0</v>
      </c>
      <c r="DD12" s="274">
        <f t="shared" si="4"/>
        <v>0</v>
      </c>
      <c r="DE12" s="274">
        <f t="shared" si="4"/>
        <v>0</v>
      </c>
      <c r="DF12" s="274">
        <f t="shared" si="4"/>
        <v>0</v>
      </c>
      <c r="DG12" s="274">
        <f t="shared" si="4"/>
        <v>0</v>
      </c>
      <c r="DH12" s="274">
        <f t="shared" si="4"/>
        <v>0</v>
      </c>
      <c r="DI12" s="274">
        <f t="shared" si="4"/>
        <v>0</v>
      </c>
      <c r="DJ12" s="274">
        <f t="shared" si="4"/>
        <v>0</v>
      </c>
      <c r="DK12" s="274">
        <f t="shared" si="4"/>
        <v>0</v>
      </c>
      <c r="DL12" s="274">
        <f t="shared" si="4"/>
        <v>0</v>
      </c>
      <c r="DM12" s="274">
        <f t="shared" si="4"/>
        <v>0</v>
      </c>
      <c r="DN12" s="274">
        <f t="shared" si="4"/>
        <v>0</v>
      </c>
      <c r="DO12" s="274">
        <f t="shared" si="4"/>
        <v>0</v>
      </c>
      <c r="DP12" s="274">
        <f t="shared" si="4"/>
        <v>0</v>
      </c>
      <c r="DQ12" s="274">
        <f t="shared" si="4"/>
        <v>0</v>
      </c>
      <c r="DR12" s="274">
        <f t="shared" si="4"/>
        <v>0</v>
      </c>
      <c r="DS12" s="274">
        <f t="shared" si="4"/>
        <v>0</v>
      </c>
      <c r="DT12" s="274">
        <f t="shared" si="4"/>
        <v>0</v>
      </c>
      <c r="DU12" s="274">
        <f t="shared" si="4"/>
        <v>0</v>
      </c>
      <c r="DV12" s="274">
        <f t="shared" si="4"/>
        <v>0</v>
      </c>
      <c r="DW12" s="274">
        <f t="shared" si="4"/>
        <v>0</v>
      </c>
      <c r="DX12" s="274">
        <f t="shared" si="4"/>
        <v>0</v>
      </c>
      <c r="DY12" s="274">
        <f t="shared" si="4"/>
        <v>0</v>
      </c>
      <c r="DZ12" s="274">
        <f t="shared" si="4"/>
        <v>0</v>
      </c>
      <c r="EA12" s="274">
        <f t="shared" si="4"/>
        <v>0</v>
      </c>
      <c r="EB12" s="274">
        <f t="shared" si="4"/>
        <v>0</v>
      </c>
      <c r="EC12" s="274">
        <f t="shared" si="4"/>
        <v>0</v>
      </c>
      <c r="ED12" s="274">
        <f t="shared" si="4"/>
        <v>0</v>
      </c>
      <c r="EE12" s="274">
        <f t="shared" si="4"/>
        <v>0</v>
      </c>
      <c r="EF12" s="274">
        <f t="shared" si="4"/>
        <v>0</v>
      </c>
      <c r="EG12" s="274">
        <f t="shared" si="4"/>
        <v>0</v>
      </c>
      <c r="EH12" s="274">
        <f t="shared" si="4"/>
        <v>0</v>
      </c>
      <c r="EI12" s="274">
        <f t="shared" si="4"/>
        <v>0</v>
      </c>
      <c r="EJ12" s="274">
        <f t="shared" si="4"/>
        <v>0</v>
      </c>
      <c r="EK12" s="274">
        <f t="shared" si="4"/>
        <v>0</v>
      </c>
      <c r="EL12" s="274">
        <f t="shared" si="4"/>
        <v>0</v>
      </c>
      <c r="EM12" s="274">
        <f t="shared" si="4"/>
        <v>0</v>
      </c>
      <c r="EN12" s="274">
        <f t="shared" si="4"/>
        <v>0</v>
      </c>
      <c r="EO12" s="274">
        <f t="shared" si="4"/>
        <v>0</v>
      </c>
      <c r="EP12" s="274">
        <f t="shared" si="4"/>
        <v>0</v>
      </c>
      <c r="EQ12" s="274">
        <f t="shared" si="4"/>
        <v>0</v>
      </c>
      <c r="ER12" s="274">
        <f t="shared" si="4"/>
        <v>0</v>
      </c>
      <c r="ES12" s="274">
        <f t="shared" si="4"/>
        <v>0</v>
      </c>
      <c r="ET12" s="274">
        <f t="shared" si="4"/>
        <v>0</v>
      </c>
      <c r="EU12" s="274">
        <f t="shared" si="4"/>
        <v>0</v>
      </c>
      <c r="EV12" s="274">
        <f t="shared" ref="EV12:IB12" si="5">+EV13+EV14+EV15</f>
        <v>0</v>
      </c>
      <c r="EW12" s="274">
        <f t="shared" si="5"/>
        <v>0</v>
      </c>
      <c r="EX12" s="274">
        <f t="shared" si="5"/>
        <v>0</v>
      </c>
      <c r="EY12" s="274">
        <f t="shared" si="5"/>
        <v>0</v>
      </c>
      <c r="EZ12" s="274">
        <f t="shared" si="5"/>
        <v>0</v>
      </c>
      <c r="FA12" s="274">
        <f t="shared" si="5"/>
        <v>0</v>
      </c>
      <c r="FB12" s="274">
        <f t="shared" si="5"/>
        <v>0</v>
      </c>
      <c r="FC12" s="274">
        <f t="shared" si="5"/>
        <v>0</v>
      </c>
      <c r="FD12" s="274">
        <f t="shared" si="5"/>
        <v>0</v>
      </c>
      <c r="FE12" s="274">
        <f t="shared" si="5"/>
        <v>0</v>
      </c>
      <c r="FF12" s="274">
        <f t="shared" si="5"/>
        <v>0</v>
      </c>
      <c r="FG12" s="274">
        <f t="shared" si="5"/>
        <v>0</v>
      </c>
      <c r="FH12" s="274">
        <f t="shared" si="5"/>
        <v>0</v>
      </c>
      <c r="FI12" s="274">
        <f t="shared" si="5"/>
        <v>0</v>
      </c>
      <c r="FJ12" s="274">
        <f t="shared" si="5"/>
        <v>0</v>
      </c>
      <c r="FK12" s="274"/>
      <c r="FL12" s="274">
        <f>+FL13+FL14+FL15</f>
        <v>1023175490</v>
      </c>
      <c r="FM12" s="274">
        <f>+FM13+FM14+FM15</f>
        <v>2462142663</v>
      </c>
      <c r="FN12" s="274">
        <f t="shared" si="5"/>
        <v>0</v>
      </c>
      <c r="FO12" s="274">
        <f t="shared" si="5"/>
        <v>0</v>
      </c>
      <c r="FP12" s="274">
        <f t="shared" si="5"/>
        <v>0</v>
      </c>
      <c r="FQ12" s="274">
        <f t="shared" si="5"/>
        <v>0</v>
      </c>
      <c r="FR12" s="274">
        <f t="shared" si="5"/>
        <v>0</v>
      </c>
      <c r="FS12" s="274">
        <f t="shared" si="5"/>
        <v>0</v>
      </c>
      <c r="FT12" s="274">
        <f t="shared" si="5"/>
        <v>0</v>
      </c>
      <c r="FU12" s="274">
        <f t="shared" si="5"/>
        <v>0</v>
      </c>
      <c r="FV12" s="274">
        <f t="shared" si="5"/>
        <v>0</v>
      </c>
      <c r="FW12" s="274">
        <f t="shared" si="5"/>
        <v>0</v>
      </c>
      <c r="FX12" s="274">
        <f t="shared" si="5"/>
        <v>0</v>
      </c>
      <c r="FY12" s="274">
        <f t="shared" si="5"/>
        <v>0</v>
      </c>
      <c r="FZ12" s="274">
        <f t="shared" si="5"/>
        <v>0</v>
      </c>
      <c r="GA12" s="274">
        <f t="shared" si="5"/>
        <v>0</v>
      </c>
      <c r="GB12" s="274">
        <f t="shared" si="5"/>
        <v>0</v>
      </c>
      <c r="GC12" s="274">
        <f t="shared" si="5"/>
        <v>0</v>
      </c>
      <c r="GD12" s="274">
        <f t="shared" si="5"/>
        <v>468634</v>
      </c>
      <c r="GE12" s="274">
        <f t="shared" si="5"/>
        <v>468634</v>
      </c>
      <c r="GF12" s="274">
        <f t="shared" si="5"/>
        <v>0</v>
      </c>
      <c r="GG12" s="274">
        <f t="shared" si="5"/>
        <v>0</v>
      </c>
      <c r="GH12" s="274">
        <f t="shared" si="5"/>
        <v>0</v>
      </c>
      <c r="GI12" s="274">
        <f t="shared" si="5"/>
        <v>0</v>
      </c>
      <c r="GJ12" s="274">
        <f t="shared" si="5"/>
        <v>1258998974</v>
      </c>
      <c r="GK12" s="274">
        <f t="shared" si="5"/>
        <v>1258998974</v>
      </c>
      <c r="GL12" s="274">
        <f t="shared" si="5"/>
        <v>0</v>
      </c>
      <c r="GM12" s="274">
        <f t="shared" si="5"/>
        <v>0</v>
      </c>
      <c r="GN12" s="274">
        <f t="shared" si="5"/>
        <v>0</v>
      </c>
      <c r="GO12" s="274">
        <f t="shared" si="5"/>
        <v>0</v>
      </c>
      <c r="GP12" s="274">
        <f t="shared" si="5"/>
        <v>0</v>
      </c>
      <c r="GQ12" s="274">
        <f t="shared" si="5"/>
        <v>0</v>
      </c>
      <c r="GR12" s="274">
        <f t="shared" si="5"/>
        <v>0</v>
      </c>
      <c r="GS12" s="274">
        <f t="shared" si="5"/>
        <v>0</v>
      </c>
      <c r="GT12" s="274">
        <f t="shared" si="5"/>
        <v>0</v>
      </c>
      <c r="GU12" s="274">
        <f t="shared" si="5"/>
        <v>0</v>
      </c>
      <c r="GV12" s="274">
        <f t="shared" si="5"/>
        <v>0</v>
      </c>
      <c r="GW12" s="274">
        <f t="shared" si="5"/>
        <v>0</v>
      </c>
      <c r="GX12" s="274">
        <f t="shared" si="5"/>
        <v>0</v>
      </c>
      <c r="GY12" s="274">
        <f t="shared" si="5"/>
        <v>0</v>
      </c>
      <c r="GZ12" s="274">
        <f t="shared" si="5"/>
        <v>0</v>
      </c>
      <c r="HA12" s="274">
        <f t="shared" si="5"/>
        <v>0</v>
      </c>
      <c r="HB12" s="274">
        <f t="shared" si="5"/>
        <v>0</v>
      </c>
      <c r="HC12" s="274">
        <f t="shared" si="5"/>
        <v>0</v>
      </c>
      <c r="HD12" s="274">
        <f t="shared" si="5"/>
        <v>0</v>
      </c>
      <c r="HE12" s="274">
        <f t="shared" si="5"/>
        <v>0</v>
      </c>
      <c r="HF12" s="274">
        <f t="shared" si="5"/>
        <v>0</v>
      </c>
      <c r="HG12" s="274">
        <f t="shared" si="5"/>
        <v>0</v>
      </c>
      <c r="HH12" s="274">
        <f t="shared" si="5"/>
        <v>0</v>
      </c>
      <c r="HI12" s="274">
        <f t="shared" si="5"/>
        <v>0</v>
      </c>
      <c r="HJ12" s="274">
        <f t="shared" si="5"/>
        <v>0</v>
      </c>
      <c r="HK12" s="274">
        <f t="shared" si="5"/>
        <v>0</v>
      </c>
      <c r="HL12" s="274">
        <f t="shared" si="5"/>
        <v>0</v>
      </c>
      <c r="HM12" s="274">
        <f t="shared" si="5"/>
        <v>0</v>
      </c>
      <c r="HN12" s="274">
        <f t="shared" si="5"/>
        <v>0</v>
      </c>
      <c r="HO12" s="274">
        <f t="shared" si="5"/>
        <v>0</v>
      </c>
      <c r="HP12" s="274">
        <f t="shared" si="5"/>
        <v>0</v>
      </c>
      <c r="HQ12" s="274">
        <f t="shared" si="5"/>
        <v>0</v>
      </c>
      <c r="HR12" s="274">
        <f t="shared" si="5"/>
        <v>0</v>
      </c>
      <c r="HS12" s="274">
        <f t="shared" si="5"/>
        <v>0</v>
      </c>
      <c r="HT12" s="274">
        <f t="shared" si="5"/>
        <v>0</v>
      </c>
      <c r="HU12" s="274">
        <f t="shared" si="5"/>
        <v>0</v>
      </c>
      <c r="HV12" s="274">
        <f t="shared" si="5"/>
        <v>0</v>
      </c>
      <c r="HW12" s="274">
        <f t="shared" si="5"/>
        <v>0</v>
      </c>
      <c r="HX12" s="274">
        <f t="shared" si="5"/>
        <v>0</v>
      </c>
      <c r="HY12" s="274">
        <f t="shared" si="5"/>
        <v>0</v>
      </c>
      <c r="HZ12" s="274">
        <f t="shared" si="5"/>
        <v>0</v>
      </c>
      <c r="IA12" s="274">
        <f t="shared" si="5"/>
        <v>0</v>
      </c>
      <c r="IB12" s="274">
        <f t="shared" si="5"/>
        <v>0</v>
      </c>
      <c r="IC12" s="274">
        <f>+IC13+IC14+IC15</f>
        <v>0</v>
      </c>
      <c r="ID12" s="957">
        <f>+D12+F12+H12+L12+N12+P12+R12+T12+V12+AB12+AD12+AF12+AH12+AJ12+AL12+AN12+AP12+AR12+AZ12+BB12+BD12+BF12+BH12+BJ12+BL12+BN12+BP12+BV12+BX12+BZ12+CB12+CF12+CN12+CP12+CR12+CT12+CV12+CZ12+DB12+DD12+DP12+DT12+DZ12+EB12+EF12+EH12+EL12+EV12+EX12+EZ12+FL12+FN12+FP12+FT12+FV12+FZ12+GB12+GD12+GF12+GJ12+GL12+GN12+GP12+HD12+HF12+HH12+HJ12+HL12+HN12+HP12+HR12+IB12</f>
        <v>2282643098</v>
      </c>
      <c r="IE12" s="957">
        <f t="shared" si="1"/>
        <v>3721610271</v>
      </c>
      <c r="IF12" s="258">
        <f t="shared" si="2"/>
        <v>0</v>
      </c>
      <c r="IG12" s="258">
        <f t="shared" si="3"/>
        <v>0</v>
      </c>
    </row>
    <row r="13" spans="1:241" ht="21.75" customHeight="1" x14ac:dyDescent="0.3">
      <c r="A13" s="253" t="s">
        <v>193</v>
      </c>
      <c r="B13" s="263" t="s">
        <v>562</v>
      </c>
      <c r="C13" s="255"/>
      <c r="D13" s="274"/>
      <c r="E13" s="274"/>
      <c r="F13" s="274"/>
      <c r="G13" s="274"/>
      <c r="H13" s="274"/>
      <c r="I13" s="274"/>
      <c r="J13" s="274"/>
      <c r="K13" s="274"/>
      <c r="L13" s="274"/>
      <c r="M13" s="274"/>
      <c r="N13" s="274"/>
      <c r="O13" s="274"/>
      <c r="P13" s="274"/>
      <c r="Q13" s="274"/>
      <c r="R13" s="274"/>
      <c r="S13" s="274"/>
      <c r="T13" s="274"/>
      <c r="U13" s="274"/>
      <c r="V13" s="286"/>
      <c r="W13" s="286"/>
      <c r="X13" s="286"/>
      <c r="Y13" s="286"/>
      <c r="Z13" s="286"/>
      <c r="AA13" s="286"/>
      <c r="AB13" s="286"/>
      <c r="AC13" s="286"/>
      <c r="AD13" s="286"/>
      <c r="AE13" s="286"/>
      <c r="AF13" s="286"/>
      <c r="AG13" s="286"/>
      <c r="AH13" s="286"/>
      <c r="AI13" s="286"/>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274"/>
      <c r="BW13" s="274"/>
      <c r="BX13" s="274"/>
      <c r="BY13" s="274"/>
      <c r="BZ13" s="274"/>
      <c r="CA13" s="274"/>
      <c r="CB13" s="286"/>
      <c r="CC13" s="286"/>
      <c r="CD13" s="274"/>
      <c r="CE13" s="274"/>
      <c r="CF13" s="274"/>
      <c r="CG13" s="274"/>
      <c r="CH13" s="274"/>
      <c r="CI13" s="274"/>
      <c r="CJ13" s="274"/>
      <c r="CK13" s="274"/>
      <c r="CL13" s="274"/>
      <c r="CM13" s="274"/>
      <c r="CN13" s="274"/>
      <c r="CO13" s="274"/>
      <c r="CP13" s="274"/>
      <c r="CQ13" s="274"/>
      <c r="CR13" s="274"/>
      <c r="CS13" s="274"/>
      <c r="CT13" s="274"/>
      <c r="CU13" s="274"/>
      <c r="CV13" s="274"/>
      <c r="CW13" s="274"/>
      <c r="CX13" s="274"/>
      <c r="CY13" s="274"/>
      <c r="CZ13" s="274"/>
      <c r="DA13" s="274"/>
      <c r="DB13" s="274"/>
      <c r="DC13" s="274"/>
      <c r="DD13" s="274"/>
      <c r="DE13" s="274"/>
      <c r="DF13" s="274"/>
      <c r="DG13" s="274"/>
      <c r="DH13" s="274"/>
      <c r="DI13" s="274"/>
      <c r="DJ13" s="274"/>
      <c r="DK13" s="274"/>
      <c r="DL13" s="286"/>
      <c r="DM13" s="286"/>
      <c r="DN13" s="286"/>
      <c r="DO13" s="286"/>
      <c r="DP13" s="274"/>
      <c r="DQ13" s="274"/>
      <c r="DR13" s="274"/>
      <c r="DS13" s="274"/>
      <c r="DT13" s="274"/>
      <c r="DU13" s="274"/>
      <c r="DV13" s="274"/>
      <c r="DW13" s="274"/>
      <c r="DX13" s="274"/>
      <c r="DY13" s="274"/>
      <c r="DZ13" s="274"/>
      <c r="EA13" s="274"/>
      <c r="EB13" s="274"/>
      <c r="EC13" s="274"/>
      <c r="ED13" s="274"/>
      <c r="EE13" s="274"/>
      <c r="EF13" s="274"/>
      <c r="EG13" s="274"/>
      <c r="EH13" s="274"/>
      <c r="EI13" s="274"/>
      <c r="EJ13" s="274"/>
      <c r="EK13" s="274"/>
      <c r="EL13" s="274"/>
      <c r="EM13" s="274"/>
      <c r="EN13" s="274"/>
      <c r="EO13" s="274"/>
      <c r="EP13" s="274"/>
      <c r="EQ13" s="274"/>
      <c r="ER13" s="274"/>
      <c r="ES13" s="274"/>
      <c r="ET13" s="274"/>
      <c r="EU13" s="274"/>
      <c r="EV13" s="274"/>
      <c r="EW13" s="274"/>
      <c r="EX13" s="274"/>
      <c r="EY13" s="274"/>
      <c r="EZ13" s="274"/>
      <c r="FA13" s="274"/>
      <c r="FB13" s="274"/>
      <c r="FC13" s="274"/>
      <c r="FD13" s="274"/>
      <c r="FE13" s="274"/>
      <c r="FF13" s="274"/>
      <c r="FG13" s="274"/>
      <c r="FH13" s="274"/>
      <c r="FI13" s="274"/>
      <c r="FJ13" s="274"/>
      <c r="FK13" s="274"/>
      <c r="FL13" s="274"/>
      <c r="FM13" s="274"/>
      <c r="FN13" s="274"/>
      <c r="FO13" s="274"/>
      <c r="FP13" s="274"/>
      <c r="FQ13" s="274"/>
      <c r="FR13" s="274"/>
      <c r="FS13" s="274"/>
      <c r="FT13" s="274"/>
      <c r="FU13" s="274"/>
      <c r="FV13" s="274"/>
      <c r="FW13" s="274"/>
      <c r="FX13" s="274"/>
      <c r="FY13" s="274"/>
      <c r="FZ13" s="274"/>
      <c r="GA13" s="274"/>
      <c r="GB13" s="274"/>
      <c r="GC13" s="274"/>
      <c r="GD13" s="274"/>
      <c r="GE13" s="274"/>
      <c r="GF13" s="274"/>
      <c r="GG13" s="274"/>
      <c r="GH13" s="274"/>
      <c r="GI13" s="274"/>
      <c r="GJ13" s="286"/>
      <c r="GK13" s="286"/>
      <c r="GL13" s="286"/>
      <c r="GM13" s="286"/>
      <c r="GN13" s="286"/>
      <c r="GO13" s="286"/>
      <c r="GP13" s="286"/>
      <c r="GQ13" s="286"/>
      <c r="GR13" s="286"/>
      <c r="GS13" s="286"/>
      <c r="GT13" s="286"/>
      <c r="GU13" s="286"/>
      <c r="GV13" s="286"/>
      <c r="GW13" s="286"/>
      <c r="GX13" s="286"/>
      <c r="GY13" s="286"/>
      <c r="GZ13" s="286"/>
      <c r="HA13" s="286"/>
      <c r="HB13" s="274"/>
      <c r="HC13" s="274"/>
      <c r="HD13" s="274"/>
      <c r="HE13" s="274"/>
      <c r="HF13" s="274"/>
      <c r="HG13" s="274"/>
      <c r="HH13" s="274"/>
      <c r="HI13" s="274"/>
      <c r="HJ13" s="274"/>
      <c r="HK13" s="274"/>
      <c r="HL13" s="274"/>
      <c r="HM13" s="274"/>
      <c r="HN13" s="274"/>
      <c r="HO13" s="274"/>
      <c r="HP13" s="274"/>
      <c r="HQ13" s="274"/>
      <c r="HR13" s="274"/>
      <c r="HS13" s="274"/>
      <c r="HT13" s="274"/>
      <c r="HU13" s="274"/>
      <c r="HV13" s="274"/>
      <c r="HW13" s="274"/>
      <c r="HX13" s="274"/>
      <c r="HY13" s="274"/>
      <c r="HZ13" s="274"/>
      <c r="IA13" s="274"/>
      <c r="IB13" s="274"/>
      <c r="IC13" s="274"/>
      <c r="ID13" s="957">
        <f t="shared" si="0"/>
        <v>0</v>
      </c>
      <c r="IE13" s="957">
        <f t="shared" si="1"/>
        <v>0</v>
      </c>
      <c r="IF13" s="258">
        <f t="shared" si="2"/>
        <v>0</v>
      </c>
      <c r="IG13" s="258">
        <f t="shared" si="3"/>
        <v>0</v>
      </c>
    </row>
    <row r="14" spans="1:241" s="265" customFormat="1" ht="21.75" customHeight="1" x14ac:dyDescent="0.3">
      <c r="A14" s="253" t="s">
        <v>194</v>
      </c>
      <c r="B14" s="263" t="s">
        <v>563</v>
      </c>
      <c r="C14" s="264"/>
      <c r="D14" s="284"/>
      <c r="E14" s="284"/>
      <c r="F14" s="284"/>
      <c r="G14" s="284"/>
      <c r="H14" s="284"/>
      <c r="I14" s="284"/>
      <c r="J14" s="284"/>
      <c r="K14" s="284"/>
      <c r="L14" s="284"/>
      <c r="M14" s="284"/>
      <c r="N14" s="284"/>
      <c r="O14" s="284"/>
      <c r="P14" s="284"/>
      <c r="Q14" s="284"/>
      <c r="R14" s="284"/>
      <c r="S14" s="284"/>
      <c r="T14" s="284"/>
      <c r="U14" s="284"/>
      <c r="V14" s="293"/>
      <c r="W14" s="293"/>
      <c r="X14" s="293"/>
      <c r="Y14" s="293"/>
      <c r="Z14" s="293"/>
      <c r="AA14" s="293"/>
      <c r="AB14" s="293"/>
      <c r="AC14" s="293"/>
      <c r="AD14" s="293"/>
      <c r="AE14" s="293"/>
      <c r="AF14" s="293"/>
      <c r="AG14" s="293"/>
      <c r="AH14" s="293"/>
      <c r="AI14" s="293"/>
      <c r="AJ14" s="284"/>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c r="CA14" s="284"/>
      <c r="CB14" s="293"/>
      <c r="CC14" s="293"/>
      <c r="CD14" s="284"/>
      <c r="CE14" s="284"/>
      <c r="CF14" s="284"/>
      <c r="CG14" s="284"/>
      <c r="CH14" s="284"/>
      <c r="CI14" s="284"/>
      <c r="CJ14" s="284"/>
      <c r="CK14" s="284"/>
      <c r="CL14" s="284"/>
      <c r="CM14" s="284"/>
      <c r="CN14" s="284"/>
      <c r="CO14" s="284"/>
      <c r="CP14" s="284"/>
      <c r="CQ14" s="284"/>
      <c r="CR14" s="284"/>
      <c r="CS14" s="284"/>
      <c r="CT14" s="284"/>
      <c r="CU14" s="284"/>
      <c r="CV14" s="284"/>
      <c r="CW14" s="284"/>
      <c r="CX14" s="284"/>
      <c r="CY14" s="284"/>
      <c r="CZ14" s="284"/>
      <c r="DA14" s="284"/>
      <c r="DB14" s="284"/>
      <c r="DC14" s="284"/>
      <c r="DD14" s="284"/>
      <c r="DE14" s="284"/>
      <c r="DF14" s="284"/>
      <c r="DG14" s="284"/>
      <c r="DH14" s="284"/>
      <c r="DI14" s="284"/>
      <c r="DJ14" s="284"/>
      <c r="DK14" s="284"/>
      <c r="DL14" s="293"/>
      <c r="DM14" s="293"/>
      <c r="DN14" s="293"/>
      <c r="DO14" s="293"/>
      <c r="DP14" s="284"/>
      <c r="DQ14" s="284"/>
      <c r="DR14" s="284"/>
      <c r="DS14" s="284"/>
      <c r="DT14" s="284"/>
      <c r="DU14" s="284"/>
      <c r="DV14" s="284"/>
      <c r="DW14" s="284"/>
      <c r="DX14" s="284"/>
      <c r="DY14" s="284"/>
      <c r="DZ14" s="284"/>
      <c r="EA14" s="284"/>
      <c r="EB14" s="284"/>
      <c r="EC14" s="284"/>
      <c r="ED14" s="284"/>
      <c r="EE14" s="284"/>
      <c r="EF14" s="284"/>
      <c r="EG14" s="284"/>
      <c r="EH14" s="284"/>
      <c r="EI14" s="284"/>
      <c r="EJ14" s="284"/>
      <c r="EK14" s="284"/>
      <c r="EL14" s="284"/>
      <c r="EM14" s="284"/>
      <c r="EN14" s="284"/>
      <c r="EO14" s="284"/>
      <c r="EP14" s="284"/>
      <c r="EQ14" s="284"/>
      <c r="ER14" s="284"/>
      <c r="ES14" s="284"/>
      <c r="ET14" s="284"/>
      <c r="EU14" s="284"/>
      <c r="EV14" s="284"/>
      <c r="EW14" s="284"/>
      <c r="EX14" s="284"/>
      <c r="EY14" s="284"/>
      <c r="EZ14" s="284"/>
      <c r="FA14" s="284"/>
      <c r="FB14" s="284"/>
      <c r="FC14" s="284"/>
      <c r="FD14" s="284"/>
      <c r="FE14" s="284"/>
      <c r="FF14" s="284"/>
      <c r="FG14" s="284"/>
      <c r="FH14" s="284"/>
      <c r="FI14" s="284"/>
      <c r="FJ14" s="284"/>
      <c r="FK14" s="284"/>
      <c r="FL14" s="284">
        <f>+'8.sz.Tartalékok'!C70</f>
        <v>1023175490</v>
      </c>
      <c r="FM14" s="284">
        <f>+'8.sz.Tartalékok'!D70</f>
        <v>2462142663</v>
      </c>
      <c r="FN14" s="284"/>
      <c r="FO14" s="284"/>
      <c r="FP14" s="284"/>
      <c r="FQ14" s="284"/>
      <c r="FR14" s="284"/>
      <c r="FS14" s="284"/>
      <c r="FT14" s="284"/>
      <c r="FU14" s="284"/>
      <c r="FV14" s="284"/>
      <c r="FW14" s="284"/>
      <c r="FX14" s="284"/>
      <c r="FY14" s="284"/>
      <c r="FZ14" s="284"/>
      <c r="GA14" s="284"/>
      <c r="GB14" s="284"/>
      <c r="GC14" s="284"/>
      <c r="GD14" s="284"/>
      <c r="GE14" s="284"/>
      <c r="GF14" s="284"/>
      <c r="GG14" s="284"/>
      <c r="GH14" s="284"/>
      <c r="GI14" s="284"/>
      <c r="GJ14" s="293"/>
      <c r="GK14" s="293"/>
      <c r="GL14" s="293"/>
      <c r="GM14" s="293"/>
      <c r="GN14" s="293"/>
      <c r="GO14" s="293"/>
      <c r="GP14" s="293"/>
      <c r="GQ14" s="293"/>
      <c r="GR14" s="293"/>
      <c r="GS14" s="293"/>
      <c r="GT14" s="293"/>
      <c r="GU14" s="293"/>
      <c r="GV14" s="293"/>
      <c r="GW14" s="293"/>
      <c r="GX14" s="293"/>
      <c r="GY14" s="293"/>
      <c r="GZ14" s="293"/>
      <c r="HA14" s="293"/>
      <c r="HB14" s="284"/>
      <c r="HC14" s="284"/>
      <c r="HD14" s="284"/>
      <c r="HE14" s="284"/>
      <c r="HF14" s="284"/>
      <c r="HG14" s="284"/>
      <c r="HH14" s="284"/>
      <c r="HI14" s="284"/>
      <c r="HJ14" s="284"/>
      <c r="HK14" s="284"/>
      <c r="HL14" s="284"/>
      <c r="HM14" s="284"/>
      <c r="HN14" s="284"/>
      <c r="HO14" s="284"/>
      <c r="HP14" s="284"/>
      <c r="HQ14" s="284"/>
      <c r="HR14" s="284"/>
      <c r="HS14" s="284"/>
      <c r="HT14" s="284"/>
      <c r="HU14" s="284"/>
      <c r="HV14" s="284"/>
      <c r="HW14" s="284"/>
      <c r="HX14" s="284"/>
      <c r="HY14" s="284"/>
      <c r="HZ14" s="284"/>
      <c r="IA14" s="284"/>
      <c r="IB14" s="284"/>
      <c r="IC14" s="284"/>
      <c r="ID14" s="957">
        <f t="shared" si="0"/>
        <v>1023175490</v>
      </c>
      <c r="IE14" s="957">
        <f t="shared" si="1"/>
        <v>2462142663</v>
      </c>
      <c r="IF14" s="258">
        <f t="shared" si="2"/>
        <v>0</v>
      </c>
      <c r="IG14" s="258">
        <f t="shared" si="3"/>
        <v>0</v>
      </c>
    </row>
    <row r="15" spans="1:241" s="265" customFormat="1" ht="21.75" customHeight="1" x14ac:dyDescent="0.3">
      <c r="A15" s="253" t="s">
        <v>195</v>
      </c>
      <c r="B15" s="263" t="s">
        <v>564</v>
      </c>
      <c r="C15" s="264"/>
      <c r="D15" s="284"/>
      <c r="E15" s="284"/>
      <c r="F15" s="284"/>
      <c r="G15" s="284"/>
      <c r="H15" s="284"/>
      <c r="I15" s="284"/>
      <c r="J15" s="284"/>
      <c r="K15" s="284"/>
      <c r="L15" s="284"/>
      <c r="M15" s="284"/>
      <c r="N15" s="284"/>
      <c r="O15" s="284"/>
      <c r="P15" s="284"/>
      <c r="Q15" s="284"/>
      <c r="R15" s="284"/>
      <c r="S15" s="284"/>
      <c r="T15" s="284"/>
      <c r="U15" s="284"/>
      <c r="V15" s="293"/>
      <c r="W15" s="293"/>
      <c r="X15" s="293"/>
      <c r="Y15" s="293"/>
      <c r="Z15" s="293"/>
      <c r="AA15" s="293"/>
      <c r="AB15" s="293"/>
      <c r="AC15" s="293"/>
      <c r="AD15" s="293"/>
      <c r="AE15" s="293"/>
      <c r="AF15" s="293"/>
      <c r="AG15" s="293"/>
      <c r="AH15" s="293"/>
      <c r="AI15" s="293"/>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93"/>
      <c r="CC15" s="293"/>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93"/>
      <c r="DM15" s="293"/>
      <c r="DN15" s="293"/>
      <c r="DO15" s="293"/>
      <c r="DP15" s="284"/>
      <c r="DQ15" s="284"/>
      <c r="DR15" s="284"/>
      <c r="DS15" s="284"/>
      <c r="DT15" s="284"/>
      <c r="DU15" s="284"/>
      <c r="DV15" s="284"/>
      <c r="DW15" s="284"/>
      <c r="DX15" s="284"/>
      <c r="DY15" s="284"/>
      <c r="DZ15" s="284"/>
      <c r="EA15" s="284"/>
      <c r="EB15" s="284"/>
      <c r="EC15" s="284"/>
      <c r="ED15" s="284"/>
      <c r="EE15" s="284"/>
      <c r="EF15" s="284"/>
      <c r="EG15" s="284"/>
      <c r="EH15" s="284"/>
      <c r="EI15" s="284"/>
      <c r="EJ15" s="284"/>
      <c r="EK15" s="284"/>
      <c r="EL15" s="284"/>
      <c r="EM15" s="284"/>
      <c r="EN15" s="284"/>
      <c r="EO15" s="284"/>
      <c r="EP15" s="284"/>
      <c r="EQ15" s="284"/>
      <c r="ER15" s="284"/>
      <c r="ES15" s="284"/>
      <c r="ET15" s="284"/>
      <c r="EU15" s="284"/>
      <c r="EV15" s="284"/>
      <c r="EW15" s="284"/>
      <c r="EX15" s="284"/>
      <c r="EY15" s="284"/>
      <c r="EZ15" s="284"/>
      <c r="FA15" s="284"/>
      <c r="FB15" s="284"/>
      <c r="FC15" s="284"/>
      <c r="FD15" s="284"/>
      <c r="FE15" s="284"/>
      <c r="FF15" s="284"/>
      <c r="FG15" s="284"/>
      <c r="FH15" s="284"/>
      <c r="FI15" s="284"/>
      <c r="FJ15" s="284"/>
      <c r="FK15" s="284"/>
      <c r="FL15" s="284"/>
      <c r="FM15" s="284"/>
      <c r="FN15" s="284"/>
      <c r="FO15" s="284"/>
      <c r="FP15" s="284"/>
      <c r="FQ15" s="284"/>
      <c r="FR15" s="284"/>
      <c r="FS15" s="284"/>
      <c r="FT15" s="284"/>
      <c r="FU15" s="284"/>
      <c r="FV15" s="284"/>
      <c r="FW15" s="284"/>
      <c r="FX15" s="284"/>
      <c r="FY15" s="284"/>
      <c r="FZ15" s="284"/>
      <c r="GA15" s="284"/>
      <c r="GB15" s="284"/>
      <c r="GC15" s="284"/>
      <c r="GD15" s="284">
        <v>468634</v>
      </c>
      <c r="GE15" s="284">
        <f>+GD15</f>
        <v>468634</v>
      </c>
      <c r="GF15" s="284"/>
      <c r="GG15" s="284"/>
      <c r="GH15" s="284"/>
      <c r="GI15" s="284"/>
      <c r="GJ15" s="285">
        <v>1258998974</v>
      </c>
      <c r="GK15" s="285">
        <f>+GJ15</f>
        <v>1258998974</v>
      </c>
      <c r="GL15" s="285"/>
      <c r="GM15" s="285"/>
      <c r="GN15" s="293"/>
      <c r="GO15" s="293"/>
      <c r="GP15" s="293"/>
      <c r="GQ15" s="293"/>
      <c r="GR15" s="293"/>
      <c r="GS15" s="293"/>
      <c r="GT15" s="293"/>
      <c r="GU15" s="293"/>
      <c r="GV15" s="293"/>
      <c r="GW15" s="293"/>
      <c r="GX15" s="293"/>
      <c r="GY15" s="293"/>
      <c r="GZ15" s="293"/>
      <c r="HA15" s="293"/>
      <c r="HB15" s="284"/>
      <c r="HC15" s="284"/>
      <c r="HD15" s="284"/>
      <c r="HE15" s="284"/>
      <c r="HF15" s="284"/>
      <c r="HG15" s="284"/>
      <c r="HH15" s="284"/>
      <c r="HI15" s="284"/>
      <c r="HJ15" s="284"/>
      <c r="HK15" s="284"/>
      <c r="HL15" s="284"/>
      <c r="HM15" s="284"/>
      <c r="HN15" s="284"/>
      <c r="HO15" s="284"/>
      <c r="HP15" s="284"/>
      <c r="HQ15" s="284"/>
      <c r="HR15" s="284"/>
      <c r="HS15" s="284"/>
      <c r="HT15" s="284"/>
      <c r="HU15" s="284"/>
      <c r="HV15" s="284"/>
      <c r="HW15" s="284"/>
      <c r="HX15" s="284"/>
      <c r="HY15" s="284"/>
      <c r="HZ15" s="284"/>
      <c r="IA15" s="284"/>
      <c r="IB15" s="284"/>
      <c r="IC15" s="284"/>
      <c r="ID15" s="957">
        <f t="shared" si="0"/>
        <v>1259467608</v>
      </c>
      <c r="IE15" s="957">
        <f t="shared" si="1"/>
        <v>1259467608</v>
      </c>
      <c r="IF15" s="258">
        <f t="shared" si="2"/>
        <v>0</v>
      </c>
      <c r="IG15" s="258">
        <f t="shared" si="3"/>
        <v>0</v>
      </c>
    </row>
    <row r="16" spans="1:241" s="260" customFormat="1" ht="21.75" customHeight="1" x14ac:dyDescent="0.3">
      <c r="A16" s="253" t="s">
        <v>196</v>
      </c>
      <c r="B16" s="266" t="s">
        <v>241</v>
      </c>
      <c r="C16" s="255" t="s">
        <v>205</v>
      </c>
      <c r="D16" s="274">
        <f>+'6.sz. Beruházások'!D12+'6.sz. Beruházások'!D13+'6.sz. Beruházások'!D17</f>
        <v>35400000</v>
      </c>
      <c r="E16" s="274">
        <f>+D16-1150320-310586+1150320+310586+4773626-3149606-850394+3149606+400000+108000+1264875+341516-2786688-752406+2786688+752406+6289400+1698138+2425000+654750+633103+170938+97600000+26352000+4700000+1269000+3200000+864000-26352000</f>
        <v>160941952</v>
      </c>
      <c r="F16" s="274">
        <f>+'6.sz. Beruházások'!D27+'6.sz. Beruházások'!D28+'6.sz. Beruházások'!D30+'6.sz. Beruházások'!D31</f>
        <v>52000000</v>
      </c>
      <c r="G16" s="274">
        <f>+F16-716000-193320-572992-154708+572992+154708-1390100-375327-250000-67500-1691400-456678-850000-229500-1800000-486000+1800000+486000-4986800-1346436+4986800+1346436-960000-259200+768000+207360-3171654-856346-950000-256500+950000+256500-2660170-718246+2660170+718246-940000-253800+940000+253800-122042-32951-822958-222199+3471260+937240-1778740-480260+1778740+480260-877440-236909+877440+236909+6063000+1637010+843475+227738+1438275+388334-236226-63781-72560-19591-1811-489+310597+83861+3185128+859985+3584650+967856+4950000+1336500</f>
        <v>70198636</v>
      </c>
      <c r="H16" s="274"/>
      <c r="I16" s="274"/>
      <c r="J16" s="274"/>
      <c r="K16" s="274">
        <f>1585000+427950+561600+151632</f>
        <v>2726182</v>
      </c>
      <c r="L16" s="274">
        <f>+'6.sz. Beruházások'!D43+'6.sz. Beruházások'!D44+'6.sz. Beruházások'!D45</f>
        <v>12477750</v>
      </c>
      <c r="M16" s="274">
        <f>+L16+850000+229500+4028000+5800000+9200000+900000+243000+3100000+837000-6650000-9200000-229500</f>
        <v>21585750</v>
      </c>
      <c r="N16" s="274"/>
      <c r="O16" s="274">
        <f>716000+193320+1200000+324000+900000+243000+2000000+540000+10146000+800000+216000-10946000-216000-1200000-324000</f>
        <v>4592320</v>
      </c>
      <c r="P16" s="274">
        <f>+'6.sz. Beruházások'!D63+'6.sz. Beruházások'!D64+'6.sz. Beruházások'!D65+'6.sz. Beruházások'!D66+'6.sz. Beruházások'!D67+'6.sz. Beruházások'!D69</f>
        <v>49433573</v>
      </c>
      <c r="Q16" s="274">
        <f>+P16+68500+18495+17000000+4590000-6732042+1918775-339536-91675+5227870+1411525+16320000+380215+102658+310000+83700</f>
        <v>89702058</v>
      </c>
      <c r="R16" s="274"/>
      <c r="S16" s="274">
        <f>86460+23344+410000+110700+9996000+2698920+398700+107649+157000+42390+590000+159300+86460+23344</f>
        <v>14890267</v>
      </c>
      <c r="T16" s="274"/>
      <c r="U16" s="274"/>
      <c r="V16" s="285"/>
      <c r="W16" s="285"/>
      <c r="X16" s="285"/>
      <c r="Y16" s="285"/>
      <c r="Z16" s="285"/>
      <c r="AA16" s="285"/>
      <c r="AB16" s="285"/>
      <c r="AC16" s="285"/>
      <c r="AD16" s="285"/>
      <c r="AE16" s="285"/>
      <c r="AF16" s="285">
        <f>+'6.sz. Beruházások'!D86</f>
        <v>9079528</v>
      </c>
      <c r="AG16" s="285">
        <f>+AF16+380000+102600+491898+132812+1355733+366048</f>
        <v>11908619</v>
      </c>
      <c r="AH16" s="285"/>
      <c r="AI16" s="285"/>
      <c r="AJ16" s="274">
        <f>+'6.sz. Beruházások'!D89</f>
        <v>889000</v>
      </c>
      <c r="AK16" s="274">
        <f>+AJ16-400000</f>
        <v>489000</v>
      </c>
      <c r="AL16" s="274">
        <f>+'6.sz. Beruházások'!D90</f>
        <v>127000</v>
      </c>
      <c r="AM16" s="274">
        <f>+AL16</f>
        <v>127000</v>
      </c>
      <c r="AN16" s="274"/>
      <c r="AO16" s="274"/>
      <c r="AP16" s="274"/>
      <c r="AQ16" s="274"/>
      <c r="AR16" s="274"/>
      <c r="AS16" s="274"/>
      <c r="AT16" s="274"/>
      <c r="AU16" s="274"/>
      <c r="AV16" s="274"/>
      <c r="AW16" s="274"/>
      <c r="AX16" s="274"/>
      <c r="AY16" s="274"/>
      <c r="AZ16" s="274"/>
      <c r="BA16" s="274"/>
      <c r="BB16" s="274"/>
      <c r="BC16" s="274"/>
      <c r="BD16" s="274"/>
      <c r="BE16" s="274">
        <f>265000+71550+795000+214650+397500+107325</f>
        <v>1851025</v>
      </c>
      <c r="BF16" s="274"/>
      <c r="BG16" s="274"/>
      <c r="BH16" s="274"/>
      <c r="BI16" s="274"/>
      <c r="BJ16" s="274">
        <f>+'6.sz. Beruházások'!D92</f>
        <v>1000000</v>
      </c>
      <c r="BK16" s="274">
        <f>+BJ16-219402-10990</f>
        <v>769608</v>
      </c>
      <c r="BL16" s="274"/>
      <c r="BM16" s="274"/>
      <c r="BN16" s="274"/>
      <c r="BO16" s="274"/>
      <c r="BP16" s="274"/>
      <c r="BQ16" s="274">
        <f>10236220+2763780+5000000+1350000</f>
        <v>19350000</v>
      </c>
      <c r="BR16" s="274"/>
      <c r="BS16" s="274"/>
      <c r="BT16" s="274"/>
      <c r="BU16" s="274"/>
      <c r="BV16" s="274"/>
      <c r="BW16" s="274">
        <f>160400+43308+670000+180900</f>
        <v>1054608</v>
      </c>
      <c r="BX16" s="274">
        <f>+'6.sz. Beruházások'!D95</f>
        <v>1409700</v>
      </c>
      <c r="BY16" s="274">
        <f>+BX16+7874016+2125984</f>
        <v>11409700</v>
      </c>
      <c r="BZ16" s="274">
        <f>+'6.sz. Beruházások'!D97</f>
        <v>254000</v>
      </c>
      <c r="CA16" s="274">
        <f>+BZ16+100000+27000</f>
        <v>381000</v>
      </c>
      <c r="CB16" s="285"/>
      <c r="CC16" s="285"/>
      <c r="CD16" s="274"/>
      <c r="CE16" s="274"/>
      <c r="CF16" s="274">
        <f>+'6.sz. Beruházások'!D77</f>
        <v>8172450</v>
      </c>
      <c r="CG16" s="274">
        <f>+CF16+150000+40500</f>
        <v>8362950</v>
      </c>
      <c r="CH16" s="274"/>
      <c r="CI16" s="274"/>
      <c r="CJ16" s="274"/>
      <c r="CK16" s="274"/>
      <c r="CL16" s="274"/>
      <c r="CM16" s="274"/>
      <c r="CN16" s="274"/>
      <c r="CO16" s="274"/>
      <c r="CP16" s="306">
        <f>+'6.sz. Beruházások'!D99</f>
        <v>6000000</v>
      </c>
      <c r="CQ16" s="306">
        <f>+CP16+100000+27000+5511811+1488189+1600000+432000</f>
        <v>15159000</v>
      </c>
      <c r="CR16" s="274"/>
      <c r="CS16" s="274">
        <f>60000+16200</f>
        <v>76200</v>
      </c>
      <c r="CT16" s="274"/>
      <c r="CU16" s="274"/>
      <c r="CV16" s="274"/>
      <c r="CW16" s="274"/>
      <c r="CX16" s="274"/>
      <c r="CY16" s="274"/>
      <c r="CZ16" s="274">
        <f>+'6.sz. Beruházások'!D103</f>
        <v>635000</v>
      </c>
      <c r="DA16" s="274">
        <f>+CZ16+483500+130545</f>
        <v>1249045</v>
      </c>
      <c r="DB16" s="274">
        <f>+'6.sz. Beruházások'!D105+'6.sz. Beruházások'!D106</f>
        <v>4699000</v>
      </c>
      <c r="DC16" s="274">
        <f>+DB16+948500+256095-20000+20000</f>
        <v>5903595</v>
      </c>
      <c r="DD16" s="274"/>
      <c r="DE16" s="274">
        <v>12062800</v>
      </c>
      <c r="DF16" s="274"/>
      <c r="DG16" s="274">
        <f>13378+3612</f>
        <v>16990</v>
      </c>
      <c r="DH16" s="274"/>
      <c r="DI16" s="274"/>
      <c r="DJ16" s="274"/>
      <c r="DK16" s="274"/>
      <c r="DL16" s="274">
        <f>+'6.sz. Beruházások'!D111+'6.sz. Beruházások'!D110</f>
        <v>25861401</v>
      </c>
      <c r="DM16" s="274">
        <f>+DL16+1037630+280160+400000+108000+300000</f>
        <v>27987191</v>
      </c>
      <c r="DN16" s="274"/>
      <c r="DO16" s="274"/>
      <c r="DP16" s="274"/>
      <c r="DQ16" s="274"/>
      <c r="DR16" s="274"/>
      <c r="DS16" s="274"/>
      <c r="DT16" s="274"/>
      <c r="DU16" s="274"/>
      <c r="DV16" s="274"/>
      <c r="DW16" s="274">
        <f>305600+82512</f>
        <v>388112</v>
      </c>
      <c r="DX16" s="274"/>
      <c r="DY16" s="274"/>
      <c r="DZ16" s="274"/>
      <c r="EA16" s="274"/>
      <c r="EB16" s="274">
        <f>+(0)+6023622+1626378</f>
        <v>7650000</v>
      </c>
      <c r="EC16" s="274">
        <f>3523811+6650000+9200000+229500</f>
        <v>19603311</v>
      </c>
      <c r="ED16" s="274"/>
      <c r="EE16" s="274">
        <v>2499811</v>
      </c>
      <c r="EF16" s="274"/>
      <c r="EG16" s="274">
        <v>21659800</v>
      </c>
      <c r="EH16" s="274">
        <f>+'6.sz. Beruházások'!D56</f>
        <v>43969369</v>
      </c>
      <c r="EI16" s="274">
        <f>+EH16-9347819+765815+206770-34621550+50441300+256500+34234880+10946000+216000+1200000+324000</f>
        <v>98591265</v>
      </c>
      <c r="EJ16" s="274"/>
      <c r="EK16" s="274">
        <v>34621550</v>
      </c>
      <c r="EL16" s="274"/>
      <c r="EM16" s="274"/>
      <c r="EN16" s="274"/>
      <c r="EO16" s="274"/>
      <c r="EP16" s="274"/>
      <c r="EQ16" s="274"/>
      <c r="ER16" s="274"/>
      <c r="ES16" s="274"/>
      <c r="ET16" s="274"/>
      <c r="EU16" s="274"/>
      <c r="EV16" s="274"/>
      <c r="EW16" s="274"/>
      <c r="EX16" s="274"/>
      <c r="EY16" s="274"/>
      <c r="EZ16" s="274"/>
      <c r="FA16" s="274"/>
      <c r="FB16" s="274"/>
      <c r="FC16" s="274">
        <f>1360000+367200+130000+35100</f>
        <v>1892300</v>
      </c>
      <c r="FD16" s="274"/>
      <c r="FE16" s="274"/>
      <c r="FF16" s="274"/>
      <c r="FG16" s="274"/>
      <c r="FH16" s="274"/>
      <c r="FI16" s="274"/>
      <c r="FJ16" s="274"/>
      <c r="FK16" s="274"/>
      <c r="FL16" s="274"/>
      <c r="FM16" s="274"/>
      <c r="FN16" s="274"/>
      <c r="FO16" s="274"/>
      <c r="FP16" s="274"/>
      <c r="FQ16" s="274"/>
      <c r="FR16" s="274"/>
      <c r="FS16" s="274"/>
      <c r="FT16" s="274"/>
      <c r="FU16" s="274"/>
      <c r="FV16" s="274">
        <f>+'6.sz. Beruházások'!D114</f>
        <v>19139399</v>
      </c>
      <c r="FW16" s="274">
        <f>+FV16+387000+104490+898867+242694</f>
        <v>20772450</v>
      </c>
      <c r="FX16" s="274"/>
      <c r="FY16" s="274">
        <f>6435000+1737450</f>
        <v>8172450</v>
      </c>
      <c r="FZ16" s="274"/>
      <c r="GA16" s="274">
        <f>14996370+4049020+2919186+788180+7073274+1909784+678000+183060+9883788+2668623</f>
        <v>45149285</v>
      </c>
      <c r="GB16" s="274"/>
      <c r="GC16" s="274"/>
      <c r="GD16" s="274"/>
      <c r="GE16" s="274"/>
      <c r="GF16" s="274"/>
      <c r="GG16" s="274">
        <f>14000000+3780000+62492+16873+339536+91675+198900+53703+1627400+439398+19973678+5392893+200000+54000</f>
        <v>46230548</v>
      </c>
      <c r="GH16" s="274"/>
      <c r="GI16" s="274">
        <f>27386+7394+175000+13370+3610</f>
        <v>226760</v>
      </c>
      <c r="GJ16" s="285"/>
      <c r="GK16" s="285"/>
      <c r="GL16" s="285"/>
      <c r="GM16" s="285"/>
      <c r="GN16" s="274">
        <f>+'6.sz. Beruházások'!D125+'6.sz. Beruházások'!D127+'6.sz. Beruházások'!D128+'6.sz. Beruházások'!D129+'6.sz. Beruházások'!D130+'6.sz. Beruházások'!D126</f>
        <v>967607895</v>
      </c>
      <c r="GO16" s="274">
        <f>+GN16+133878717-201278982+48505065+13096368+1530000+413100-54935065-13509468+43086614+11633386</f>
        <v>950027630</v>
      </c>
      <c r="GP16" s="274">
        <f>+'6.sz. Beruházások'!D131</f>
        <v>4338600</v>
      </c>
      <c r="GQ16" s="274">
        <f>+GP16+3500000+945000+1380000+372600+190000+51300+190000+51300+160000+43200+150000+40500+348500+94095+54935065+13509468+1216000+328320+360000+97200+200000+54000+9897975+2672453+166173+44867+1650000+445500+1970000+531900+4910000+1325700</f>
        <v>106169716</v>
      </c>
      <c r="GR16" s="274"/>
      <c r="GS16" s="274"/>
      <c r="GT16" s="274"/>
      <c r="GU16" s="274"/>
      <c r="GV16" s="274"/>
      <c r="GW16" s="274"/>
      <c r="GX16" s="274">
        <f>+'6.sz. Beruházások'!D132</f>
        <v>108267649</v>
      </c>
      <c r="GY16" s="274">
        <f>+GX16-23017532+64000+17280-7073274-1909784-5000000-1350000-3200000-864000</f>
        <v>65934339</v>
      </c>
      <c r="GZ16" s="274">
        <f>+'6.sz. Beruházások'!D133</f>
        <v>495300</v>
      </c>
      <c r="HA16" s="274">
        <f>+GZ16</f>
        <v>495300</v>
      </c>
      <c r="HB16" s="274"/>
      <c r="HC16" s="274"/>
      <c r="HD16" s="274">
        <f>+'6.sz. Beruházások'!D8</f>
        <v>50000000</v>
      </c>
      <c r="HE16" s="274">
        <f>+HD16+245000+66150+190000+51300-11811024-3188976-7352546-1985187-465700-125739-14500-3915-1387650-374666-1750000-472500-7875000-2126250-320000-86400-435000+435000</f>
        <v>11212397</v>
      </c>
      <c r="HF16" s="274"/>
      <c r="HG16" s="274">
        <f>2150000+580500+465700+125739+1387650+374666+1750000+472500+7875000+2126250-1750000+1750000</f>
        <v>17308005</v>
      </c>
      <c r="HH16" s="274"/>
      <c r="HI16" s="274"/>
      <c r="HJ16" s="274"/>
      <c r="HK16" s="274"/>
      <c r="HL16" s="274"/>
      <c r="HM16" s="274"/>
      <c r="HN16" s="274"/>
      <c r="HO16" s="274"/>
      <c r="HP16" s="274"/>
      <c r="HQ16" s="274"/>
      <c r="HR16" s="274"/>
      <c r="HS16" s="274"/>
      <c r="HT16" s="274"/>
      <c r="HU16" s="274"/>
      <c r="HV16" s="274"/>
      <c r="HW16" s="274"/>
      <c r="HX16" s="274"/>
      <c r="HY16" s="274">
        <f>279298425+75410575</f>
        <v>354709000</v>
      </c>
      <c r="HZ16" s="274"/>
      <c r="IA16" s="274"/>
      <c r="IB16" s="274"/>
      <c r="IC16" s="274"/>
      <c r="ID16" s="957">
        <f t="shared" si="0"/>
        <v>1274282264</v>
      </c>
      <c r="IE16" s="957">
        <f t="shared" si="1"/>
        <v>1825910901</v>
      </c>
      <c r="IF16" s="258">
        <f t="shared" si="2"/>
        <v>134624350</v>
      </c>
      <c r="IG16" s="258">
        <f t="shared" si="3"/>
        <v>462548624</v>
      </c>
    </row>
    <row r="17" spans="1:241" s="260" customFormat="1" ht="21.75" customHeight="1" x14ac:dyDescent="0.3">
      <c r="A17" s="253" t="s">
        <v>197</v>
      </c>
      <c r="B17" s="262" t="s">
        <v>332</v>
      </c>
      <c r="C17" s="255" t="s">
        <v>206</v>
      </c>
      <c r="D17" s="274"/>
      <c r="E17" s="274">
        <f>1200000+324000+14119397+3812237</f>
        <v>19455634</v>
      </c>
      <c r="F17" s="274"/>
      <c r="G17" s="274">
        <f>1390100+375327</f>
        <v>1765427</v>
      </c>
      <c r="H17" s="274"/>
      <c r="I17" s="274"/>
      <c r="J17" s="274"/>
      <c r="K17" s="274"/>
      <c r="L17" s="274"/>
      <c r="M17" s="274"/>
      <c r="N17" s="274"/>
      <c r="O17" s="274"/>
      <c r="P17" s="274">
        <f>+'7. sz. Felújítások'!D13+'7. sz. Felújítások'!D14+'7. sz. Felújítások'!D15</f>
        <v>3474720</v>
      </c>
      <c r="Q17" s="274">
        <f>+P17+6500000+1755000+28000000+7560000+5500000+1485000+2327600+628452+155550+41999+1965018+530555+750000+202500+400000+108000+468000+126360+8658774+2337869+869100+234657+150000+40500+1367329+369179</f>
        <v>76006162</v>
      </c>
      <c r="R17" s="274"/>
      <c r="S17" s="274"/>
      <c r="T17" s="274"/>
      <c r="U17" s="274"/>
      <c r="V17" s="285"/>
      <c r="W17" s="285"/>
      <c r="X17" s="285"/>
      <c r="Y17" s="285"/>
      <c r="Z17" s="285"/>
      <c r="AA17" s="285"/>
      <c r="AB17" s="285"/>
      <c r="AC17" s="285"/>
      <c r="AD17" s="285"/>
      <c r="AE17" s="285"/>
      <c r="AF17" s="285"/>
      <c r="AG17" s="285"/>
      <c r="AH17" s="285"/>
      <c r="AI17" s="285"/>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c r="CB17" s="285"/>
      <c r="CC17" s="285"/>
      <c r="CD17" s="274"/>
      <c r="CE17" s="274"/>
      <c r="CF17" s="274"/>
      <c r="CG17" s="274"/>
      <c r="CH17" s="274"/>
      <c r="CI17" s="274"/>
      <c r="CJ17" s="274"/>
      <c r="CK17" s="274"/>
      <c r="CL17" s="274"/>
      <c r="CM17" s="274"/>
      <c r="CN17" s="274"/>
      <c r="CO17" s="274"/>
      <c r="CP17" s="274"/>
      <c r="CQ17" s="274"/>
      <c r="CR17" s="274"/>
      <c r="CS17" s="274"/>
      <c r="CT17" s="274"/>
      <c r="CU17" s="274">
        <f>2579902+696574</f>
        <v>3276476</v>
      </c>
      <c r="CV17" s="274"/>
      <c r="CW17" s="274"/>
      <c r="CX17" s="274"/>
      <c r="CY17" s="274"/>
      <c r="CZ17" s="274"/>
      <c r="DA17" s="274"/>
      <c r="DB17" s="274"/>
      <c r="DC17" s="274"/>
      <c r="DD17" s="274"/>
      <c r="DE17" s="274"/>
      <c r="DF17" s="274"/>
      <c r="DG17" s="274"/>
      <c r="DH17" s="274"/>
      <c r="DI17" s="274"/>
      <c r="DJ17" s="274"/>
      <c r="DK17" s="274"/>
      <c r="DL17" s="285"/>
      <c r="DM17" s="285"/>
      <c r="DN17" s="285"/>
      <c r="DO17" s="285"/>
      <c r="DP17" s="274"/>
      <c r="DQ17" s="274"/>
      <c r="DR17" s="274"/>
      <c r="DS17" s="274"/>
      <c r="DT17" s="274"/>
      <c r="DU17" s="274"/>
      <c r="DV17" s="274"/>
      <c r="DW17" s="274">
        <f>250000+67500</f>
        <v>317500</v>
      </c>
      <c r="DX17" s="274"/>
      <c r="DY17" s="274"/>
      <c r="DZ17" s="274"/>
      <c r="EA17" s="274"/>
      <c r="EB17" s="274">
        <f>+'7. sz. Felújítások'!D20</f>
        <v>65000000</v>
      </c>
      <c r="EC17" s="274">
        <f>+EB17-13896653+13896653-33325837-8997976</f>
        <v>22676187</v>
      </c>
      <c r="ED17" s="274"/>
      <c r="EE17" s="274"/>
      <c r="EF17" s="274">
        <f>+'7. sz. Felújítások'!D21</f>
        <v>65000000</v>
      </c>
      <c r="EG17" s="274">
        <f>+EF17-21659800+21659800-51181102-13818898</f>
        <v>0</v>
      </c>
      <c r="EH17" s="274">
        <f>+'7. sz. Felújítások'!D22</f>
        <v>65000000</v>
      </c>
      <c r="EI17" s="274">
        <f>+EH17-765815-206770-46027270-12427363</f>
        <v>5572782</v>
      </c>
      <c r="EJ17" s="274"/>
      <c r="EK17" s="274"/>
      <c r="EL17" s="274">
        <f>+'7. sz. Felújítások'!D23</f>
        <v>65000000</v>
      </c>
      <c r="EM17" s="274">
        <f>+EL17-51181102-13818898</f>
        <v>0</v>
      </c>
      <c r="EN17" s="274"/>
      <c r="EO17" s="274"/>
      <c r="EP17" s="274"/>
      <c r="EQ17" s="274"/>
      <c r="ER17" s="274"/>
      <c r="ES17" s="274"/>
      <c r="ET17" s="274"/>
      <c r="EU17" s="274"/>
      <c r="EV17" s="274"/>
      <c r="EW17" s="274"/>
      <c r="EX17" s="274"/>
      <c r="EY17" s="274"/>
      <c r="EZ17" s="274"/>
      <c r="FA17" s="274"/>
      <c r="FB17" s="274"/>
      <c r="FC17" s="274"/>
      <c r="FD17" s="274"/>
      <c r="FE17" s="274"/>
      <c r="FF17" s="274"/>
      <c r="FG17" s="274"/>
      <c r="FH17" s="274"/>
      <c r="FI17" s="274"/>
      <c r="FJ17" s="274"/>
      <c r="FK17" s="274"/>
      <c r="FL17" s="274"/>
      <c r="FM17" s="274"/>
      <c r="FN17" s="274"/>
      <c r="FO17" s="274"/>
      <c r="FP17" s="274"/>
      <c r="FQ17" s="274"/>
      <c r="FR17" s="274"/>
      <c r="FS17" s="274"/>
      <c r="FT17" s="274"/>
      <c r="FU17" s="274"/>
      <c r="FV17" s="274"/>
      <c r="FW17" s="274"/>
      <c r="FX17" s="274"/>
      <c r="FY17" s="274"/>
      <c r="FZ17" s="274"/>
      <c r="GA17" s="274"/>
      <c r="GB17" s="274"/>
      <c r="GC17" s="274"/>
      <c r="GD17" s="274"/>
      <c r="GE17" s="274"/>
      <c r="GF17" s="274">
        <f>+'7. sz. Felújítások'!D26+'7. sz. Felújítások'!D27</f>
        <v>2593975</v>
      </c>
      <c r="GG17" s="274">
        <f>+GF17+130000000+35100000+22000000+5940000+250000+67500+1019708+275321+750000+202500+737309+199073+4290000+1158300+380000+102600</f>
        <v>205066286</v>
      </c>
      <c r="GH17" s="274"/>
      <c r="GI17" s="274"/>
      <c r="GJ17" s="285"/>
      <c r="GK17" s="285"/>
      <c r="GL17" s="285"/>
      <c r="GM17" s="285"/>
      <c r="GN17" s="285"/>
      <c r="GO17" s="285"/>
      <c r="GP17" s="285"/>
      <c r="GQ17" s="285"/>
      <c r="GR17" s="285"/>
      <c r="GS17" s="285"/>
      <c r="GT17" s="285"/>
      <c r="GU17" s="285"/>
      <c r="GV17" s="285"/>
      <c r="GW17" s="285"/>
      <c r="GX17" s="285"/>
      <c r="GY17" s="285"/>
      <c r="GZ17" s="285"/>
      <c r="HA17" s="285"/>
      <c r="HB17" s="274"/>
      <c r="HC17" s="274"/>
      <c r="HD17" s="274"/>
      <c r="HE17" s="274"/>
      <c r="HF17" s="274"/>
      <c r="HG17" s="274"/>
      <c r="HH17" s="274"/>
      <c r="HI17" s="274"/>
      <c r="HJ17" s="274"/>
      <c r="HK17" s="274"/>
      <c r="HL17" s="274"/>
      <c r="HM17" s="274"/>
      <c r="HN17" s="274"/>
      <c r="HO17" s="274"/>
      <c r="HP17" s="274"/>
      <c r="HQ17" s="274"/>
      <c r="HR17" s="274"/>
      <c r="HS17" s="274"/>
      <c r="HT17" s="274"/>
      <c r="HU17" s="274"/>
      <c r="HV17" s="274"/>
      <c r="HW17" s="274"/>
      <c r="HX17" s="274"/>
      <c r="HY17" s="274"/>
      <c r="HZ17" s="274"/>
      <c r="IA17" s="274"/>
      <c r="IB17" s="274"/>
      <c r="IC17" s="274"/>
      <c r="ID17" s="957">
        <f>+D17+F17+H17+L17+N17+P17+R17+T17+V17+AB17+AD17+AF17+AH17+AJ17+AL17+AN17+AP17+AR17+AZ17+BB17+BD17+BF17+BH17+BJ17+BL17+BN17+BP17+BV17+BX17+BZ17+CB17+CF17+CN17+CP17+CR17+CT17+CV17+CZ17+DB17+DD17+DP17+DT17+DZ17+EB17+EF17+EH17+EL17+EV17+EX17+EZ17+FL17+FN17+FP17+FT17+FV17+FZ17+GB17+GD17+GF17+GJ17+GL17+GN17+GP17+HD17+HF17+HH17+HJ17+HL17+HN17+HP17+HR17+IB17</f>
        <v>266068695</v>
      </c>
      <c r="IE17" s="957">
        <f t="shared" si="1"/>
        <v>333818954</v>
      </c>
      <c r="IF17" s="258">
        <f t="shared" si="2"/>
        <v>0</v>
      </c>
      <c r="IG17" s="258">
        <f t="shared" si="3"/>
        <v>317500</v>
      </c>
    </row>
    <row r="18" spans="1:241" ht="21.75" customHeight="1" x14ac:dyDescent="0.3">
      <c r="A18" s="253" t="s">
        <v>198</v>
      </c>
      <c r="B18" s="262" t="s">
        <v>235</v>
      </c>
      <c r="C18" s="255" t="s">
        <v>207</v>
      </c>
      <c r="D18" s="274">
        <f>+D19</f>
        <v>0</v>
      </c>
      <c r="E18" s="274">
        <f>+E19</f>
        <v>0</v>
      </c>
      <c r="F18" s="274">
        <f t="shared" ref="F18:EU18" si="6">+F19</f>
        <v>0</v>
      </c>
      <c r="G18" s="274">
        <f t="shared" si="6"/>
        <v>0</v>
      </c>
      <c r="H18" s="274">
        <f t="shared" si="6"/>
        <v>0</v>
      </c>
      <c r="I18" s="274">
        <f t="shared" si="6"/>
        <v>0</v>
      </c>
      <c r="J18" s="274">
        <f t="shared" si="6"/>
        <v>0</v>
      </c>
      <c r="K18" s="274">
        <f t="shared" si="6"/>
        <v>0</v>
      </c>
      <c r="L18" s="274">
        <f t="shared" si="6"/>
        <v>0</v>
      </c>
      <c r="M18" s="274">
        <f t="shared" si="6"/>
        <v>0</v>
      </c>
      <c r="N18" s="274">
        <f t="shared" si="6"/>
        <v>0</v>
      </c>
      <c r="O18" s="274">
        <f t="shared" si="6"/>
        <v>0</v>
      </c>
      <c r="P18" s="274">
        <f t="shared" si="6"/>
        <v>0</v>
      </c>
      <c r="Q18" s="274">
        <f t="shared" si="6"/>
        <v>0</v>
      </c>
      <c r="R18" s="274">
        <f t="shared" si="6"/>
        <v>0</v>
      </c>
      <c r="S18" s="274">
        <f t="shared" si="6"/>
        <v>0</v>
      </c>
      <c r="T18" s="274">
        <f t="shared" si="6"/>
        <v>0</v>
      </c>
      <c r="U18" s="274">
        <f t="shared" si="6"/>
        <v>0</v>
      </c>
      <c r="V18" s="274">
        <f t="shared" si="6"/>
        <v>0</v>
      </c>
      <c r="W18" s="274">
        <f t="shared" si="6"/>
        <v>0</v>
      </c>
      <c r="X18" s="274">
        <f t="shared" si="6"/>
        <v>2000000</v>
      </c>
      <c r="Y18" s="274">
        <f t="shared" si="6"/>
        <v>2968750</v>
      </c>
      <c r="Z18" s="274">
        <f t="shared" si="6"/>
        <v>0</v>
      </c>
      <c r="AA18" s="274">
        <f t="shared" si="6"/>
        <v>0</v>
      </c>
      <c r="AB18" s="274">
        <f t="shared" si="6"/>
        <v>0</v>
      </c>
      <c r="AC18" s="274">
        <f t="shared" si="6"/>
        <v>0</v>
      </c>
      <c r="AD18" s="274">
        <f t="shared" si="6"/>
        <v>0</v>
      </c>
      <c r="AE18" s="274">
        <f t="shared" si="6"/>
        <v>0</v>
      </c>
      <c r="AF18" s="274">
        <f t="shared" si="6"/>
        <v>0</v>
      </c>
      <c r="AG18" s="274">
        <f t="shared" si="6"/>
        <v>0</v>
      </c>
      <c r="AH18" s="274">
        <f t="shared" si="6"/>
        <v>0</v>
      </c>
      <c r="AI18" s="274">
        <f t="shared" si="6"/>
        <v>0</v>
      </c>
      <c r="AJ18" s="274">
        <f t="shared" si="6"/>
        <v>0</v>
      </c>
      <c r="AK18" s="274">
        <f t="shared" si="6"/>
        <v>0</v>
      </c>
      <c r="AL18" s="274">
        <f t="shared" si="6"/>
        <v>0</v>
      </c>
      <c r="AM18" s="274">
        <f t="shared" si="6"/>
        <v>0</v>
      </c>
      <c r="AN18" s="274">
        <f t="shared" si="6"/>
        <v>0</v>
      </c>
      <c r="AO18" s="274">
        <f t="shared" si="6"/>
        <v>0</v>
      </c>
      <c r="AP18" s="274">
        <f t="shared" si="6"/>
        <v>0</v>
      </c>
      <c r="AQ18" s="274">
        <f t="shared" si="6"/>
        <v>0</v>
      </c>
      <c r="AR18" s="274">
        <f t="shared" si="6"/>
        <v>0</v>
      </c>
      <c r="AS18" s="274">
        <f t="shared" si="6"/>
        <v>0</v>
      </c>
      <c r="AT18" s="274">
        <f t="shared" si="6"/>
        <v>0</v>
      </c>
      <c r="AU18" s="274">
        <f t="shared" si="6"/>
        <v>0</v>
      </c>
      <c r="AV18" s="274">
        <f t="shared" si="6"/>
        <v>0</v>
      </c>
      <c r="AW18" s="274">
        <f t="shared" si="6"/>
        <v>0</v>
      </c>
      <c r="AX18" s="274">
        <f t="shared" si="6"/>
        <v>0</v>
      </c>
      <c r="AY18" s="274">
        <f t="shared" si="6"/>
        <v>0</v>
      </c>
      <c r="AZ18" s="274">
        <f t="shared" si="6"/>
        <v>0</v>
      </c>
      <c r="BA18" s="274">
        <f t="shared" si="6"/>
        <v>0</v>
      </c>
      <c r="BB18" s="274">
        <f t="shared" si="6"/>
        <v>0</v>
      </c>
      <c r="BC18" s="274">
        <f t="shared" si="6"/>
        <v>0</v>
      </c>
      <c r="BD18" s="274">
        <f t="shared" si="6"/>
        <v>0</v>
      </c>
      <c r="BE18" s="274">
        <f t="shared" si="6"/>
        <v>0</v>
      </c>
      <c r="BF18" s="274">
        <f t="shared" si="6"/>
        <v>0</v>
      </c>
      <c r="BG18" s="274">
        <f t="shared" si="6"/>
        <v>0</v>
      </c>
      <c r="BH18" s="274">
        <f t="shared" si="6"/>
        <v>0</v>
      </c>
      <c r="BI18" s="274">
        <f t="shared" si="6"/>
        <v>0</v>
      </c>
      <c r="BJ18" s="274">
        <f t="shared" si="6"/>
        <v>0</v>
      </c>
      <c r="BK18" s="274">
        <f t="shared" si="6"/>
        <v>0</v>
      </c>
      <c r="BL18" s="274">
        <f t="shared" si="6"/>
        <v>0</v>
      </c>
      <c r="BM18" s="274">
        <f t="shared" si="6"/>
        <v>0</v>
      </c>
      <c r="BN18" s="274">
        <f t="shared" si="6"/>
        <v>0</v>
      </c>
      <c r="BO18" s="274">
        <f t="shared" si="6"/>
        <v>0</v>
      </c>
      <c r="BP18" s="274">
        <f t="shared" si="6"/>
        <v>0</v>
      </c>
      <c r="BQ18" s="274">
        <f t="shared" si="6"/>
        <v>0</v>
      </c>
      <c r="BR18" s="274">
        <f t="shared" si="6"/>
        <v>0</v>
      </c>
      <c r="BS18" s="274">
        <f t="shared" si="6"/>
        <v>0</v>
      </c>
      <c r="BT18" s="274">
        <f t="shared" si="6"/>
        <v>0</v>
      </c>
      <c r="BU18" s="274">
        <f t="shared" si="6"/>
        <v>0</v>
      </c>
      <c r="BV18" s="274">
        <f t="shared" si="6"/>
        <v>0</v>
      </c>
      <c r="BW18" s="274">
        <f t="shared" si="6"/>
        <v>0</v>
      </c>
      <c r="BX18" s="274">
        <f t="shared" si="6"/>
        <v>0</v>
      </c>
      <c r="BY18" s="274">
        <f t="shared" si="6"/>
        <v>0</v>
      </c>
      <c r="BZ18" s="274">
        <f t="shared" si="6"/>
        <v>0</v>
      </c>
      <c r="CA18" s="274">
        <f t="shared" si="6"/>
        <v>0</v>
      </c>
      <c r="CB18" s="274">
        <f t="shared" si="6"/>
        <v>0</v>
      </c>
      <c r="CC18" s="274">
        <f t="shared" si="6"/>
        <v>0</v>
      </c>
      <c r="CD18" s="274">
        <f t="shared" si="6"/>
        <v>0</v>
      </c>
      <c r="CE18" s="274">
        <f t="shared" si="6"/>
        <v>0</v>
      </c>
      <c r="CF18" s="274">
        <f t="shared" si="6"/>
        <v>0</v>
      </c>
      <c r="CG18" s="274">
        <f t="shared" si="6"/>
        <v>0</v>
      </c>
      <c r="CH18" s="274">
        <f t="shared" si="6"/>
        <v>0</v>
      </c>
      <c r="CI18" s="274">
        <f t="shared" si="6"/>
        <v>0</v>
      </c>
      <c r="CJ18" s="274">
        <f t="shared" si="6"/>
        <v>0</v>
      </c>
      <c r="CK18" s="274">
        <f t="shared" si="6"/>
        <v>0</v>
      </c>
      <c r="CL18" s="274">
        <f t="shared" si="6"/>
        <v>0</v>
      </c>
      <c r="CM18" s="274">
        <f t="shared" si="6"/>
        <v>0</v>
      </c>
      <c r="CN18" s="274">
        <f t="shared" si="6"/>
        <v>0</v>
      </c>
      <c r="CO18" s="274">
        <f t="shared" si="6"/>
        <v>0</v>
      </c>
      <c r="CP18" s="274">
        <f t="shared" si="6"/>
        <v>0</v>
      </c>
      <c r="CQ18" s="274">
        <f t="shared" si="6"/>
        <v>0</v>
      </c>
      <c r="CR18" s="274">
        <f t="shared" si="6"/>
        <v>0</v>
      </c>
      <c r="CS18" s="274">
        <f t="shared" si="6"/>
        <v>0</v>
      </c>
      <c r="CT18" s="274">
        <f t="shared" si="6"/>
        <v>0</v>
      </c>
      <c r="CU18" s="274">
        <f t="shared" si="6"/>
        <v>0</v>
      </c>
      <c r="CV18" s="274">
        <f t="shared" si="6"/>
        <v>0</v>
      </c>
      <c r="CW18" s="274">
        <f t="shared" si="6"/>
        <v>0</v>
      </c>
      <c r="CX18" s="274"/>
      <c r="CY18" s="274"/>
      <c r="CZ18" s="274">
        <f t="shared" si="6"/>
        <v>0</v>
      </c>
      <c r="DA18" s="274">
        <f t="shared" si="6"/>
        <v>0</v>
      </c>
      <c r="DB18" s="274">
        <f t="shared" si="6"/>
        <v>0</v>
      </c>
      <c r="DC18" s="274">
        <f t="shared" si="6"/>
        <v>0</v>
      </c>
      <c r="DD18" s="274">
        <f t="shared" si="6"/>
        <v>0</v>
      </c>
      <c r="DE18" s="274">
        <f t="shared" si="6"/>
        <v>0</v>
      </c>
      <c r="DF18" s="274">
        <f t="shared" si="6"/>
        <v>0</v>
      </c>
      <c r="DG18" s="274">
        <f t="shared" si="6"/>
        <v>0</v>
      </c>
      <c r="DH18" s="274">
        <f t="shared" si="6"/>
        <v>0</v>
      </c>
      <c r="DI18" s="274">
        <f t="shared" si="6"/>
        <v>0</v>
      </c>
      <c r="DJ18" s="274">
        <f t="shared" si="6"/>
        <v>0</v>
      </c>
      <c r="DK18" s="274">
        <f t="shared" si="6"/>
        <v>0</v>
      </c>
      <c r="DL18" s="274">
        <f t="shared" si="6"/>
        <v>0</v>
      </c>
      <c r="DM18" s="274">
        <f t="shared" si="6"/>
        <v>0</v>
      </c>
      <c r="DN18" s="274">
        <f t="shared" si="6"/>
        <v>0</v>
      </c>
      <c r="DO18" s="274">
        <f t="shared" si="6"/>
        <v>0</v>
      </c>
      <c r="DP18" s="274">
        <f t="shared" si="6"/>
        <v>0</v>
      </c>
      <c r="DQ18" s="274">
        <f t="shared" si="6"/>
        <v>0</v>
      </c>
      <c r="DR18" s="274">
        <f t="shared" si="6"/>
        <v>0</v>
      </c>
      <c r="DS18" s="274">
        <f t="shared" si="6"/>
        <v>0</v>
      </c>
      <c r="DT18" s="274">
        <f t="shared" si="6"/>
        <v>0</v>
      </c>
      <c r="DU18" s="274">
        <f t="shared" si="6"/>
        <v>0</v>
      </c>
      <c r="DV18" s="274">
        <f t="shared" si="6"/>
        <v>0</v>
      </c>
      <c r="DW18" s="274">
        <f t="shared" si="6"/>
        <v>0</v>
      </c>
      <c r="DX18" s="274">
        <f t="shared" si="6"/>
        <v>0</v>
      </c>
      <c r="DY18" s="274">
        <f t="shared" si="6"/>
        <v>0</v>
      </c>
      <c r="DZ18" s="274">
        <f t="shared" si="6"/>
        <v>0</v>
      </c>
      <c r="EA18" s="274">
        <f t="shared" si="6"/>
        <v>0</v>
      </c>
      <c r="EB18" s="274">
        <f t="shared" si="6"/>
        <v>0</v>
      </c>
      <c r="EC18" s="274">
        <f t="shared" si="6"/>
        <v>0</v>
      </c>
      <c r="ED18" s="274">
        <f t="shared" si="6"/>
        <v>0</v>
      </c>
      <c r="EE18" s="274">
        <f t="shared" si="6"/>
        <v>0</v>
      </c>
      <c r="EF18" s="274">
        <f t="shared" si="6"/>
        <v>0</v>
      </c>
      <c r="EG18" s="274">
        <f t="shared" si="6"/>
        <v>0</v>
      </c>
      <c r="EH18" s="274">
        <f t="shared" si="6"/>
        <v>0</v>
      </c>
      <c r="EI18" s="274">
        <f t="shared" si="6"/>
        <v>0</v>
      </c>
      <c r="EJ18" s="274">
        <f t="shared" si="6"/>
        <v>0</v>
      </c>
      <c r="EK18" s="274">
        <f t="shared" si="6"/>
        <v>0</v>
      </c>
      <c r="EL18" s="274">
        <f t="shared" si="6"/>
        <v>0</v>
      </c>
      <c r="EM18" s="274">
        <f t="shared" si="6"/>
        <v>0</v>
      </c>
      <c r="EN18" s="274">
        <f t="shared" si="6"/>
        <v>0</v>
      </c>
      <c r="EO18" s="274">
        <f t="shared" si="6"/>
        <v>0</v>
      </c>
      <c r="EP18" s="274">
        <f t="shared" si="6"/>
        <v>0</v>
      </c>
      <c r="EQ18" s="274">
        <f t="shared" si="6"/>
        <v>0</v>
      </c>
      <c r="ER18" s="274">
        <f t="shared" si="6"/>
        <v>0</v>
      </c>
      <c r="ES18" s="274">
        <f t="shared" si="6"/>
        <v>0</v>
      </c>
      <c r="ET18" s="274">
        <f t="shared" si="6"/>
        <v>0</v>
      </c>
      <c r="EU18" s="274">
        <f t="shared" si="6"/>
        <v>0</v>
      </c>
      <c r="EV18" s="274">
        <f t="shared" ref="EV18:IB18" si="7">+EV19</f>
        <v>0</v>
      </c>
      <c r="EW18" s="274">
        <f t="shared" si="7"/>
        <v>0</v>
      </c>
      <c r="EX18" s="274">
        <f t="shared" si="7"/>
        <v>0</v>
      </c>
      <c r="EY18" s="274">
        <f t="shared" si="7"/>
        <v>0</v>
      </c>
      <c r="EZ18" s="274">
        <f t="shared" si="7"/>
        <v>0</v>
      </c>
      <c r="FA18" s="274">
        <f t="shared" si="7"/>
        <v>0</v>
      </c>
      <c r="FB18" s="274">
        <f t="shared" si="7"/>
        <v>0</v>
      </c>
      <c r="FC18" s="274">
        <f t="shared" si="7"/>
        <v>0</v>
      </c>
      <c r="FD18" s="274">
        <f t="shared" si="7"/>
        <v>0</v>
      </c>
      <c r="FE18" s="274">
        <f t="shared" si="7"/>
        <v>0</v>
      </c>
      <c r="FF18" s="274">
        <f t="shared" si="7"/>
        <v>0</v>
      </c>
      <c r="FG18" s="274">
        <f t="shared" si="7"/>
        <v>0</v>
      </c>
      <c r="FH18" s="274">
        <f t="shared" si="7"/>
        <v>0</v>
      </c>
      <c r="FI18" s="274">
        <f t="shared" si="7"/>
        <v>0</v>
      </c>
      <c r="FJ18" s="274">
        <f t="shared" si="7"/>
        <v>0</v>
      </c>
      <c r="FK18" s="274">
        <f t="shared" si="7"/>
        <v>0</v>
      </c>
      <c r="FL18" s="274">
        <f t="shared" si="7"/>
        <v>0</v>
      </c>
      <c r="FM18" s="274">
        <f t="shared" si="7"/>
        <v>0</v>
      </c>
      <c r="FN18" s="274">
        <f t="shared" si="7"/>
        <v>0</v>
      </c>
      <c r="FO18" s="274">
        <f t="shared" si="7"/>
        <v>0</v>
      </c>
      <c r="FP18" s="274">
        <f t="shared" si="7"/>
        <v>0</v>
      </c>
      <c r="FQ18" s="274">
        <f t="shared" si="7"/>
        <v>0</v>
      </c>
      <c r="FR18" s="274">
        <f t="shared" si="7"/>
        <v>0</v>
      </c>
      <c r="FS18" s="274">
        <f t="shared" si="7"/>
        <v>0</v>
      </c>
      <c r="FT18" s="274">
        <f t="shared" si="7"/>
        <v>0</v>
      </c>
      <c r="FU18" s="274">
        <f t="shared" si="7"/>
        <v>0</v>
      </c>
      <c r="FV18" s="274">
        <f t="shared" si="7"/>
        <v>0</v>
      </c>
      <c r="FW18" s="274">
        <f t="shared" si="7"/>
        <v>0</v>
      </c>
      <c r="FX18" s="274">
        <f t="shared" si="7"/>
        <v>0</v>
      </c>
      <c r="FY18" s="274">
        <f t="shared" si="7"/>
        <v>0</v>
      </c>
      <c r="FZ18" s="274">
        <f t="shared" si="7"/>
        <v>0</v>
      </c>
      <c r="GA18" s="274">
        <f t="shared" si="7"/>
        <v>0</v>
      </c>
      <c r="GB18" s="274">
        <f t="shared" si="7"/>
        <v>0</v>
      </c>
      <c r="GC18" s="274">
        <f t="shared" si="7"/>
        <v>0</v>
      </c>
      <c r="GD18" s="274">
        <f t="shared" si="7"/>
        <v>0</v>
      </c>
      <c r="GE18" s="274">
        <f t="shared" si="7"/>
        <v>0</v>
      </c>
      <c r="GF18" s="274">
        <f t="shared" si="7"/>
        <v>0</v>
      </c>
      <c r="GG18" s="274">
        <f t="shared" si="7"/>
        <v>0</v>
      </c>
      <c r="GH18" s="274">
        <f t="shared" si="7"/>
        <v>0</v>
      </c>
      <c r="GI18" s="274">
        <f t="shared" si="7"/>
        <v>0</v>
      </c>
      <c r="GJ18" s="274">
        <f t="shared" si="7"/>
        <v>0</v>
      </c>
      <c r="GK18" s="274">
        <f t="shared" si="7"/>
        <v>0</v>
      </c>
      <c r="GL18" s="274">
        <f t="shared" si="7"/>
        <v>0</v>
      </c>
      <c r="GM18" s="274">
        <f t="shared" si="7"/>
        <v>0</v>
      </c>
      <c r="GN18" s="274">
        <f t="shared" si="7"/>
        <v>0</v>
      </c>
      <c r="GO18" s="274">
        <f t="shared" si="7"/>
        <v>0</v>
      </c>
      <c r="GP18" s="274">
        <f t="shared" si="7"/>
        <v>0</v>
      </c>
      <c r="GQ18" s="274">
        <f t="shared" si="7"/>
        <v>0</v>
      </c>
      <c r="GR18" s="274">
        <f t="shared" si="7"/>
        <v>0</v>
      </c>
      <c r="GS18" s="274">
        <f t="shared" si="7"/>
        <v>0</v>
      </c>
      <c r="GT18" s="274">
        <f t="shared" si="7"/>
        <v>0</v>
      </c>
      <c r="GU18" s="274">
        <f t="shared" si="7"/>
        <v>0</v>
      </c>
      <c r="GV18" s="274">
        <f t="shared" si="7"/>
        <v>0</v>
      </c>
      <c r="GW18" s="274">
        <f t="shared" si="7"/>
        <v>0</v>
      </c>
      <c r="GX18" s="274">
        <f t="shared" si="7"/>
        <v>0</v>
      </c>
      <c r="GY18" s="274">
        <f t="shared" si="7"/>
        <v>0</v>
      </c>
      <c r="GZ18" s="274">
        <f t="shared" si="7"/>
        <v>0</v>
      </c>
      <c r="HA18" s="274">
        <f t="shared" si="7"/>
        <v>0</v>
      </c>
      <c r="HB18" s="274">
        <f t="shared" si="7"/>
        <v>0</v>
      </c>
      <c r="HC18" s="274">
        <f t="shared" si="7"/>
        <v>0</v>
      </c>
      <c r="HD18" s="274">
        <f t="shared" si="7"/>
        <v>0</v>
      </c>
      <c r="HE18" s="274">
        <f t="shared" si="7"/>
        <v>0</v>
      </c>
      <c r="HF18" s="274">
        <f t="shared" si="7"/>
        <v>0</v>
      </c>
      <c r="HG18" s="274">
        <f t="shared" si="7"/>
        <v>0</v>
      </c>
      <c r="HH18" s="274">
        <f t="shared" si="7"/>
        <v>0</v>
      </c>
      <c r="HI18" s="274">
        <f t="shared" si="7"/>
        <v>0</v>
      </c>
      <c r="HJ18" s="274">
        <f t="shared" si="7"/>
        <v>0</v>
      </c>
      <c r="HK18" s="274">
        <f t="shared" si="7"/>
        <v>0</v>
      </c>
      <c r="HL18" s="274">
        <f t="shared" si="7"/>
        <v>0</v>
      </c>
      <c r="HM18" s="274">
        <f t="shared" si="7"/>
        <v>0</v>
      </c>
      <c r="HN18" s="274">
        <f t="shared" si="7"/>
        <v>0</v>
      </c>
      <c r="HO18" s="274">
        <f t="shared" si="7"/>
        <v>0</v>
      </c>
      <c r="HP18" s="274">
        <f t="shared" si="7"/>
        <v>0</v>
      </c>
      <c r="HQ18" s="274">
        <f t="shared" si="7"/>
        <v>0</v>
      </c>
      <c r="HR18" s="274">
        <f t="shared" si="7"/>
        <v>0</v>
      </c>
      <c r="HS18" s="274">
        <f t="shared" si="7"/>
        <v>0</v>
      </c>
      <c r="HT18" s="274">
        <f t="shared" si="7"/>
        <v>0</v>
      </c>
      <c r="HU18" s="274">
        <f t="shared" si="7"/>
        <v>0</v>
      </c>
      <c r="HV18" s="274">
        <f t="shared" si="7"/>
        <v>0</v>
      </c>
      <c r="HW18" s="274">
        <f t="shared" si="7"/>
        <v>0</v>
      </c>
      <c r="HX18" s="274">
        <f t="shared" si="7"/>
        <v>0</v>
      </c>
      <c r="HY18" s="274">
        <f>+HY19</f>
        <v>0</v>
      </c>
      <c r="HZ18" s="274">
        <f t="shared" ref="HZ18:IA18" si="8">+HZ19</f>
        <v>0</v>
      </c>
      <c r="IA18" s="274">
        <f t="shared" si="8"/>
        <v>0</v>
      </c>
      <c r="IB18" s="274">
        <f t="shared" si="7"/>
        <v>0</v>
      </c>
      <c r="IC18" s="274">
        <f>+IC19</f>
        <v>0</v>
      </c>
      <c r="ID18" s="957">
        <f t="shared" ref="ID18:ID49" si="9">+D18+F18+H18+L18+N18+P18+R18+T18+V18+AB18+AD18+AF18+AH18+AJ18+AL18+AN18+AP18+AR18+AZ18+BB18+BD18+BF18+BH18+BJ18+BL18+BN18+BP18+BV18+BX18+BZ18+CB18+CF18+CN18+CP18+CR18+CT18+CV18+CZ18+DB18+DD18+DP18+DT18+DZ18+EB18+EF18+EH18+EL18+EV18+EX18+EZ18+FL18+FN18+FP18+FT18+FV18+FZ18+GB18+GD18+GF18+GJ18+GL18+GN18+GP18+HD18+HF18+HH18+HJ18+HL18+HN18+HP18+HR18+IB18</f>
        <v>0</v>
      </c>
      <c r="IE18" s="957">
        <f t="shared" si="1"/>
        <v>0</v>
      </c>
      <c r="IF18" s="258">
        <f t="shared" si="2"/>
        <v>2000000</v>
      </c>
      <c r="IG18" s="258">
        <f t="shared" si="3"/>
        <v>2968750</v>
      </c>
    </row>
    <row r="19" spans="1:241" ht="21.75" customHeight="1" x14ac:dyDescent="0.3">
      <c r="A19" s="253" t="s">
        <v>225</v>
      </c>
      <c r="B19" s="263" t="s">
        <v>573</v>
      </c>
      <c r="C19" s="255"/>
      <c r="D19" s="274"/>
      <c r="E19" s="274"/>
      <c r="F19" s="274"/>
      <c r="G19" s="274"/>
      <c r="H19" s="274"/>
      <c r="I19" s="274"/>
      <c r="J19" s="274"/>
      <c r="K19" s="274"/>
      <c r="L19" s="274"/>
      <c r="M19" s="274"/>
      <c r="N19" s="274"/>
      <c r="O19" s="274"/>
      <c r="P19" s="274"/>
      <c r="Q19" s="274"/>
      <c r="R19" s="274"/>
      <c r="S19" s="274"/>
      <c r="T19" s="274"/>
      <c r="U19" s="274"/>
      <c r="V19" s="286"/>
      <c r="W19" s="286"/>
      <c r="X19" s="286">
        <f>+'4.sz.Felhalm.c.pe.átadás'!G13</f>
        <v>2000000</v>
      </c>
      <c r="Y19" s="286">
        <f>+X19+968750</f>
        <v>2968750</v>
      </c>
      <c r="Z19" s="286"/>
      <c r="AA19" s="286"/>
      <c r="AB19" s="286"/>
      <c r="AC19" s="286"/>
      <c r="AD19" s="286"/>
      <c r="AE19" s="286"/>
      <c r="AF19" s="286"/>
      <c r="AG19" s="286"/>
      <c r="AH19" s="286"/>
      <c r="AI19" s="286"/>
      <c r="AJ19" s="274"/>
      <c r="AK19" s="274"/>
      <c r="AL19" s="274"/>
      <c r="AM19" s="274"/>
      <c r="AN19" s="274"/>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86"/>
      <c r="CC19" s="286"/>
      <c r="CD19" s="274"/>
      <c r="CE19" s="274"/>
      <c r="CF19" s="274"/>
      <c r="CG19" s="274"/>
      <c r="CH19" s="274"/>
      <c r="CI19" s="274"/>
      <c r="CJ19" s="274"/>
      <c r="CK19" s="274"/>
      <c r="CL19" s="274"/>
      <c r="CM19" s="274"/>
      <c r="CN19" s="274"/>
      <c r="CO19" s="274"/>
      <c r="CP19" s="274"/>
      <c r="CQ19" s="274"/>
      <c r="CR19" s="274"/>
      <c r="CS19" s="274"/>
      <c r="CT19" s="274"/>
      <c r="CU19" s="274"/>
      <c r="CV19" s="274"/>
      <c r="CW19" s="274"/>
      <c r="CX19" s="274"/>
      <c r="CY19" s="274"/>
      <c r="CZ19" s="274"/>
      <c r="DA19" s="274"/>
      <c r="DB19" s="274"/>
      <c r="DC19" s="274"/>
      <c r="DD19" s="274"/>
      <c r="DE19" s="274"/>
      <c r="DF19" s="274"/>
      <c r="DG19" s="274"/>
      <c r="DH19" s="274"/>
      <c r="DI19" s="274"/>
      <c r="DJ19" s="274"/>
      <c r="DK19" s="274"/>
      <c r="DL19" s="286"/>
      <c r="DM19" s="286"/>
      <c r="DN19" s="286"/>
      <c r="DO19" s="286"/>
      <c r="DP19" s="274"/>
      <c r="DQ19" s="274"/>
      <c r="DR19" s="274"/>
      <c r="DS19" s="274"/>
      <c r="DT19" s="274"/>
      <c r="DU19" s="274"/>
      <c r="DV19" s="274"/>
      <c r="DW19" s="274"/>
      <c r="DX19" s="274"/>
      <c r="DY19" s="274"/>
      <c r="DZ19" s="274"/>
      <c r="EA19" s="274"/>
      <c r="EB19" s="274"/>
      <c r="EC19" s="274"/>
      <c r="ED19" s="274"/>
      <c r="EE19" s="274"/>
      <c r="EF19" s="274"/>
      <c r="EG19" s="274"/>
      <c r="EH19" s="274"/>
      <c r="EI19" s="274"/>
      <c r="EJ19" s="274"/>
      <c r="EK19" s="274"/>
      <c r="EL19" s="274"/>
      <c r="EM19" s="274"/>
      <c r="EN19" s="274"/>
      <c r="EO19" s="274"/>
      <c r="EP19" s="274"/>
      <c r="EQ19" s="274"/>
      <c r="ER19" s="274"/>
      <c r="ES19" s="274"/>
      <c r="ET19" s="274"/>
      <c r="EU19" s="274"/>
      <c r="EV19" s="274"/>
      <c r="EW19" s="274"/>
      <c r="EX19" s="274"/>
      <c r="EY19" s="274"/>
      <c r="EZ19" s="274"/>
      <c r="FA19" s="274"/>
      <c r="FB19" s="274"/>
      <c r="FC19" s="274"/>
      <c r="FD19" s="274"/>
      <c r="FE19" s="274"/>
      <c r="FF19" s="274"/>
      <c r="FG19" s="274"/>
      <c r="FH19" s="274"/>
      <c r="FI19" s="274"/>
      <c r="FJ19" s="274"/>
      <c r="FK19" s="274"/>
      <c r="FL19" s="274"/>
      <c r="FM19" s="274"/>
      <c r="FN19" s="274"/>
      <c r="FO19" s="274"/>
      <c r="FP19" s="274"/>
      <c r="FQ19" s="274"/>
      <c r="FR19" s="274"/>
      <c r="FS19" s="274"/>
      <c r="FT19" s="274"/>
      <c r="FU19" s="274"/>
      <c r="FV19" s="274"/>
      <c r="FW19" s="274"/>
      <c r="FX19" s="274"/>
      <c r="FY19" s="274"/>
      <c r="FZ19" s="274"/>
      <c r="GA19" s="274"/>
      <c r="GB19" s="274"/>
      <c r="GC19" s="274"/>
      <c r="GD19" s="274"/>
      <c r="GE19" s="274"/>
      <c r="GF19" s="274"/>
      <c r="GG19" s="274"/>
      <c r="GH19" s="274"/>
      <c r="GI19" s="274"/>
      <c r="GJ19" s="286"/>
      <c r="GK19" s="286"/>
      <c r="GL19" s="286"/>
      <c r="GM19" s="286"/>
      <c r="GN19" s="286"/>
      <c r="GO19" s="286"/>
      <c r="GP19" s="286"/>
      <c r="GQ19" s="286"/>
      <c r="GR19" s="286"/>
      <c r="GS19" s="286"/>
      <c r="GT19" s="286"/>
      <c r="GU19" s="286"/>
      <c r="GV19" s="286"/>
      <c r="GW19" s="286"/>
      <c r="GX19" s="286"/>
      <c r="GY19" s="286"/>
      <c r="GZ19" s="286"/>
      <c r="HA19" s="286"/>
      <c r="HB19" s="274"/>
      <c r="HC19" s="274"/>
      <c r="HD19" s="274"/>
      <c r="HE19" s="274"/>
      <c r="HF19" s="274"/>
      <c r="HG19" s="274"/>
      <c r="HH19" s="274"/>
      <c r="HI19" s="274"/>
      <c r="HJ19" s="274"/>
      <c r="HK19" s="274"/>
      <c r="HL19" s="274"/>
      <c r="HM19" s="274"/>
      <c r="HN19" s="274"/>
      <c r="HO19" s="274"/>
      <c r="HP19" s="274"/>
      <c r="HQ19" s="274"/>
      <c r="HR19" s="274"/>
      <c r="HS19" s="274"/>
      <c r="HT19" s="274"/>
      <c r="HU19" s="274"/>
      <c r="HV19" s="274"/>
      <c r="HW19" s="274"/>
      <c r="HX19" s="274"/>
      <c r="HY19" s="274"/>
      <c r="HZ19" s="274"/>
      <c r="IA19" s="274"/>
      <c r="IB19" s="274"/>
      <c r="IC19" s="274"/>
      <c r="ID19" s="957">
        <f t="shared" si="9"/>
        <v>0</v>
      </c>
      <c r="IE19" s="957">
        <f t="shared" si="1"/>
        <v>0</v>
      </c>
      <c r="IF19" s="258">
        <f t="shared" si="2"/>
        <v>2000000</v>
      </c>
      <c r="IG19" s="258">
        <f t="shared" si="3"/>
        <v>2968750</v>
      </c>
    </row>
    <row r="20" spans="1:241" s="260" customFormat="1" ht="21.75" customHeight="1" x14ac:dyDescent="0.3">
      <c r="A20" s="253" t="s">
        <v>226</v>
      </c>
      <c r="B20" s="266" t="s">
        <v>236</v>
      </c>
      <c r="C20" s="255" t="s">
        <v>208</v>
      </c>
      <c r="D20" s="285">
        <f t="shared" ref="D20:AI20" si="10">+D18+D17+D16+D12+D11+D10+D9+D8</f>
        <v>35400000</v>
      </c>
      <c r="E20" s="285">
        <f t="shared" si="10"/>
        <v>180397586</v>
      </c>
      <c r="F20" s="285">
        <f t="shared" si="10"/>
        <v>52000000</v>
      </c>
      <c r="G20" s="285">
        <f t="shared" si="10"/>
        <v>71964063</v>
      </c>
      <c r="H20" s="285">
        <f t="shared" si="10"/>
        <v>0</v>
      </c>
      <c r="I20" s="285">
        <f t="shared" si="10"/>
        <v>0</v>
      </c>
      <c r="J20" s="285">
        <f t="shared" si="10"/>
        <v>0</v>
      </c>
      <c r="K20" s="285">
        <f t="shared" si="10"/>
        <v>2726182</v>
      </c>
      <c r="L20" s="285">
        <f t="shared" si="10"/>
        <v>12477750</v>
      </c>
      <c r="M20" s="285">
        <f t="shared" si="10"/>
        <v>26094250</v>
      </c>
      <c r="N20" s="285">
        <f t="shared" si="10"/>
        <v>0</v>
      </c>
      <c r="O20" s="285">
        <f t="shared" si="10"/>
        <v>4592320</v>
      </c>
      <c r="P20" s="285">
        <f t="shared" si="10"/>
        <v>52908293</v>
      </c>
      <c r="Q20" s="285">
        <f t="shared" si="10"/>
        <v>165708220</v>
      </c>
      <c r="R20" s="285">
        <f t="shared" si="10"/>
        <v>0</v>
      </c>
      <c r="S20" s="285">
        <f t="shared" si="10"/>
        <v>14890267</v>
      </c>
      <c r="T20" s="285">
        <f t="shared" si="10"/>
        <v>1000000</v>
      </c>
      <c r="U20" s="285">
        <f t="shared" si="10"/>
        <v>1000000</v>
      </c>
      <c r="V20" s="285">
        <f t="shared" si="10"/>
        <v>12621675</v>
      </c>
      <c r="W20" s="285">
        <f t="shared" si="10"/>
        <v>42846883</v>
      </c>
      <c r="X20" s="285">
        <f t="shared" si="10"/>
        <v>2000000</v>
      </c>
      <c r="Y20" s="285">
        <f t="shared" si="10"/>
        <v>2968750</v>
      </c>
      <c r="Z20" s="285">
        <f t="shared" si="10"/>
        <v>0</v>
      </c>
      <c r="AA20" s="285">
        <f t="shared" si="10"/>
        <v>44450</v>
      </c>
      <c r="AB20" s="285">
        <f t="shared" si="10"/>
        <v>0</v>
      </c>
      <c r="AC20" s="285">
        <f t="shared" si="10"/>
        <v>0</v>
      </c>
      <c r="AD20" s="285">
        <f t="shared" si="10"/>
        <v>0</v>
      </c>
      <c r="AE20" s="285">
        <f t="shared" si="10"/>
        <v>0</v>
      </c>
      <c r="AF20" s="285">
        <f t="shared" si="10"/>
        <v>9079528</v>
      </c>
      <c r="AG20" s="285">
        <f t="shared" si="10"/>
        <v>11908619</v>
      </c>
      <c r="AH20" s="285">
        <f t="shared" si="10"/>
        <v>0</v>
      </c>
      <c r="AI20" s="285">
        <f t="shared" si="10"/>
        <v>0</v>
      </c>
      <c r="AJ20" s="285">
        <f t="shared" ref="AJ20:BO20" si="11">+AJ18+AJ17+AJ16+AJ12+AJ11+AJ10+AJ9+AJ8</f>
        <v>103277966</v>
      </c>
      <c r="AK20" s="285">
        <f t="shared" si="11"/>
        <v>101031564</v>
      </c>
      <c r="AL20" s="285">
        <f t="shared" si="11"/>
        <v>81247796</v>
      </c>
      <c r="AM20" s="285">
        <f t="shared" si="11"/>
        <v>117802286</v>
      </c>
      <c r="AN20" s="285">
        <f t="shared" si="11"/>
        <v>0</v>
      </c>
      <c r="AO20" s="285">
        <f t="shared" si="11"/>
        <v>367792</v>
      </c>
      <c r="AP20" s="285">
        <f t="shared" si="11"/>
        <v>8367845</v>
      </c>
      <c r="AQ20" s="285">
        <f t="shared" si="11"/>
        <v>11522474</v>
      </c>
      <c r="AR20" s="285">
        <f t="shared" si="11"/>
        <v>0</v>
      </c>
      <c r="AS20" s="285">
        <f t="shared" si="11"/>
        <v>0</v>
      </c>
      <c r="AT20" s="285">
        <f t="shared" si="11"/>
        <v>0</v>
      </c>
      <c r="AU20" s="285">
        <f t="shared" si="11"/>
        <v>0</v>
      </c>
      <c r="AV20" s="285">
        <f t="shared" si="11"/>
        <v>31400000</v>
      </c>
      <c r="AW20" s="285">
        <f t="shared" si="11"/>
        <v>31400000</v>
      </c>
      <c r="AX20" s="285">
        <f t="shared" si="11"/>
        <v>10000000</v>
      </c>
      <c r="AY20" s="285">
        <f t="shared" si="11"/>
        <v>12415200</v>
      </c>
      <c r="AZ20" s="285">
        <f t="shared" si="11"/>
        <v>10000000</v>
      </c>
      <c r="BA20" s="285">
        <f t="shared" si="11"/>
        <v>0</v>
      </c>
      <c r="BB20" s="285">
        <f t="shared" si="11"/>
        <v>20000000</v>
      </c>
      <c r="BC20" s="285">
        <f t="shared" si="11"/>
        <v>38141500</v>
      </c>
      <c r="BD20" s="285">
        <f t="shared" si="11"/>
        <v>339193847</v>
      </c>
      <c r="BE20" s="285">
        <f t="shared" si="11"/>
        <v>444104311</v>
      </c>
      <c r="BF20" s="285">
        <f t="shared" si="11"/>
        <v>42085102</v>
      </c>
      <c r="BG20" s="285">
        <f t="shared" si="11"/>
        <v>42934410</v>
      </c>
      <c r="BH20" s="285">
        <f t="shared" si="11"/>
        <v>51500000</v>
      </c>
      <c r="BI20" s="285">
        <f t="shared" si="11"/>
        <v>28951423</v>
      </c>
      <c r="BJ20" s="285">
        <f t="shared" si="11"/>
        <v>6300000</v>
      </c>
      <c r="BK20" s="285">
        <f t="shared" si="11"/>
        <v>13361960</v>
      </c>
      <c r="BL20" s="285">
        <f t="shared" si="11"/>
        <v>220179711</v>
      </c>
      <c r="BM20" s="285">
        <f t="shared" si="11"/>
        <v>245235347</v>
      </c>
      <c r="BN20" s="285">
        <f t="shared" si="11"/>
        <v>104717574</v>
      </c>
      <c r="BO20" s="285">
        <f t="shared" si="11"/>
        <v>118286807</v>
      </c>
      <c r="BP20" s="285">
        <f t="shared" ref="BP20:CU20" si="12">+BP18+BP17+BP16+BP12+BP11+BP10+BP9+BP8</f>
        <v>37590540</v>
      </c>
      <c r="BQ20" s="285">
        <f t="shared" si="12"/>
        <v>61707120</v>
      </c>
      <c r="BR20" s="285">
        <f t="shared" si="12"/>
        <v>6850000</v>
      </c>
      <c r="BS20" s="285">
        <f t="shared" si="12"/>
        <v>6850000</v>
      </c>
      <c r="BT20" s="285">
        <f t="shared" si="12"/>
        <v>21854000</v>
      </c>
      <c r="BU20" s="285">
        <f t="shared" si="12"/>
        <v>21854000</v>
      </c>
      <c r="BV20" s="285">
        <f t="shared" si="12"/>
        <v>10230000</v>
      </c>
      <c r="BW20" s="285">
        <f t="shared" si="12"/>
        <v>11832692</v>
      </c>
      <c r="BX20" s="285">
        <f t="shared" si="12"/>
        <v>21658600</v>
      </c>
      <c r="BY20" s="285">
        <f t="shared" si="12"/>
        <v>56998000</v>
      </c>
      <c r="BZ20" s="285">
        <f t="shared" si="12"/>
        <v>48422470</v>
      </c>
      <c r="CA20" s="285">
        <f t="shared" si="12"/>
        <v>63447436</v>
      </c>
      <c r="CB20" s="285">
        <f t="shared" si="12"/>
        <v>0</v>
      </c>
      <c r="CC20" s="285">
        <f t="shared" si="12"/>
        <v>0</v>
      </c>
      <c r="CD20" s="285">
        <f t="shared" si="12"/>
        <v>2000000</v>
      </c>
      <c r="CE20" s="285">
        <f t="shared" si="12"/>
        <v>2000000</v>
      </c>
      <c r="CF20" s="285">
        <f t="shared" si="12"/>
        <v>8172450</v>
      </c>
      <c r="CG20" s="285">
        <f t="shared" si="12"/>
        <v>8362950</v>
      </c>
      <c r="CH20" s="285">
        <f t="shared" si="12"/>
        <v>0</v>
      </c>
      <c r="CI20" s="285">
        <f t="shared" si="12"/>
        <v>0</v>
      </c>
      <c r="CJ20" s="285">
        <f t="shared" si="12"/>
        <v>3890000</v>
      </c>
      <c r="CK20" s="285">
        <f t="shared" si="12"/>
        <v>3890000</v>
      </c>
      <c r="CL20" s="285">
        <f t="shared" si="12"/>
        <v>20000000</v>
      </c>
      <c r="CM20" s="285">
        <f t="shared" si="12"/>
        <v>14321523</v>
      </c>
      <c r="CN20" s="285">
        <f t="shared" si="12"/>
        <v>18983250</v>
      </c>
      <c r="CO20" s="285">
        <f t="shared" si="12"/>
        <v>17611298</v>
      </c>
      <c r="CP20" s="285">
        <f t="shared" si="12"/>
        <v>56804579</v>
      </c>
      <c r="CQ20" s="285">
        <f t="shared" si="12"/>
        <v>64654559</v>
      </c>
      <c r="CR20" s="285">
        <f t="shared" si="12"/>
        <v>1500000</v>
      </c>
      <c r="CS20" s="285">
        <f t="shared" si="12"/>
        <v>1500000</v>
      </c>
      <c r="CT20" s="285">
        <f t="shared" si="12"/>
        <v>9072550</v>
      </c>
      <c r="CU20" s="285">
        <f t="shared" si="12"/>
        <v>34934327</v>
      </c>
      <c r="CV20" s="285">
        <f t="shared" ref="CV20:EC20" si="13">+CV18+CV17+CV16+CV12+CV11+CV10+CV9+CV8</f>
        <v>1116853</v>
      </c>
      <c r="CW20" s="285">
        <f t="shared" si="13"/>
        <v>2386853</v>
      </c>
      <c r="CX20" s="285">
        <f t="shared" ref="CX20:CY20" si="14">+CX18+CX17+CX16+CX12+CX11+CX10+CX9+CX8</f>
        <v>0</v>
      </c>
      <c r="CY20" s="285">
        <f t="shared" si="14"/>
        <v>4871500</v>
      </c>
      <c r="CZ20" s="285">
        <f t="shared" si="13"/>
        <v>32364660</v>
      </c>
      <c r="DA20" s="285">
        <f t="shared" si="13"/>
        <v>36427614</v>
      </c>
      <c r="DB20" s="285">
        <f t="shared" si="13"/>
        <v>82277346</v>
      </c>
      <c r="DC20" s="285">
        <f t="shared" si="13"/>
        <v>94569177</v>
      </c>
      <c r="DD20" s="285">
        <f t="shared" si="13"/>
        <v>199609000</v>
      </c>
      <c r="DE20" s="285">
        <f t="shared" si="13"/>
        <v>283592573</v>
      </c>
      <c r="DF20" s="285">
        <f t="shared" si="13"/>
        <v>37918000</v>
      </c>
      <c r="DG20" s="285">
        <f t="shared" si="13"/>
        <v>38154426</v>
      </c>
      <c r="DH20" s="285">
        <f t="shared" si="13"/>
        <v>70050000</v>
      </c>
      <c r="DI20" s="285">
        <f t="shared" si="13"/>
        <v>92121005</v>
      </c>
      <c r="DJ20" s="285">
        <f t="shared" si="13"/>
        <v>15000000</v>
      </c>
      <c r="DK20" s="285">
        <f t="shared" si="13"/>
        <v>19443567</v>
      </c>
      <c r="DL20" s="285">
        <f t="shared" si="13"/>
        <v>143469269</v>
      </c>
      <c r="DM20" s="285">
        <f t="shared" si="13"/>
        <v>181492312</v>
      </c>
      <c r="DN20" s="285">
        <f t="shared" si="13"/>
        <v>0</v>
      </c>
      <c r="DO20" s="285">
        <f t="shared" si="13"/>
        <v>0</v>
      </c>
      <c r="DP20" s="285">
        <f t="shared" si="13"/>
        <v>24000000</v>
      </c>
      <c r="DQ20" s="285">
        <f t="shared" si="13"/>
        <v>24000000</v>
      </c>
      <c r="DR20" s="285">
        <f t="shared" si="13"/>
        <v>2800000</v>
      </c>
      <c r="DS20" s="285">
        <f t="shared" si="13"/>
        <v>4795647</v>
      </c>
      <c r="DT20" s="285">
        <f t="shared" si="13"/>
        <v>800000</v>
      </c>
      <c r="DU20" s="285">
        <f t="shared" si="13"/>
        <v>800000</v>
      </c>
      <c r="DV20" s="285">
        <f t="shared" si="13"/>
        <v>4880010</v>
      </c>
      <c r="DW20" s="285">
        <f t="shared" si="13"/>
        <v>5745622</v>
      </c>
      <c r="DX20" s="285">
        <f t="shared" si="13"/>
        <v>0</v>
      </c>
      <c r="DY20" s="285">
        <f t="shared" si="13"/>
        <v>0</v>
      </c>
      <c r="DZ20" s="285">
        <f t="shared" si="13"/>
        <v>0</v>
      </c>
      <c r="EA20" s="285">
        <f t="shared" si="13"/>
        <v>0</v>
      </c>
      <c r="EB20" s="285">
        <f t="shared" si="13"/>
        <v>72650000</v>
      </c>
      <c r="EC20" s="285">
        <f t="shared" si="13"/>
        <v>43230927</v>
      </c>
      <c r="ED20" s="285">
        <f t="shared" ref="ED20:EE20" si="15">+ED18+ED17+ED16+ED12+ED11+ED10+ED9+ED8</f>
        <v>0</v>
      </c>
      <c r="EE20" s="285">
        <f t="shared" si="15"/>
        <v>3174760</v>
      </c>
      <c r="EF20" s="285">
        <f t="shared" ref="EF20:FM20" si="16">+EF18+EF17+EF16+EF12+EF11+EF10+EF9+EF8</f>
        <v>65000000</v>
      </c>
      <c r="EG20" s="285">
        <f t="shared" si="16"/>
        <v>21659800</v>
      </c>
      <c r="EH20" s="285">
        <f t="shared" si="16"/>
        <v>108969369</v>
      </c>
      <c r="EI20" s="285">
        <f t="shared" si="16"/>
        <v>104164047</v>
      </c>
      <c r="EJ20" s="285">
        <f t="shared" ref="EJ20:EK20" si="17">+EJ18+EJ17+EJ16+EJ12+EJ11+EJ10+EJ9+EJ8</f>
        <v>0</v>
      </c>
      <c r="EK20" s="285">
        <f t="shared" si="17"/>
        <v>43969369</v>
      </c>
      <c r="EL20" s="285">
        <f t="shared" si="16"/>
        <v>65000000</v>
      </c>
      <c r="EM20" s="285">
        <f t="shared" si="16"/>
        <v>0</v>
      </c>
      <c r="EN20" s="285">
        <f t="shared" si="16"/>
        <v>4550000</v>
      </c>
      <c r="EO20" s="285">
        <f t="shared" si="16"/>
        <v>4550000</v>
      </c>
      <c r="EP20" s="285">
        <f t="shared" si="16"/>
        <v>2947461</v>
      </c>
      <c r="EQ20" s="285">
        <f t="shared" si="16"/>
        <v>3392617</v>
      </c>
      <c r="ER20" s="285">
        <f t="shared" si="16"/>
        <v>7710835</v>
      </c>
      <c r="ES20" s="285">
        <f t="shared" si="16"/>
        <v>7710835</v>
      </c>
      <c r="ET20" s="285">
        <f t="shared" si="16"/>
        <v>1000000</v>
      </c>
      <c r="EU20" s="285">
        <f t="shared" si="16"/>
        <v>1000000</v>
      </c>
      <c r="EV20" s="285">
        <f t="shared" si="16"/>
        <v>7400000</v>
      </c>
      <c r="EW20" s="285">
        <f t="shared" si="16"/>
        <v>7400000</v>
      </c>
      <c r="EX20" s="285">
        <f t="shared" si="16"/>
        <v>5720000</v>
      </c>
      <c r="EY20" s="285">
        <f t="shared" si="16"/>
        <v>5720000</v>
      </c>
      <c r="EZ20" s="285">
        <f t="shared" si="16"/>
        <v>5437000</v>
      </c>
      <c r="FA20" s="285">
        <f t="shared" si="16"/>
        <v>5437000</v>
      </c>
      <c r="FB20" s="285">
        <f t="shared" si="16"/>
        <v>0</v>
      </c>
      <c r="FC20" s="285">
        <f t="shared" si="16"/>
        <v>1892300</v>
      </c>
      <c r="FD20" s="285">
        <f t="shared" si="16"/>
        <v>0</v>
      </c>
      <c r="FE20" s="285">
        <f t="shared" si="16"/>
        <v>0</v>
      </c>
      <c r="FF20" s="285">
        <f t="shared" si="16"/>
        <v>0</v>
      </c>
      <c r="FG20" s="285">
        <f t="shared" si="16"/>
        <v>0</v>
      </c>
      <c r="FH20" s="285">
        <f t="shared" si="16"/>
        <v>0</v>
      </c>
      <c r="FI20" s="285">
        <f t="shared" si="16"/>
        <v>0</v>
      </c>
      <c r="FJ20" s="285">
        <f t="shared" si="16"/>
        <v>0</v>
      </c>
      <c r="FK20" s="285">
        <f t="shared" si="16"/>
        <v>0</v>
      </c>
      <c r="FL20" s="285">
        <f t="shared" si="16"/>
        <v>1023175490</v>
      </c>
      <c r="FM20" s="285">
        <f t="shared" si="16"/>
        <v>2462142663</v>
      </c>
      <c r="FN20" s="285">
        <f t="shared" ref="FN20:GM20" si="18">+FN18+FN17+FN16+FN12+FN11+FN10+FN9+FN8</f>
        <v>0</v>
      </c>
      <c r="FO20" s="285">
        <f t="shared" si="18"/>
        <v>0</v>
      </c>
      <c r="FP20" s="285">
        <f t="shared" si="18"/>
        <v>0</v>
      </c>
      <c r="FQ20" s="285">
        <f t="shared" si="18"/>
        <v>0</v>
      </c>
      <c r="FR20" s="285">
        <f t="shared" si="18"/>
        <v>5030333</v>
      </c>
      <c r="FS20" s="285">
        <f t="shared" si="18"/>
        <v>23427806</v>
      </c>
      <c r="FT20" s="285">
        <f t="shared" si="18"/>
        <v>22336777</v>
      </c>
      <c r="FU20" s="285">
        <f t="shared" si="18"/>
        <v>53567470</v>
      </c>
      <c r="FV20" s="285">
        <f t="shared" si="18"/>
        <v>19139399</v>
      </c>
      <c r="FW20" s="285">
        <f t="shared" si="18"/>
        <v>20772450</v>
      </c>
      <c r="FX20" s="285">
        <f t="shared" si="18"/>
        <v>0</v>
      </c>
      <c r="FY20" s="285">
        <f t="shared" si="18"/>
        <v>8172450</v>
      </c>
      <c r="FZ20" s="285">
        <f t="shared" si="18"/>
        <v>0</v>
      </c>
      <c r="GA20" s="285">
        <f t="shared" si="18"/>
        <v>45149285</v>
      </c>
      <c r="GB20" s="285">
        <f t="shared" si="18"/>
        <v>0</v>
      </c>
      <c r="GC20" s="285">
        <f t="shared" si="18"/>
        <v>0</v>
      </c>
      <c r="GD20" s="285">
        <f t="shared" si="18"/>
        <v>468634</v>
      </c>
      <c r="GE20" s="285">
        <f t="shared" si="18"/>
        <v>468634</v>
      </c>
      <c r="GF20" s="285">
        <f t="shared" si="18"/>
        <v>2593975</v>
      </c>
      <c r="GG20" s="285">
        <f t="shared" si="18"/>
        <v>252147734</v>
      </c>
      <c r="GH20" s="285">
        <f t="shared" si="18"/>
        <v>5000000</v>
      </c>
      <c r="GI20" s="285">
        <f t="shared" si="18"/>
        <v>8702502</v>
      </c>
      <c r="GJ20" s="285">
        <f t="shared" si="18"/>
        <v>1258998974</v>
      </c>
      <c r="GK20" s="285">
        <f t="shared" si="18"/>
        <v>1258998974</v>
      </c>
      <c r="GL20" s="285">
        <f t="shared" si="18"/>
        <v>2000000</v>
      </c>
      <c r="GM20" s="285">
        <f t="shared" si="18"/>
        <v>2000000</v>
      </c>
      <c r="GN20" s="285">
        <f t="shared" ref="GN20:GX20" si="19">+GN18+GN17+GN16+GN12+GN11+GN10+GN9+GN8</f>
        <v>967607895</v>
      </c>
      <c r="GO20" s="285">
        <f>+GO18+GO17+GO16+GO12+GO11+GO10+GO9+GO8</f>
        <v>1187505047</v>
      </c>
      <c r="GP20" s="285">
        <f t="shared" si="19"/>
        <v>4338600</v>
      </c>
      <c r="GQ20" s="285">
        <f>+GQ18+GQ17+GQ16+GQ12+GQ11+GQ10+GQ9+GQ8</f>
        <v>112589095</v>
      </c>
      <c r="GR20" s="285">
        <f t="shared" si="19"/>
        <v>0</v>
      </c>
      <c r="GS20" s="285">
        <f>+GS18+GS17+GS16+GS12+GS11+GS10+GS9+GS8</f>
        <v>0</v>
      </c>
      <c r="GT20" s="285">
        <f t="shared" si="19"/>
        <v>0</v>
      </c>
      <c r="GU20" s="285">
        <f>+GU18+GU17+GU16+GU12+GU11+GU10+GU9+GU8</f>
        <v>0</v>
      </c>
      <c r="GV20" s="285">
        <f t="shared" si="19"/>
        <v>0</v>
      </c>
      <c r="GW20" s="285">
        <f>+GW18+GW17+GW16+GW12+GW11+GW10+GW9+GW8</f>
        <v>0</v>
      </c>
      <c r="GX20" s="285">
        <f t="shared" si="19"/>
        <v>108267649</v>
      </c>
      <c r="GY20" s="285">
        <f t="shared" ref="GY20:HG20" si="20">+GY18+GY17+GY16+GY12+GY11+GY10+GY9+GY8</f>
        <v>88951871</v>
      </c>
      <c r="GZ20" s="285">
        <f t="shared" si="20"/>
        <v>495300</v>
      </c>
      <c r="HA20" s="285">
        <f t="shared" si="20"/>
        <v>495300</v>
      </c>
      <c r="HB20" s="285">
        <f t="shared" si="20"/>
        <v>0</v>
      </c>
      <c r="HC20" s="285">
        <f t="shared" si="20"/>
        <v>0</v>
      </c>
      <c r="HD20" s="285">
        <f t="shared" si="20"/>
        <v>50000000</v>
      </c>
      <c r="HE20" s="285">
        <f>+HE18+HE17+HE16+HE12+HE11+HE10+HE9+HE8</f>
        <v>16619873</v>
      </c>
      <c r="HF20" s="285">
        <f t="shared" si="20"/>
        <v>0</v>
      </c>
      <c r="HG20" s="285">
        <f t="shared" si="20"/>
        <v>18368820</v>
      </c>
      <c r="HH20" s="285">
        <f t="shared" ref="HH20:HV20" si="21">+HH18+HH17+HH16+HH12+HH11+HH10+HH9+HH8</f>
        <v>0</v>
      </c>
      <c r="HI20" s="285">
        <f>+HI18+HI17+HI16+HI12+HI11+HI10+HI9+HI8</f>
        <v>0</v>
      </c>
      <c r="HJ20" s="285">
        <f t="shared" si="21"/>
        <v>0</v>
      </c>
      <c r="HK20" s="285">
        <f>+HK18+HK17+HK16+HK12+HK11+HK10+HK9+HK8</f>
        <v>0</v>
      </c>
      <c r="HL20" s="285">
        <f t="shared" si="21"/>
        <v>0</v>
      </c>
      <c r="HM20" s="285">
        <f>+HM18+HM17+HM16+HM12+HM11+HM10+HM9+HM8</f>
        <v>0</v>
      </c>
      <c r="HN20" s="285">
        <f t="shared" si="21"/>
        <v>0</v>
      </c>
      <c r="HO20" s="285">
        <f>+HO18+HO17+HO16+HO12+HO11+HO10+HO9+HO8</f>
        <v>0</v>
      </c>
      <c r="HP20" s="285">
        <f t="shared" si="21"/>
        <v>0</v>
      </c>
      <c r="HQ20" s="285">
        <f>+HQ18+HQ17+HQ16+HQ12+HQ11+HQ10+HQ9+HQ8</f>
        <v>0</v>
      </c>
      <c r="HR20" s="285">
        <f t="shared" si="21"/>
        <v>0</v>
      </c>
      <c r="HS20" s="285">
        <f>+HS18+HS17+HS16+HS12+HS11+HS10+HS9+HS8</f>
        <v>0</v>
      </c>
      <c r="HT20" s="285">
        <f t="shared" si="21"/>
        <v>0</v>
      </c>
      <c r="HU20" s="285">
        <f>+HU18+HU17+HU16+HU12+HU11+HU10+HU9+HU8</f>
        <v>0</v>
      </c>
      <c r="HV20" s="285">
        <f t="shared" si="21"/>
        <v>0</v>
      </c>
      <c r="HW20" s="285">
        <f>+HW18+HW17+HW16+HW12+HW11+HW10+HW9+HW8</f>
        <v>0</v>
      </c>
      <c r="HX20" s="285">
        <f t="shared" ref="HX20" si="22">+HX18+HX17+HX16+HX12+HX11+HX10+HX9+HX8</f>
        <v>0</v>
      </c>
      <c r="HY20" s="285">
        <f>+HY18+HY17+HY16+HY12+HY11+HY10+HY9+HY8</f>
        <v>400000000</v>
      </c>
      <c r="HZ20" s="285">
        <f t="shared" ref="HZ20:IA20" si="23">+HZ18+HZ17+HZ16+HZ12+HZ11+HZ10+HZ9+HZ8</f>
        <v>0</v>
      </c>
      <c r="IA20" s="285">
        <f t="shared" si="23"/>
        <v>4787050</v>
      </c>
      <c r="IB20" s="285">
        <f>+IB18+IB17+IB16+IB12+IB11+IB10+IB9+IB8</f>
        <v>0</v>
      </c>
      <c r="IC20" s="285">
        <f>+IC18+IC17+IC16+IC12+IC11+IC10+IC9+IC8</f>
        <v>0</v>
      </c>
      <c r="ID20" s="957">
        <f t="shared" si="9"/>
        <v>5395795498</v>
      </c>
      <c r="IE20" s="957">
        <f t="shared" si="1"/>
        <v>8113924129</v>
      </c>
      <c r="IF20" s="258">
        <f t="shared" si="2"/>
        <v>507112857</v>
      </c>
      <c r="IG20" s="258">
        <f t="shared" si="3"/>
        <v>993305415</v>
      </c>
    </row>
    <row r="21" spans="1:241" s="260" customFormat="1" ht="21.75" customHeight="1" x14ac:dyDescent="0.3">
      <c r="A21" s="253" t="s">
        <v>227</v>
      </c>
      <c r="B21" s="266" t="s">
        <v>221</v>
      </c>
      <c r="C21" s="255" t="s">
        <v>217</v>
      </c>
      <c r="D21" s="274">
        <f t="shared" ref="D21:AI21" si="24">+D22+D23+D24+D25+D26</f>
        <v>0</v>
      </c>
      <c r="E21" s="274">
        <f t="shared" si="24"/>
        <v>0</v>
      </c>
      <c r="F21" s="274">
        <f t="shared" si="24"/>
        <v>0</v>
      </c>
      <c r="G21" s="274">
        <f t="shared" si="24"/>
        <v>0</v>
      </c>
      <c r="H21" s="274">
        <f t="shared" si="24"/>
        <v>0</v>
      </c>
      <c r="I21" s="274">
        <f t="shared" si="24"/>
        <v>0</v>
      </c>
      <c r="J21" s="274">
        <f t="shared" si="24"/>
        <v>0</v>
      </c>
      <c r="K21" s="274">
        <f t="shared" si="24"/>
        <v>0</v>
      </c>
      <c r="L21" s="274">
        <f t="shared" si="24"/>
        <v>0</v>
      </c>
      <c r="M21" s="274">
        <f t="shared" si="24"/>
        <v>0</v>
      </c>
      <c r="N21" s="274">
        <f t="shared" si="24"/>
        <v>0</v>
      </c>
      <c r="O21" s="274">
        <f t="shared" si="24"/>
        <v>0</v>
      </c>
      <c r="P21" s="274">
        <f t="shared" si="24"/>
        <v>0</v>
      </c>
      <c r="Q21" s="274">
        <f t="shared" si="24"/>
        <v>0</v>
      </c>
      <c r="R21" s="274">
        <f t="shared" si="24"/>
        <v>0</v>
      </c>
      <c r="S21" s="274">
        <f t="shared" si="24"/>
        <v>0</v>
      </c>
      <c r="T21" s="274">
        <f t="shared" si="24"/>
        <v>0</v>
      </c>
      <c r="U21" s="274">
        <f t="shared" si="24"/>
        <v>0</v>
      </c>
      <c r="V21" s="274">
        <f t="shared" si="24"/>
        <v>0</v>
      </c>
      <c r="W21" s="274">
        <f t="shared" si="24"/>
        <v>0</v>
      </c>
      <c r="X21" s="274">
        <f t="shared" si="24"/>
        <v>0</v>
      </c>
      <c r="Y21" s="274">
        <f t="shared" si="24"/>
        <v>0</v>
      </c>
      <c r="Z21" s="274">
        <f t="shared" si="24"/>
        <v>0</v>
      </c>
      <c r="AA21" s="274">
        <f t="shared" si="24"/>
        <v>0</v>
      </c>
      <c r="AB21" s="274">
        <f t="shared" si="24"/>
        <v>0</v>
      </c>
      <c r="AC21" s="274">
        <f t="shared" si="24"/>
        <v>0</v>
      </c>
      <c r="AD21" s="274">
        <f t="shared" si="24"/>
        <v>0</v>
      </c>
      <c r="AE21" s="274">
        <f t="shared" si="24"/>
        <v>0</v>
      </c>
      <c r="AF21" s="274">
        <f t="shared" si="24"/>
        <v>0</v>
      </c>
      <c r="AG21" s="274">
        <f t="shared" si="24"/>
        <v>0</v>
      </c>
      <c r="AH21" s="274">
        <f t="shared" si="24"/>
        <v>0</v>
      </c>
      <c r="AI21" s="274">
        <f t="shared" si="24"/>
        <v>0</v>
      </c>
      <c r="AJ21" s="274">
        <f t="shared" ref="AJ21:BO21" si="25">+AJ22+AJ23+AJ24+AJ25+AJ26</f>
        <v>0</v>
      </c>
      <c r="AK21" s="274">
        <f t="shared" si="25"/>
        <v>0</v>
      </c>
      <c r="AL21" s="274">
        <f t="shared" si="25"/>
        <v>0</v>
      </c>
      <c r="AM21" s="274">
        <f t="shared" si="25"/>
        <v>0</v>
      </c>
      <c r="AN21" s="274">
        <f t="shared" si="25"/>
        <v>0</v>
      </c>
      <c r="AO21" s="274">
        <f t="shared" si="25"/>
        <v>0</v>
      </c>
      <c r="AP21" s="274">
        <f t="shared" si="25"/>
        <v>0</v>
      </c>
      <c r="AQ21" s="274">
        <f t="shared" si="25"/>
        <v>0</v>
      </c>
      <c r="AR21" s="274">
        <f t="shared" si="25"/>
        <v>0</v>
      </c>
      <c r="AS21" s="274">
        <f t="shared" si="25"/>
        <v>0</v>
      </c>
      <c r="AT21" s="274">
        <f t="shared" si="25"/>
        <v>0</v>
      </c>
      <c r="AU21" s="274">
        <f t="shared" si="25"/>
        <v>0</v>
      </c>
      <c r="AV21" s="274">
        <f t="shared" si="25"/>
        <v>0</v>
      </c>
      <c r="AW21" s="274">
        <f t="shared" si="25"/>
        <v>0</v>
      </c>
      <c r="AX21" s="274">
        <f t="shared" si="25"/>
        <v>0</v>
      </c>
      <c r="AY21" s="274">
        <f t="shared" si="25"/>
        <v>0</v>
      </c>
      <c r="AZ21" s="274">
        <f t="shared" si="25"/>
        <v>0</v>
      </c>
      <c r="BA21" s="274">
        <f t="shared" si="25"/>
        <v>0</v>
      </c>
      <c r="BB21" s="274">
        <f t="shared" si="25"/>
        <v>0</v>
      </c>
      <c r="BC21" s="274">
        <f t="shared" si="25"/>
        <v>0</v>
      </c>
      <c r="BD21" s="274">
        <f t="shared" si="25"/>
        <v>0</v>
      </c>
      <c r="BE21" s="274">
        <f t="shared" si="25"/>
        <v>0</v>
      </c>
      <c r="BF21" s="274">
        <f t="shared" si="25"/>
        <v>0</v>
      </c>
      <c r="BG21" s="274">
        <f t="shared" si="25"/>
        <v>0</v>
      </c>
      <c r="BH21" s="274">
        <f t="shared" si="25"/>
        <v>0</v>
      </c>
      <c r="BI21" s="274">
        <f t="shared" si="25"/>
        <v>0</v>
      </c>
      <c r="BJ21" s="274">
        <f t="shared" si="25"/>
        <v>0</v>
      </c>
      <c r="BK21" s="274">
        <f t="shared" si="25"/>
        <v>0</v>
      </c>
      <c r="BL21" s="274">
        <f t="shared" si="25"/>
        <v>0</v>
      </c>
      <c r="BM21" s="274">
        <f t="shared" si="25"/>
        <v>0</v>
      </c>
      <c r="BN21" s="274">
        <f t="shared" si="25"/>
        <v>0</v>
      </c>
      <c r="BO21" s="274">
        <f t="shared" si="25"/>
        <v>0</v>
      </c>
      <c r="BP21" s="274">
        <f t="shared" ref="BP21:CU21" si="26">+BP22+BP23+BP24+BP25+BP26</f>
        <v>0</v>
      </c>
      <c r="BQ21" s="274">
        <f t="shared" si="26"/>
        <v>0</v>
      </c>
      <c r="BR21" s="274">
        <f t="shared" si="26"/>
        <v>0</v>
      </c>
      <c r="BS21" s="274">
        <f t="shared" si="26"/>
        <v>0</v>
      </c>
      <c r="BT21" s="274">
        <f t="shared" si="26"/>
        <v>0</v>
      </c>
      <c r="BU21" s="274">
        <f t="shared" si="26"/>
        <v>0</v>
      </c>
      <c r="BV21" s="274">
        <f t="shared" si="26"/>
        <v>0</v>
      </c>
      <c r="BW21" s="274">
        <f t="shared" si="26"/>
        <v>0</v>
      </c>
      <c r="BX21" s="274">
        <f t="shared" si="26"/>
        <v>0</v>
      </c>
      <c r="BY21" s="274">
        <f t="shared" si="26"/>
        <v>0</v>
      </c>
      <c r="BZ21" s="274">
        <f t="shared" si="26"/>
        <v>0</v>
      </c>
      <c r="CA21" s="274">
        <f t="shared" si="26"/>
        <v>0</v>
      </c>
      <c r="CB21" s="274">
        <f t="shared" si="26"/>
        <v>0</v>
      </c>
      <c r="CC21" s="274">
        <f t="shared" si="26"/>
        <v>0</v>
      </c>
      <c r="CD21" s="274">
        <f t="shared" si="26"/>
        <v>0</v>
      </c>
      <c r="CE21" s="274">
        <f t="shared" si="26"/>
        <v>0</v>
      </c>
      <c r="CF21" s="274">
        <f t="shared" si="26"/>
        <v>0</v>
      </c>
      <c r="CG21" s="274">
        <f t="shared" si="26"/>
        <v>0</v>
      </c>
      <c r="CH21" s="274">
        <f t="shared" si="26"/>
        <v>0</v>
      </c>
      <c r="CI21" s="274">
        <f t="shared" si="26"/>
        <v>0</v>
      </c>
      <c r="CJ21" s="274">
        <f t="shared" si="26"/>
        <v>0</v>
      </c>
      <c r="CK21" s="274">
        <f t="shared" si="26"/>
        <v>0</v>
      </c>
      <c r="CL21" s="274">
        <f t="shared" si="26"/>
        <v>0</v>
      </c>
      <c r="CM21" s="274">
        <f t="shared" si="26"/>
        <v>0</v>
      </c>
      <c r="CN21" s="274">
        <f t="shared" si="26"/>
        <v>0</v>
      </c>
      <c r="CO21" s="274">
        <f t="shared" si="26"/>
        <v>0</v>
      </c>
      <c r="CP21" s="274">
        <f t="shared" si="26"/>
        <v>0</v>
      </c>
      <c r="CQ21" s="274">
        <f t="shared" si="26"/>
        <v>0</v>
      </c>
      <c r="CR21" s="274">
        <f t="shared" si="26"/>
        <v>0</v>
      </c>
      <c r="CS21" s="274">
        <f t="shared" si="26"/>
        <v>0</v>
      </c>
      <c r="CT21" s="274">
        <f t="shared" si="26"/>
        <v>0</v>
      </c>
      <c r="CU21" s="274">
        <f t="shared" si="26"/>
        <v>0</v>
      </c>
      <c r="CV21" s="274">
        <f t="shared" ref="CV21:EC21" si="27">+CV22+CV23+CV24+CV25+CV26</f>
        <v>0</v>
      </c>
      <c r="CW21" s="274">
        <f t="shared" si="27"/>
        <v>0</v>
      </c>
      <c r="CX21" s="274">
        <f t="shared" ref="CX21:CY21" si="28">+CX22+CX23+CX24+CX25+CX26</f>
        <v>0</v>
      </c>
      <c r="CY21" s="274">
        <f t="shared" si="28"/>
        <v>0</v>
      </c>
      <c r="CZ21" s="274">
        <f t="shared" si="27"/>
        <v>0</v>
      </c>
      <c r="DA21" s="274">
        <f t="shared" si="27"/>
        <v>0</v>
      </c>
      <c r="DB21" s="274">
        <f t="shared" si="27"/>
        <v>0</v>
      </c>
      <c r="DC21" s="274">
        <f t="shared" si="27"/>
        <v>0</v>
      </c>
      <c r="DD21" s="274">
        <f t="shared" si="27"/>
        <v>0</v>
      </c>
      <c r="DE21" s="274">
        <f t="shared" si="27"/>
        <v>0</v>
      </c>
      <c r="DF21" s="274">
        <f t="shared" si="27"/>
        <v>0</v>
      </c>
      <c r="DG21" s="274">
        <f t="shared" si="27"/>
        <v>0</v>
      </c>
      <c r="DH21" s="274">
        <f t="shared" si="27"/>
        <v>0</v>
      </c>
      <c r="DI21" s="274">
        <f t="shared" si="27"/>
        <v>0</v>
      </c>
      <c r="DJ21" s="274">
        <f t="shared" si="27"/>
        <v>0</v>
      </c>
      <c r="DK21" s="274">
        <f t="shared" si="27"/>
        <v>0</v>
      </c>
      <c r="DL21" s="274">
        <f t="shared" si="27"/>
        <v>0</v>
      </c>
      <c r="DM21" s="274">
        <f t="shared" si="27"/>
        <v>0</v>
      </c>
      <c r="DN21" s="274">
        <f t="shared" si="27"/>
        <v>0</v>
      </c>
      <c r="DO21" s="274">
        <f t="shared" si="27"/>
        <v>0</v>
      </c>
      <c r="DP21" s="274">
        <f t="shared" si="27"/>
        <v>0</v>
      </c>
      <c r="DQ21" s="274">
        <f t="shared" si="27"/>
        <v>0</v>
      </c>
      <c r="DR21" s="274">
        <f t="shared" si="27"/>
        <v>0</v>
      </c>
      <c r="DS21" s="274">
        <f t="shared" si="27"/>
        <v>0</v>
      </c>
      <c r="DT21" s="274">
        <f t="shared" si="27"/>
        <v>0</v>
      </c>
      <c r="DU21" s="274">
        <f t="shared" si="27"/>
        <v>0</v>
      </c>
      <c r="DV21" s="274">
        <f t="shared" si="27"/>
        <v>0</v>
      </c>
      <c r="DW21" s="274">
        <f t="shared" si="27"/>
        <v>0</v>
      </c>
      <c r="DX21" s="274">
        <f t="shared" si="27"/>
        <v>0</v>
      </c>
      <c r="DY21" s="274">
        <f t="shared" si="27"/>
        <v>0</v>
      </c>
      <c r="DZ21" s="274">
        <f t="shared" si="27"/>
        <v>0</v>
      </c>
      <c r="EA21" s="274">
        <f t="shared" si="27"/>
        <v>0</v>
      </c>
      <c r="EB21" s="274">
        <f t="shared" si="27"/>
        <v>0</v>
      </c>
      <c r="EC21" s="274">
        <f t="shared" si="27"/>
        <v>0</v>
      </c>
      <c r="ED21" s="274">
        <f t="shared" ref="ED21:EE21" si="29">+ED22+ED23+ED24+ED25+ED26</f>
        <v>0</v>
      </c>
      <c r="EE21" s="274">
        <f t="shared" si="29"/>
        <v>0</v>
      </c>
      <c r="EF21" s="274">
        <f t="shared" ref="EF21:FM21" si="30">+EF22+EF23+EF24+EF25+EF26</f>
        <v>0</v>
      </c>
      <c r="EG21" s="274">
        <f t="shared" si="30"/>
        <v>0</v>
      </c>
      <c r="EH21" s="274">
        <f t="shared" si="30"/>
        <v>0</v>
      </c>
      <c r="EI21" s="274">
        <f t="shared" si="30"/>
        <v>0</v>
      </c>
      <c r="EJ21" s="274">
        <f t="shared" ref="EJ21:EK21" si="31">+EJ22+EJ23+EJ24+EJ25+EJ26</f>
        <v>0</v>
      </c>
      <c r="EK21" s="274">
        <f t="shared" si="31"/>
        <v>0</v>
      </c>
      <c r="EL21" s="274">
        <f t="shared" si="30"/>
        <v>0</v>
      </c>
      <c r="EM21" s="274">
        <f t="shared" si="30"/>
        <v>0</v>
      </c>
      <c r="EN21" s="274">
        <f t="shared" si="30"/>
        <v>0</v>
      </c>
      <c r="EO21" s="274">
        <f t="shared" si="30"/>
        <v>0</v>
      </c>
      <c r="EP21" s="274">
        <f t="shared" si="30"/>
        <v>0</v>
      </c>
      <c r="EQ21" s="274">
        <f t="shared" si="30"/>
        <v>0</v>
      </c>
      <c r="ER21" s="274">
        <f t="shared" si="30"/>
        <v>0</v>
      </c>
      <c r="ES21" s="274">
        <f t="shared" si="30"/>
        <v>0</v>
      </c>
      <c r="ET21" s="274">
        <f t="shared" si="30"/>
        <v>0</v>
      </c>
      <c r="EU21" s="274">
        <f t="shared" si="30"/>
        <v>0</v>
      </c>
      <c r="EV21" s="274">
        <f t="shared" si="30"/>
        <v>0</v>
      </c>
      <c r="EW21" s="274">
        <f t="shared" si="30"/>
        <v>0</v>
      </c>
      <c r="EX21" s="274">
        <f t="shared" si="30"/>
        <v>0</v>
      </c>
      <c r="EY21" s="274">
        <f t="shared" si="30"/>
        <v>0</v>
      </c>
      <c r="EZ21" s="274">
        <f t="shared" si="30"/>
        <v>0</v>
      </c>
      <c r="FA21" s="274">
        <f t="shared" si="30"/>
        <v>0</v>
      </c>
      <c r="FB21" s="274">
        <f t="shared" si="30"/>
        <v>0</v>
      </c>
      <c r="FC21" s="274">
        <f t="shared" si="30"/>
        <v>0</v>
      </c>
      <c r="FD21" s="274">
        <f t="shared" si="30"/>
        <v>0</v>
      </c>
      <c r="FE21" s="274">
        <f t="shared" si="30"/>
        <v>0</v>
      </c>
      <c r="FF21" s="274">
        <f t="shared" si="30"/>
        <v>0</v>
      </c>
      <c r="FG21" s="274">
        <f t="shared" si="30"/>
        <v>0</v>
      </c>
      <c r="FH21" s="274">
        <f t="shared" si="30"/>
        <v>0</v>
      </c>
      <c r="FI21" s="274">
        <f t="shared" si="30"/>
        <v>0</v>
      </c>
      <c r="FJ21" s="274">
        <f t="shared" si="30"/>
        <v>0</v>
      </c>
      <c r="FK21" s="274">
        <f t="shared" si="30"/>
        <v>0</v>
      </c>
      <c r="FL21" s="274">
        <f t="shared" si="30"/>
        <v>0</v>
      </c>
      <c r="FM21" s="274">
        <f t="shared" si="30"/>
        <v>0</v>
      </c>
      <c r="FN21" s="274">
        <f t="shared" ref="FN21:GM21" si="32">+FN22+FN23+FN24+FN25+FN26</f>
        <v>4349592948</v>
      </c>
      <c r="FO21" s="274">
        <f t="shared" si="32"/>
        <v>4556860214</v>
      </c>
      <c r="FP21" s="274">
        <f t="shared" si="32"/>
        <v>0</v>
      </c>
      <c r="FQ21" s="274">
        <f t="shared" si="32"/>
        <v>0</v>
      </c>
      <c r="FR21" s="274">
        <f t="shared" si="32"/>
        <v>0</v>
      </c>
      <c r="FS21" s="274">
        <f t="shared" si="32"/>
        <v>0</v>
      </c>
      <c r="FT21" s="274">
        <f t="shared" si="32"/>
        <v>0</v>
      </c>
      <c r="FU21" s="274">
        <f t="shared" si="32"/>
        <v>0</v>
      </c>
      <c r="FV21" s="274">
        <f t="shared" si="32"/>
        <v>0</v>
      </c>
      <c r="FW21" s="274">
        <f t="shared" si="32"/>
        <v>0</v>
      </c>
      <c r="FX21" s="274">
        <f t="shared" si="32"/>
        <v>0</v>
      </c>
      <c r="FY21" s="274">
        <f t="shared" si="32"/>
        <v>0</v>
      </c>
      <c r="FZ21" s="274">
        <f t="shared" si="32"/>
        <v>0</v>
      </c>
      <c r="GA21" s="274">
        <f t="shared" si="32"/>
        <v>0</v>
      </c>
      <c r="GB21" s="274">
        <f t="shared" si="32"/>
        <v>0</v>
      </c>
      <c r="GC21" s="274">
        <f t="shared" si="32"/>
        <v>0</v>
      </c>
      <c r="GD21" s="274">
        <f t="shared" si="32"/>
        <v>0</v>
      </c>
      <c r="GE21" s="274">
        <f t="shared" si="32"/>
        <v>0</v>
      </c>
      <c r="GF21" s="274">
        <f t="shared" si="32"/>
        <v>0</v>
      </c>
      <c r="GG21" s="274">
        <f t="shared" si="32"/>
        <v>0</v>
      </c>
      <c r="GH21" s="274">
        <f t="shared" si="32"/>
        <v>0</v>
      </c>
      <c r="GI21" s="274">
        <f t="shared" si="32"/>
        <v>0</v>
      </c>
      <c r="GJ21" s="274">
        <f t="shared" si="32"/>
        <v>0</v>
      </c>
      <c r="GK21" s="274">
        <f t="shared" si="32"/>
        <v>0</v>
      </c>
      <c r="GL21" s="274">
        <f t="shared" si="32"/>
        <v>0</v>
      </c>
      <c r="GM21" s="274">
        <f t="shared" si="32"/>
        <v>0</v>
      </c>
      <c r="GN21" s="274">
        <f t="shared" ref="GN21:GX21" si="33">+GN22+GN23+GN24+GN25+GN26</f>
        <v>0</v>
      </c>
      <c r="GO21" s="274">
        <f>+GO22+GO23+GO24+GO25+GO26</f>
        <v>0</v>
      </c>
      <c r="GP21" s="274">
        <f t="shared" si="33"/>
        <v>0</v>
      </c>
      <c r="GQ21" s="274">
        <f>+GQ22+GQ23+GQ24+GQ25+GQ26</f>
        <v>0</v>
      </c>
      <c r="GR21" s="274">
        <f t="shared" si="33"/>
        <v>0</v>
      </c>
      <c r="GS21" s="274">
        <f>+GS22+GS23+GS24+GS25+GS26</f>
        <v>0</v>
      </c>
      <c r="GT21" s="274">
        <f t="shared" si="33"/>
        <v>0</v>
      </c>
      <c r="GU21" s="274">
        <f>+GU22+GU23+GU24+GU25+GU26</f>
        <v>0</v>
      </c>
      <c r="GV21" s="274">
        <f t="shared" si="33"/>
        <v>0</v>
      </c>
      <c r="GW21" s="274">
        <f>+GW22+GW23+GW24+GW25+GW26</f>
        <v>0</v>
      </c>
      <c r="GX21" s="274">
        <f t="shared" si="33"/>
        <v>0</v>
      </c>
      <c r="GY21" s="274">
        <f t="shared" ref="GY21:HG21" si="34">+GY22+GY23+GY24+GY25+GY26</f>
        <v>0</v>
      </c>
      <c r="GZ21" s="274">
        <f t="shared" si="34"/>
        <v>0</v>
      </c>
      <c r="HA21" s="274">
        <f t="shared" si="34"/>
        <v>0</v>
      </c>
      <c r="HB21" s="274">
        <f t="shared" si="34"/>
        <v>0</v>
      </c>
      <c r="HC21" s="274">
        <f t="shared" si="34"/>
        <v>0</v>
      </c>
      <c r="HD21" s="274">
        <f t="shared" si="34"/>
        <v>0</v>
      </c>
      <c r="HE21" s="274">
        <f t="shared" si="34"/>
        <v>0</v>
      </c>
      <c r="HF21" s="274">
        <f t="shared" si="34"/>
        <v>0</v>
      </c>
      <c r="HG21" s="274">
        <f t="shared" si="34"/>
        <v>0</v>
      </c>
      <c r="HH21" s="274">
        <f t="shared" ref="HH21:HV21" si="35">+HH22+HH23+HH24+HH25+HH26</f>
        <v>0</v>
      </c>
      <c r="HI21" s="274">
        <f>+HI22+HI23+HI24+HI25+HI26</f>
        <v>0</v>
      </c>
      <c r="HJ21" s="274">
        <f t="shared" si="35"/>
        <v>0</v>
      </c>
      <c r="HK21" s="274">
        <f>+HK22+HK23+HK24+HK25+HK26</f>
        <v>0</v>
      </c>
      <c r="HL21" s="274">
        <f t="shared" si="35"/>
        <v>0</v>
      </c>
      <c r="HM21" s="274">
        <f>+HM22+HM23+HM24+HM25+HM26</f>
        <v>0</v>
      </c>
      <c r="HN21" s="274">
        <f t="shared" si="35"/>
        <v>0</v>
      </c>
      <c r="HO21" s="274">
        <f>+HO22+HO23+HO24+HO25+HO26</f>
        <v>0</v>
      </c>
      <c r="HP21" s="274">
        <f t="shared" si="35"/>
        <v>0</v>
      </c>
      <c r="HQ21" s="274">
        <f>+HQ22+HQ23+HQ24+HQ25+HQ26</f>
        <v>0</v>
      </c>
      <c r="HR21" s="274">
        <f t="shared" si="35"/>
        <v>0</v>
      </c>
      <c r="HS21" s="274">
        <f>+HS22+HS23+HS24+HS25+HS26</f>
        <v>0</v>
      </c>
      <c r="HT21" s="274">
        <f t="shared" si="35"/>
        <v>0</v>
      </c>
      <c r="HU21" s="274">
        <f>+HU22+HU23+HU24+HU25+HU26</f>
        <v>0</v>
      </c>
      <c r="HV21" s="274">
        <f t="shared" si="35"/>
        <v>0</v>
      </c>
      <c r="HW21" s="274">
        <f>+HW22+HW23+HW24+HW25+HW26</f>
        <v>0</v>
      </c>
      <c r="HX21" s="274">
        <f t="shared" ref="HX21:HY21" si="36">+HX22+HX23+HX24+HX25+HX26</f>
        <v>0</v>
      </c>
      <c r="HY21" s="274">
        <f t="shared" si="36"/>
        <v>0</v>
      </c>
      <c r="HZ21" s="274">
        <f t="shared" ref="HZ21:IA21" si="37">+HZ22+HZ23+HZ24+HZ25+HZ26</f>
        <v>0</v>
      </c>
      <c r="IA21" s="274">
        <f t="shared" si="37"/>
        <v>0</v>
      </c>
      <c r="IB21" s="274">
        <f>+IB22+IB23+IB24+IB25+IB26</f>
        <v>0</v>
      </c>
      <c r="IC21" s="274">
        <f>+IC22+IC23+IC24+IC25+IC26</f>
        <v>0</v>
      </c>
      <c r="ID21" s="957">
        <f t="shared" si="9"/>
        <v>4349592948</v>
      </c>
      <c r="IE21" s="957">
        <f t="shared" si="1"/>
        <v>4556860214</v>
      </c>
      <c r="IF21" s="258">
        <f t="shared" si="2"/>
        <v>0</v>
      </c>
      <c r="IG21" s="258">
        <f t="shared" si="3"/>
        <v>0</v>
      </c>
    </row>
    <row r="22" spans="1:241" s="268" customFormat="1" ht="21.75" customHeight="1" x14ac:dyDescent="0.3">
      <c r="A22" s="253" t="s">
        <v>228</v>
      </c>
      <c r="B22" s="267" t="s">
        <v>183</v>
      </c>
      <c r="C22" s="264"/>
      <c r="D22" s="284"/>
      <c r="E22" s="284"/>
      <c r="F22" s="284"/>
      <c r="G22" s="284"/>
      <c r="H22" s="284"/>
      <c r="I22" s="284"/>
      <c r="J22" s="284"/>
      <c r="K22" s="284"/>
      <c r="L22" s="284"/>
      <c r="M22" s="284"/>
      <c r="N22" s="284"/>
      <c r="O22" s="284"/>
      <c r="P22" s="284"/>
      <c r="Q22" s="284"/>
      <c r="R22" s="284"/>
      <c r="S22" s="284"/>
      <c r="T22" s="284"/>
      <c r="U22" s="284"/>
      <c r="V22" s="296"/>
      <c r="W22" s="296"/>
      <c r="X22" s="296"/>
      <c r="Y22" s="296"/>
      <c r="Z22" s="296"/>
      <c r="AA22" s="296"/>
      <c r="AB22" s="296"/>
      <c r="AC22" s="296"/>
      <c r="AD22" s="296"/>
      <c r="AE22" s="296"/>
      <c r="AF22" s="296"/>
      <c r="AG22" s="296"/>
      <c r="AH22" s="296"/>
      <c r="AI22" s="296"/>
      <c r="AJ22" s="284"/>
      <c r="AK22" s="284"/>
      <c r="AL22" s="284"/>
      <c r="AM22" s="284"/>
      <c r="AN22" s="284"/>
      <c r="AO22" s="284"/>
      <c r="AP22" s="284"/>
      <c r="AQ22" s="284"/>
      <c r="AR22" s="284"/>
      <c r="AS22" s="284"/>
      <c r="AT22" s="284"/>
      <c r="AU22" s="284"/>
      <c r="AV22" s="284"/>
      <c r="AW22" s="284"/>
      <c r="AX22" s="284"/>
      <c r="AY22" s="284"/>
      <c r="AZ22" s="284"/>
      <c r="BA22" s="284"/>
      <c r="BB22" s="284"/>
      <c r="BC22" s="284"/>
      <c r="BD22" s="284"/>
      <c r="BE22" s="284"/>
      <c r="BF22" s="284"/>
      <c r="BG22" s="284"/>
      <c r="BH22" s="284"/>
      <c r="BI22" s="284"/>
      <c r="BJ22" s="284"/>
      <c r="BK22" s="284"/>
      <c r="BL22" s="284"/>
      <c r="BM22" s="284"/>
      <c r="BN22" s="284"/>
      <c r="BO22" s="284"/>
      <c r="BP22" s="284"/>
      <c r="BQ22" s="284"/>
      <c r="BR22" s="284"/>
      <c r="BS22" s="284"/>
      <c r="BT22" s="284"/>
      <c r="BU22" s="284"/>
      <c r="BV22" s="284"/>
      <c r="BW22" s="284"/>
      <c r="BX22" s="284"/>
      <c r="BY22" s="284"/>
      <c r="BZ22" s="284"/>
      <c r="CA22" s="284"/>
      <c r="CB22" s="296"/>
      <c r="CC22" s="296"/>
      <c r="CD22" s="284"/>
      <c r="CE22" s="284"/>
      <c r="CF22" s="284"/>
      <c r="CG22" s="284"/>
      <c r="CH22" s="284"/>
      <c r="CI22" s="284"/>
      <c r="CJ22" s="284"/>
      <c r="CK22" s="284"/>
      <c r="CL22" s="284"/>
      <c r="CM22" s="284"/>
      <c r="CN22" s="293"/>
      <c r="CO22" s="293"/>
      <c r="CP22" s="284"/>
      <c r="CQ22" s="284"/>
      <c r="CR22" s="284"/>
      <c r="CS22" s="284"/>
      <c r="CT22" s="284"/>
      <c r="CU22" s="284"/>
      <c r="CV22" s="284"/>
      <c r="CW22" s="284"/>
      <c r="CX22" s="284"/>
      <c r="CY22" s="284"/>
      <c r="CZ22" s="284"/>
      <c r="DA22" s="284"/>
      <c r="DB22" s="284"/>
      <c r="DC22" s="284"/>
      <c r="DD22" s="284"/>
      <c r="DE22" s="284"/>
      <c r="DF22" s="284"/>
      <c r="DG22" s="284"/>
      <c r="DH22" s="284"/>
      <c r="DI22" s="284"/>
      <c r="DJ22" s="284"/>
      <c r="DK22" s="284"/>
      <c r="DL22" s="296"/>
      <c r="DM22" s="296"/>
      <c r="DN22" s="296"/>
      <c r="DO22" s="296"/>
      <c r="DP22" s="284"/>
      <c r="DQ22" s="284"/>
      <c r="DR22" s="284"/>
      <c r="DS22" s="284"/>
      <c r="DT22" s="284"/>
      <c r="DU22" s="284"/>
      <c r="DV22" s="284"/>
      <c r="DW22" s="284"/>
      <c r="DX22" s="284"/>
      <c r="DY22" s="284"/>
      <c r="DZ22" s="284"/>
      <c r="EA22" s="284"/>
      <c r="EB22" s="284"/>
      <c r="EC22" s="284"/>
      <c r="ED22" s="284"/>
      <c r="EE22" s="284"/>
      <c r="EF22" s="284"/>
      <c r="EG22" s="284"/>
      <c r="EH22" s="284"/>
      <c r="EI22" s="284"/>
      <c r="EJ22" s="284"/>
      <c r="EK22" s="284"/>
      <c r="EL22" s="284"/>
      <c r="EM22" s="284"/>
      <c r="EN22" s="284"/>
      <c r="EO22" s="284"/>
      <c r="EP22" s="284"/>
      <c r="EQ22" s="284"/>
      <c r="ER22" s="284"/>
      <c r="ES22" s="284"/>
      <c r="ET22" s="284"/>
      <c r="EU22" s="284"/>
      <c r="EV22" s="284"/>
      <c r="EW22" s="284"/>
      <c r="EX22" s="284"/>
      <c r="EY22" s="284"/>
      <c r="EZ22" s="284"/>
      <c r="FA22" s="284"/>
      <c r="FB22" s="284"/>
      <c r="FC22" s="284"/>
      <c r="FD22" s="284"/>
      <c r="FE22" s="284"/>
      <c r="FF22" s="284"/>
      <c r="FG22" s="284"/>
      <c r="FH22" s="284"/>
      <c r="FI22" s="284"/>
      <c r="FJ22" s="284"/>
      <c r="FK22" s="284"/>
      <c r="FL22" s="284"/>
      <c r="FM22" s="284"/>
      <c r="FN22" s="293"/>
      <c r="FO22" s="293"/>
      <c r="FP22" s="293"/>
      <c r="FQ22" s="293"/>
      <c r="FR22" s="284"/>
      <c r="FS22" s="284"/>
      <c r="FT22" s="293"/>
      <c r="FU22" s="293"/>
      <c r="FV22" s="284"/>
      <c r="FW22" s="284"/>
      <c r="FX22" s="284"/>
      <c r="FY22" s="284"/>
      <c r="FZ22" s="284"/>
      <c r="GA22" s="284"/>
      <c r="GB22" s="284"/>
      <c r="GC22" s="284"/>
      <c r="GD22" s="284"/>
      <c r="GE22" s="284"/>
      <c r="GF22" s="284"/>
      <c r="GG22" s="284"/>
      <c r="GH22" s="284"/>
      <c r="GI22" s="284"/>
      <c r="GJ22" s="296"/>
      <c r="GK22" s="296"/>
      <c r="GL22" s="296"/>
      <c r="GM22" s="296"/>
      <c r="GN22" s="296"/>
      <c r="GO22" s="296"/>
      <c r="GP22" s="296"/>
      <c r="GQ22" s="296"/>
      <c r="GR22" s="296"/>
      <c r="GS22" s="296"/>
      <c r="GT22" s="296"/>
      <c r="GU22" s="296"/>
      <c r="GV22" s="296"/>
      <c r="GW22" s="296"/>
      <c r="GX22" s="296"/>
      <c r="GY22" s="296"/>
      <c r="GZ22" s="296"/>
      <c r="HA22" s="296"/>
      <c r="HB22" s="284"/>
      <c r="HC22" s="284"/>
      <c r="HD22" s="284"/>
      <c r="HE22" s="284"/>
      <c r="HF22" s="284"/>
      <c r="HG22" s="284"/>
      <c r="HH22" s="284"/>
      <c r="HI22" s="284"/>
      <c r="HJ22" s="284"/>
      <c r="HK22" s="284"/>
      <c r="HL22" s="284"/>
      <c r="HM22" s="284"/>
      <c r="HN22" s="284"/>
      <c r="HO22" s="284"/>
      <c r="HP22" s="284"/>
      <c r="HQ22" s="284"/>
      <c r="HR22" s="284"/>
      <c r="HS22" s="284"/>
      <c r="HT22" s="284"/>
      <c r="HU22" s="284"/>
      <c r="HV22" s="284"/>
      <c r="HW22" s="284"/>
      <c r="HX22" s="284"/>
      <c r="HY22" s="284"/>
      <c r="HZ22" s="284"/>
      <c r="IA22" s="284"/>
      <c r="IB22" s="284"/>
      <c r="IC22" s="284"/>
      <c r="ID22" s="957">
        <f t="shared" si="9"/>
        <v>0</v>
      </c>
      <c r="IE22" s="957">
        <f t="shared" si="1"/>
        <v>0</v>
      </c>
      <c r="IF22" s="258">
        <f t="shared" si="2"/>
        <v>0</v>
      </c>
      <c r="IG22" s="258">
        <f t="shared" si="3"/>
        <v>0</v>
      </c>
    </row>
    <row r="23" spans="1:241" s="268" customFormat="1" ht="21.75" customHeight="1" x14ac:dyDescent="0.3">
      <c r="A23" s="253" t="s">
        <v>229</v>
      </c>
      <c r="B23" s="267" t="s">
        <v>553</v>
      </c>
      <c r="C23" s="264"/>
      <c r="D23" s="284"/>
      <c r="E23" s="284"/>
      <c r="F23" s="284"/>
      <c r="G23" s="284"/>
      <c r="H23" s="284"/>
      <c r="I23" s="284"/>
      <c r="J23" s="284"/>
      <c r="K23" s="284"/>
      <c r="L23" s="284"/>
      <c r="M23" s="284"/>
      <c r="N23" s="284"/>
      <c r="O23" s="284"/>
      <c r="P23" s="284"/>
      <c r="Q23" s="284"/>
      <c r="R23" s="284"/>
      <c r="S23" s="284"/>
      <c r="T23" s="284"/>
      <c r="U23" s="284"/>
      <c r="V23" s="296"/>
      <c r="W23" s="296"/>
      <c r="X23" s="296"/>
      <c r="Y23" s="296"/>
      <c r="Z23" s="296"/>
      <c r="AA23" s="296"/>
      <c r="AB23" s="296"/>
      <c r="AC23" s="296"/>
      <c r="AD23" s="296"/>
      <c r="AE23" s="296"/>
      <c r="AF23" s="296"/>
      <c r="AG23" s="296"/>
      <c r="AH23" s="296"/>
      <c r="AI23" s="296"/>
      <c r="AJ23" s="284"/>
      <c r="AK23" s="284"/>
      <c r="AL23" s="284"/>
      <c r="AM23" s="284"/>
      <c r="AN23" s="284"/>
      <c r="AO23" s="284"/>
      <c r="AP23" s="284"/>
      <c r="AQ23" s="284"/>
      <c r="AR23" s="284"/>
      <c r="AS23" s="284"/>
      <c r="AT23" s="284"/>
      <c r="AU23" s="284"/>
      <c r="AV23" s="284"/>
      <c r="AW23" s="284"/>
      <c r="AX23" s="284"/>
      <c r="AY23" s="284"/>
      <c r="AZ23" s="284"/>
      <c r="BA23" s="284"/>
      <c r="BB23" s="284"/>
      <c r="BC23" s="284"/>
      <c r="BD23" s="284"/>
      <c r="BE23" s="284"/>
      <c r="BF23" s="284"/>
      <c r="BG23" s="284"/>
      <c r="BH23" s="284"/>
      <c r="BI23" s="284"/>
      <c r="BJ23" s="284"/>
      <c r="BK23" s="284"/>
      <c r="BL23" s="284"/>
      <c r="BM23" s="284"/>
      <c r="BN23" s="284"/>
      <c r="BO23" s="284"/>
      <c r="BP23" s="284"/>
      <c r="BQ23" s="284"/>
      <c r="BR23" s="284"/>
      <c r="BS23" s="284"/>
      <c r="BT23" s="284"/>
      <c r="BU23" s="284"/>
      <c r="BV23" s="284"/>
      <c r="BW23" s="284"/>
      <c r="BX23" s="284"/>
      <c r="BY23" s="284"/>
      <c r="BZ23" s="284"/>
      <c r="CA23" s="284"/>
      <c r="CB23" s="296"/>
      <c r="CC23" s="296"/>
      <c r="CD23" s="284"/>
      <c r="CE23" s="284"/>
      <c r="CF23" s="284"/>
      <c r="CG23" s="284"/>
      <c r="CH23" s="284"/>
      <c r="CI23" s="284"/>
      <c r="CJ23" s="284"/>
      <c r="CK23" s="284"/>
      <c r="CL23" s="284"/>
      <c r="CM23" s="284"/>
      <c r="CN23" s="293"/>
      <c r="CO23" s="293"/>
      <c r="CP23" s="284"/>
      <c r="CQ23" s="284"/>
      <c r="CR23" s="284"/>
      <c r="CS23" s="284"/>
      <c r="CT23" s="284"/>
      <c r="CU23" s="284"/>
      <c r="CV23" s="284"/>
      <c r="CW23" s="284"/>
      <c r="CX23" s="284"/>
      <c r="CY23" s="284"/>
      <c r="CZ23" s="284"/>
      <c r="DA23" s="284"/>
      <c r="DB23" s="284"/>
      <c r="DC23" s="284"/>
      <c r="DD23" s="284"/>
      <c r="DE23" s="284"/>
      <c r="DF23" s="284"/>
      <c r="DG23" s="284"/>
      <c r="DH23" s="284"/>
      <c r="DI23" s="284"/>
      <c r="DJ23" s="284"/>
      <c r="DK23" s="284"/>
      <c r="DL23" s="296"/>
      <c r="DM23" s="296"/>
      <c r="DN23" s="296"/>
      <c r="DO23" s="296"/>
      <c r="DP23" s="284"/>
      <c r="DQ23" s="284"/>
      <c r="DR23" s="284"/>
      <c r="DS23" s="284"/>
      <c r="DT23" s="284"/>
      <c r="DU23" s="284"/>
      <c r="DV23" s="284"/>
      <c r="DW23" s="284"/>
      <c r="DX23" s="284"/>
      <c r="DY23" s="284"/>
      <c r="DZ23" s="284"/>
      <c r="EA23" s="284"/>
      <c r="EB23" s="284"/>
      <c r="EC23" s="284"/>
      <c r="ED23" s="284"/>
      <c r="EE23" s="284"/>
      <c r="EF23" s="284"/>
      <c r="EG23" s="284"/>
      <c r="EH23" s="284"/>
      <c r="EI23" s="284"/>
      <c r="EJ23" s="284"/>
      <c r="EK23" s="284"/>
      <c r="EL23" s="284"/>
      <c r="EM23" s="284"/>
      <c r="EN23" s="284"/>
      <c r="EO23" s="284"/>
      <c r="EP23" s="284"/>
      <c r="EQ23" s="284"/>
      <c r="ER23" s="284"/>
      <c r="ES23" s="284"/>
      <c r="ET23" s="284"/>
      <c r="EU23" s="284"/>
      <c r="EV23" s="284"/>
      <c r="EW23" s="284"/>
      <c r="EX23" s="284"/>
      <c r="EY23" s="284"/>
      <c r="EZ23" s="284"/>
      <c r="FA23" s="284"/>
      <c r="FB23" s="284"/>
      <c r="FC23" s="284"/>
      <c r="FD23" s="284"/>
      <c r="FE23" s="284"/>
      <c r="FF23" s="284"/>
      <c r="FG23" s="284"/>
      <c r="FH23" s="284"/>
      <c r="FI23" s="284"/>
      <c r="FJ23" s="284"/>
      <c r="FK23" s="284"/>
      <c r="FL23" s="284"/>
      <c r="FM23" s="284"/>
      <c r="FN23" s="293">
        <f>+'10.sz.Intézményfinanszírozás'!D16</f>
        <v>4291386848</v>
      </c>
      <c r="FO23" s="293">
        <f>+FN23+1996299+539001+100000+4874282+540291+1129588+320000+320000+320000+3000000+197960+226721+129477+179305+98349+2238961+604519+4471720+7447280+4356080+2552720-823851-317500+144145+1270000+1981200+1739900+37007500+5593500+1356000+1356000+12119250+8136000+8136000+7034250+2034000-540000+158750-779206-508000+4556704+1651000+165000-215035+1299464+1375156+135000+165630+6323915-127000+2528221+365760+431800-254000+135000+210000+139294+545724+3072000+896000+896000+9024000+5888000+5632000+5568000+1408000+7552000+254000+1017000+154305+242221-354800+94274+36254+40000-500000-229180-25400+627888-289900+1555750+1143000-381000+1257300-1016000+100000+400000+300000+300000-635000-960000-635000-698500-15398+457200+285750+4448858+1717265-254000+756</f>
        <v>4479932615</v>
      </c>
      <c r="FP23" s="293"/>
      <c r="FQ23" s="293"/>
      <c r="FR23" s="284"/>
      <c r="FS23" s="284"/>
      <c r="FT23" s="293"/>
      <c r="FU23" s="293"/>
      <c r="FV23" s="284"/>
      <c r="FW23" s="284"/>
      <c r="FX23" s="284"/>
      <c r="FY23" s="284"/>
      <c r="FZ23" s="284"/>
      <c r="GA23" s="284"/>
      <c r="GB23" s="284"/>
      <c r="GC23" s="284"/>
      <c r="GD23" s="284"/>
      <c r="GE23" s="284"/>
      <c r="GF23" s="284"/>
      <c r="GG23" s="284"/>
      <c r="GH23" s="284"/>
      <c r="GI23" s="284"/>
      <c r="GJ23" s="296"/>
      <c r="GK23" s="296"/>
      <c r="GL23" s="296"/>
      <c r="GM23" s="296"/>
      <c r="GN23" s="296"/>
      <c r="GO23" s="296"/>
      <c r="GP23" s="296"/>
      <c r="GQ23" s="296"/>
      <c r="GR23" s="296"/>
      <c r="GS23" s="296"/>
      <c r="GT23" s="296"/>
      <c r="GU23" s="296"/>
      <c r="GV23" s="296"/>
      <c r="GW23" s="296"/>
      <c r="GX23" s="296"/>
      <c r="GY23" s="296"/>
      <c r="GZ23" s="296"/>
      <c r="HA23" s="296"/>
      <c r="HB23" s="284"/>
      <c r="HC23" s="284"/>
      <c r="HD23" s="284"/>
      <c r="HE23" s="284"/>
      <c r="HF23" s="284"/>
      <c r="HG23" s="284"/>
      <c r="HH23" s="284"/>
      <c r="HI23" s="284"/>
      <c r="HJ23" s="284"/>
      <c r="HK23" s="284"/>
      <c r="HL23" s="284"/>
      <c r="HM23" s="284"/>
      <c r="HN23" s="284"/>
      <c r="HO23" s="284"/>
      <c r="HP23" s="284"/>
      <c r="HQ23" s="284"/>
      <c r="HR23" s="284"/>
      <c r="HS23" s="284"/>
      <c r="HT23" s="284"/>
      <c r="HU23" s="284"/>
      <c r="HV23" s="284"/>
      <c r="HW23" s="284"/>
      <c r="HX23" s="284"/>
      <c r="HY23" s="284"/>
      <c r="HZ23" s="284"/>
      <c r="IA23" s="284"/>
      <c r="IB23" s="284"/>
      <c r="IC23" s="284"/>
      <c r="ID23" s="957">
        <f t="shared" si="9"/>
        <v>4291386848</v>
      </c>
      <c r="IE23" s="957">
        <f t="shared" si="1"/>
        <v>4479932615</v>
      </c>
      <c r="IF23" s="258">
        <f t="shared" si="2"/>
        <v>0</v>
      </c>
      <c r="IG23" s="258">
        <f t="shared" si="3"/>
        <v>0</v>
      </c>
    </row>
    <row r="24" spans="1:241" s="268" customFormat="1" ht="21.75" customHeight="1" x14ac:dyDescent="0.3">
      <c r="A24" s="253" t="s">
        <v>230</v>
      </c>
      <c r="B24" s="267" t="s">
        <v>554</v>
      </c>
      <c r="C24" s="264"/>
      <c r="D24" s="284"/>
      <c r="E24" s="284"/>
      <c r="F24" s="284"/>
      <c r="G24" s="284"/>
      <c r="H24" s="284"/>
      <c r="I24" s="284"/>
      <c r="J24" s="284"/>
      <c r="K24" s="284"/>
      <c r="L24" s="284"/>
      <c r="M24" s="284"/>
      <c r="N24" s="284"/>
      <c r="O24" s="284"/>
      <c r="P24" s="284"/>
      <c r="Q24" s="284"/>
      <c r="R24" s="284"/>
      <c r="S24" s="284"/>
      <c r="T24" s="284"/>
      <c r="U24" s="284"/>
      <c r="V24" s="296"/>
      <c r="W24" s="296"/>
      <c r="X24" s="296"/>
      <c r="Y24" s="296"/>
      <c r="Z24" s="296"/>
      <c r="AA24" s="296"/>
      <c r="AB24" s="296"/>
      <c r="AC24" s="296"/>
      <c r="AD24" s="296"/>
      <c r="AE24" s="296"/>
      <c r="AF24" s="296"/>
      <c r="AG24" s="296"/>
      <c r="AH24" s="296"/>
      <c r="AI24" s="296"/>
      <c r="AJ24" s="284"/>
      <c r="AK24" s="284"/>
      <c r="AL24" s="284"/>
      <c r="AM24" s="284"/>
      <c r="AN24" s="284"/>
      <c r="AO24" s="284"/>
      <c r="AP24" s="284"/>
      <c r="AQ24" s="284"/>
      <c r="AR24" s="284"/>
      <c r="AS24" s="284"/>
      <c r="AT24" s="284"/>
      <c r="AU24" s="284"/>
      <c r="AV24" s="284"/>
      <c r="AW24" s="284"/>
      <c r="AX24" s="284"/>
      <c r="AY24" s="284"/>
      <c r="AZ24" s="284"/>
      <c r="BA24" s="284"/>
      <c r="BB24" s="284"/>
      <c r="BC24" s="284"/>
      <c r="BD24" s="284"/>
      <c r="BE24" s="284"/>
      <c r="BF24" s="284"/>
      <c r="BG24" s="284"/>
      <c r="BH24" s="284"/>
      <c r="BI24" s="284"/>
      <c r="BJ24" s="284"/>
      <c r="BK24" s="284"/>
      <c r="BL24" s="284"/>
      <c r="BM24" s="284"/>
      <c r="BN24" s="284"/>
      <c r="BO24" s="284"/>
      <c r="BP24" s="284"/>
      <c r="BQ24" s="284"/>
      <c r="BR24" s="284"/>
      <c r="BS24" s="284"/>
      <c r="BT24" s="284"/>
      <c r="BU24" s="284"/>
      <c r="BV24" s="284"/>
      <c r="BW24" s="284"/>
      <c r="BX24" s="284"/>
      <c r="BY24" s="284"/>
      <c r="BZ24" s="284"/>
      <c r="CA24" s="284"/>
      <c r="CB24" s="296"/>
      <c r="CC24" s="296"/>
      <c r="CD24" s="284"/>
      <c r="CE24" s="284"/>
      <c r="CF24" s="284"/>
      <c r="CG24" s="284"/>
      <c r="CH24" s="284"/>
      <c r="CI24" s="284"/>
      <c r="CJ24" s="284"/>
      <c r="CK24" s="284"/>
      <c r="CL24" s="284"/>
      <c r="CM24" s="284"/>
      <c r="CN24" s="293"/>
      <c r="CO24" s="293"/>
      <c r="CP24" s="284"/>
      <c r="CQ24" s="284"/>
      <c r="CR24" s="284"/>
      <c r="CS24" s="284"/>
      <c r="CT24" s="284"/>
      <c r="CU24" s="284"/>
      <c r="CV24" s="284"/>
      <c r="CW24" s="284"/>
      <c r="CX24" s="284"/>
      <c r="CY24" s="284"/>
      <c r="CZ24" s="284"/>
      <c r="DA24" s="284"/>
      <c r="DB24" s="284"/>
      <c r="DC24" s="284"/>
      <c r="DD24" s="284"/>
      <c r="DE24" s="284"/>
      <c r="DF24" s="284"/>
      <c r="DG24" s="284"/>
      <c r="DH24" s="284"/>
      <c r="DI24" s="284"/>
      <c r="DJ24" s="284"/>
      <c r="DK24" s="284"/>
      <c r="DL24" s="296"/>
      <c r="DM24" s="296"/>
      <c r="DN24" s="296"/>
      <c r="DO24" s="296"/>
      <c r="DP24" s="284"/>
      <c r="DQ24" s="284"/>
      <c r="DR24" s="284"/>
      <c r="DS24" s="284"/>
      <c r="DT24" s="284"/>
      <c r="DU24" s="284"/>
      <c r="DV24" s="284"/>
      <c r="DW24" s="284"/>
      <c r="DX24" s="284"/>
      <c r="DY24" s="284"/>
      <c r="DZ24" s="284"/>
      <c r="EA24" s="284"/>
      <c r="EB24" s="284"/>
      <c r="EC24" s="284"/>
      <c r="ED24" s="284"/>
      <c r="EE24" s="284"/>
      <c r="EF24" s="284"/>
      <c r="EG24" s="284"/>
      <c r="EH24" s="284"/>
      <c r="EI24" s="284"/>
      <c r="EJ24" s="284"/>
      <c r="EK24" s="284"/>
      <c r="EL24" s="284"/>
      <c r="EM24" s="284"/>
      <c r="EN24" s="284"/>
      <c r="EO24" s="284"/>
      <c r="EP24" s="284"/>
      <c r="EQ24" s="284"/>
      <c r="ER24" s="284"/>
      <c r="ES24" s="284"/>
      <c r="ET24" s="284"/>
      <c r="EU24" s="284"/>
      <c r="EV24" s="284"/>
      <c r="EW24" s="284"/>
      <c r="EX24" s="284"/>
      <c r="EY24" s="284"/>
      <c r="EZ24" s="284"/>
      <c r="FA24" s="284"/>
      <c r="FB24" s="284"/>
      <c r="FC24" s="284"/>
      <c r="FD24" s="284"/>
      <c r="FE24" s="284"/>
      <c r="FF24" s="284"/>
      <c r="FG24" s="284"/>
      <c r="FH24" s="284"/>
      <c r="FI24" s="284"/>
      <c r="FJ24" s="284"/>
      <c r="FK24" s="284"/>
      <c r="FL24" s="284"/>
      <c r="FM24" s="284"/>
      <c r="FN24" s="293">
        <f>+'10.sz.Intézményfinanszírozás'!F16</f>
        <v>58206100</v>
      </c>
      <c r="FO24" s="293">
        <f>+FN24+823851+317500+540000+779206+508000+215035+154635+544050+127000+428386+115664+254000+354800+7000000+725000+195750+500000+229180+25400+289900+381000+1016000+635000+960000+635000+698500+15398+254000-756</f>
        <v>76927599</v>
      </c>
      <c r="FP24" s="293"/>
      <c r="FQ24" s="293"/>
      <c r="FR24" s="284"/>
      <c r="FS24" s="284"/>
      <c r="FT24" s="293"/>
      <c r="FU24" s="293"/>
      <c r="FV24" s="284"/>
      <c r="FW24" s="284"/>
      <c r="FX24" s="284"/>
      <c r="FY24" s="284"/>
      <c r="FZ24" s="284"/>
      <c r="GA24" s="284"/>
      <c r="GB24" s="284"/>
      <c r="GC24" s="284"/>
      <c r="GD24" s="284"/>
      <c r="GE24" s="284"/>
      <c r="GF24" s="284"/>
      <c r="GG24" s="284"/>
      <c r="GH24" s="284"/>
      <c r="GI24" s="284"/>
      <c r="GJ24" s="296"/>
      <c r="GK24" s="296"/>
      <c r="GL24" s="296"/>
      <c r="GM24" s="296"/>
      <c r="GN24" s="296"/>
      <c r="GO24" s="296"/>
      <c r="GP24" s="296"/>
      <c r="GQ24" s="296"/>
      <c r="GR24" s="296"/>
      <c r="GS24" s="296"/>
      <c r="GT24" s="296"/>
      <c r="GU24" s="296"/>
      <c r="GV24" s="296"/>
      <c r="GW24" s="296"/>
      <c r="GX24" s="296"/>
      <c r="GY24" s="296"/>
      <c r="GZ24" s="296"/>
      <c r="HA24" s="296"/>
      <c r="HB24" s="284"/>
      <c r="HC24" s="284"/>
      <c r="HD24" s="284"/>
      <c r="HE24" s="284"/>
      <c r="HF24" s="284"/>
      <c r="HG24" s="284"/>
      <c r="HH24" s="284"/>
      <c r="HI24" s="284"/>
      <c r="HJ24" s="284"/>
      <c r="HK24" s="284"/>
      <c r="HL24" s="284"/>
      <c r="HM24" s="284"/>
      <c r="HN24" s="284"/>
      <c r="HO24" s="284"/>
      <c r="HP24" s="284"/>
      <c r="HQ24" s="284"/>
      <c r="HR24" s="284"/>
      <c r="HS24" s="284"/>
      <c r="HT24" s="284"/>
      <c r="HU24" s="284"/>
      <c r="HV24" s="284"/>
      <c r="HW24" s="284"/>
      <c r="HX24" s="284"/>
      <c r="HY24" s="284"/>
      <c r="HZ24" s="284"/>
      <c r="IA24" s="284"/>
      <c r="IB24" s="284"/>
      <c r="IC24" s="284"/>
      <c r="ID24" s="957">
        <f t="shared" si="9"/>
        <v>58206100</v>
      </c>
      <c r="IE24" s="957">
        <f t="shared" si="1"/>
        <v>76927599</v>
      </c>
      <c r="IF24" s="258">
        <f t="shared" si="2"/>
        <v>0</v>
      </c>
      <c r="IG24" s="258">
        <f t="shared" si="3"/>
        <v>0</v>
      </c>
    </row>
    <row r="25" spans="1:241" s="268" customFormat="1" ht="21.75" customHeight="1" x14ac:dyDescent="0.3">
      <c r="A25" s="253" t="s">
        <v>231</v>
      </c>
      <c r="B25" s="267" t="s">
        <v>127</v>
      </c>
      <c r="C25" s="264"/>
      <c r="D25" s="284"/>
      <c r="E25" s="284"/>
      <c r="F25" s="284"/>
      <c r="G25" s="284"/>
      <c r="H25" s="284"/>
      <c r="I25" s="284"/>
      <c r="J25" s="284"/>
      <c r="K25" s="284"/>
      <c r="L25" s="284"/>
      <c r="M25" s="284"/>
      <c r="N25" s="284"/>
      <c r="O25" s="284"/>
      <c r="P25" s="284"/>
      <c r="Q25" s="284"/>
      <c r="R25" s="284"/>
      <c r="S25" s="284"/>
      <c r="T25" s="284"/>
      <c r="U25" s="284"/>
      <c r="V25" s="296"/>
      <c r="W25" s="296"/>
      <c r="X25" s="296"/>
      <c r="Y25" s="296"/>
      <c r="Z25" s="296"/>
      <c r="AA25" s="296"/>
      <c r="AB25" s="296"/>
      <c r="AC25" s="296"/>
      <c r="AD25" s="296"/>
      <c r="AE25" s="296"/>
      <c r="AF25" s="296"/>
      <c r="AG25" s="296"/>
      <c r="AH25" s="296"/>
      <c r="AI25" s="296"/>
      <c r="AJ25" s="284"/>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4"/>
      <c r="BG25" s="284"/>
      <c r="BH25" s="284"/>
      <c r="BI25" s="284"/>
      <c r="BJ25" s="284"/>
      <c r="BK25" s="284"/>
      <c r="BL25" s="284"/>
      <c r="BM25" s="284"/>
      <c r="BN25" s="284"/>
      <c r="BO25" s="284"/>
      <c r="BP25" s="284"/>
      <c r="BQ25" s="284"/>
      <c r="BR25" s="284"/>
      <c r="BS25" s="284"/>
      <c r="BT25" s="284"/>
      <c r="BU25" s="284"/>
      <c r="BV25" s="284"/>
      <c r="BW25" s="284"/>
      <c r="BX25" s="284"/>
      <c r="BY25" s="284"/>
      <c r="BZ25" s="284"/>
      <c r="CA25" s="284"/>
      <c r="CB25" s="296"/>
      <c r="CC25" s="296"/>
      <c r="CD25" s="284"/>
      <c r="CE25" s="284"/>
      <c r="CF25" s="284"/>
      <c r="CG25" s="284"/>
      <c r="CH25" s="284"/>
      <c r="CI25" s="284"/>
      <c r="CJ25" s="284"/>
      <c r="CK25" s="284"/>
      <c r="CL25" s="284"/>
      <c r="CM25" s="284"/>
      <c r="CN25" s="293"/>
      <c r="CO25" s="293"/>
      <c r="CP25" s="284"/>
      <c r="CQ25" s="284"/>
      <c r="CR25" s="284"/>
      <c r="CS25" s="284"/>
      <c r="CT25" s="284"/>
      <c r="CU25" s="284"/>
      <c r="CV25" s="284"/>
      <c r="CW25" s="284"/>
      <c r="CX25" s="284"/>
      <c r="CY25" s="284"/>
      <c r="CZ25" s="284"/>
      <c r="DA25" s="284"/>
      <c r="DB25" s="284"/>
      <c r="DC25" s="284"/>
      <c r="DD25" s="284"/>
      <c r="DE25" s="284"/>
      <c r="DF25" s="284"/>
      <c r="DG25" s="284"/>
      <c r="DH25" s="284"/>
      <c r="DI25" s="284"/>
      <c r="DJ25" s="284"/>
      <c r="DK25" s="284"/>
      <c r="DL25" s="296"/>
      <c r="DM25" s="296"/>
      <c r="DN25" s="296"/>
      <c r="DO25" s="296"/>
      <c r="DP25" s="284"/>
      <c r="DQ25" s="284"/>
      <c r="DR25" s="284"/>
      <c r="DS25" s="284"/>
      <c r="DT25" s="284"/>
      <c r="DU25" s="284"/>
      <c r="DV25" s="284"/>
      <c r="DW25" s="284"/>
      <c r="DX25" s="284"/>
      <c r="DY25" s="284"/>
      <c r="DZ25" s="284"/>
      <c r="EA25" s="284"/>
      <c r="EB25" s="284"/>
      <c r="EC25" s="284"/>
      <c r="ED25" s="284"/>
      <c r="EE25" s="284"/>
      <c r="EF25" s="284"/>
      <c r="EG25" s="284"/>
      <c r="EH25" s="284"/>
      <c r="EI25" s="284"/>
      <c r="EJ25" s="284"/>
      <c r="EK25" s="284"/>
      <c r="EL25" s="284"/>
      <c r="EM25" s="284"/>
      <c r="EN25" s="284"/>
      <c r="EO25" s="284"/>
      <c r="EP25" s="284"/>
      <c r="EQ25" s="284"/>
      <c r="ER25" s="284"/>
      <c r="ES25" s="284"/>
      <c r="ET25" s="284"/>
      <c r="EU25" s="284"/>
      <c r="EV25" s="284"/>
      <c r="EW25" s="284"/>
      <c r="EX25" s="284"/>
      <c r="EY25" s="284"/>
      <c r="EZ25" s="284"/>
      <c r="FA25" s="284"/>
      <c r="FB25" s="284"/>
      <c r="FC25" s="284"/>
      <c r="FD25" s="284"/>
      <c r="FE25" s="284"/>
      <c r="FF25" s="284"/>
      <c r="FG25" s="284"/>
      <c r="FH25" s="284"/>
      <c r="FI25" s="284"/>
      <c r="FJ25" s="284"/>
      <c r="FK25" s="284"/>
      <c r="FL25" s="284"/>
      <c r="FM25" s="284"/>
      <c r="FN25" s="293"/>
      <c r="FO25" s="293"/>
      <c r="FP25" s="293"/>
      <c r="FQ25" s="293"/>
      <c r="FR25" s="284"/>
      <c r="FS25" s="284"/>
      <c r="FT25" s="293"/>
      <c r="FU25" s="293"/>
      <c r="FV25" s="284"/>
      <c r="FW25" s="284"/>
      <c r="FX25" s="284"/>
      <c r="FY25" s="284"/>
      <c r="FZ25" s="284"/>
      <c r="GA25" s="284"/>
      <c r="GB25" s="284"/>
      <c r="GC25" s="284"/>
      <c r="GD25" s="284"/>
      <c r="GE25" s="284"/>
      <c r="GF25" s="284"/>
      <c r="GG25" s="284"/>
      <c r="GH25" s="284"/>
      <c r="GI25" s="284"/>
      <c r="GJ25" s="296"/>
      <c r="GK25" s="296"/>
      <c r="GL25" s="296"/>
      <c r="GM25" s="296"/>
      <c r="GN25" s="296"/>
      <c r="GO25" s="296"/>
      <c r="GP25" s="296"/>
      <c r="GQ25" s="296"/>
      <c r="GR25" s="296"/>
      <c r="GS25" s="296"/>
      <c r="GT25" s="296"/>
      <c r="GU25" s="296"/>
      <c r="GV25" s="296"/>
      <c r="GW25" s="296"/>
      <c r="GX25" s="296"/>
      <c r="GY25" s="296"/>
      <c r="GZ25" s="296"/>
      <c r="HA25" s="296"/>
      <c r="HB25" s="284"/>
      <c r="HC25" s="284"/>
      <c r="HD25" s="284"/>
      <c r="HE25" s="284"/>
      <c r="HF25" s="284"/>
      <c r="HG25" s="284"/>
      <c r="HH25" s="284"/>
      <c r="HI25" s="284"/>
      <c r="HJ25" s="284"/>
      <c r="HK25" s="284"/>
      <c r="HL25" s="284"/>
      <c r="HM25" s="284"/>
      <c r="HN25" s="284"/>
      <c r="HO25" s="284"/>
      <c r="HP25" s="284"/>
      <c r="HQ25" s="284"/>
      <c r="HR25" s="284"/>
      <c r="HS25" s="284"/>
      <c r="HT25" s="284"/>
      <c r="HU25" s="284"/>
      <c r="HV25" s="284"/>
      <c r="HW25" s="284"/>
      <c r="HX25" s="284"/>
      <c r="HY25" s="284"/>
      <c r="HZ25" s="284"/>
      <c r="IA25" s="284"/>
      <c r="IB25" s="284"/>
      <c r="IC25" s="284"/>
      <c r="ID25" s="957">
        <f t="shared" si="9"/>
        <v>0</v>
      </c>
      <c r="IE25" s="957">
        <f t="shared" si="1"/>
        <v>0</v>
      </c>
      <c r="IF25" s="258">
        <f t="shared" si="2"/>
        <v>0</v>
      </c>
      <c r="IG25" s="258">
        <f t="shared" si="3"/>
        <v>0</v>
      </c>
    </row>
    <row r="26" spans="1:241" s="268" customFormat="1" ht="21.75" customHeight="1" x14ac:dyDescent="0.3">
      <c r="A26" s="253" t="s">
        <v>232</v>
      </c>
      <c r="B26" s="267" t="s">
        <v>816</v>
      </c>
      <c r="C26" s="264"/>
      <c r="D26" s="284"/>
      <c r="E26" s="284"/>
      <c r="F26" s="284"/>
      <c r="G26" s="284"/>
      <c r="H26" s="284"/>
      <c r="I26" s="284"/>
      <c r="J26" s="284"/>
      <c r="K26" s="284"/>
      <c r="L26" s="284"/>
      <c r="M26" s="284"/>
      <c r="N26" s="284"/>
      <c r="O26" s="284"/>
      <c r="P26" s="284"/>
      <c r="Q26" s="284"/>
      <c r="R26" s="284"/>
      <c r="S26" s="284"/>
      <c r="T26" s="284"/>
      <c r="U26" s="284"/>
      <c r="V26" s="296"/>
      <c r="W26" s="296"/>
      <c r="X26" s="296"/>
      <c r="Y26" s="296"/>
      <c r="Z26" s="296"/>
      <c r="AA26" s="296"/>
      <c r="AB26" s="296"/>
      <c r="AC26" s="296"/>
      <c r="AD26" s="296"/>
      <c r="AE26" s="296"/>
      <c r="AF26" s="296"/>
      <c r="AG26" s="296"/>
      <c r="AH26" s="296"/>
      <c r="AI26" s="296"/>
      <c r="AJ26" s="284"/>
      <c r="AK26" s="284"/>
      <c r="AL26" s="284"/>
      <c r="AM26" s="284"/>
      <c r="AN26" s="284"/>
      <c r="AO26" s="284"/>
      <c r="AP26" s="284"/>
      <c r="AQ26" s="284"/>
      <c r="AR26" s="284"/>
      <c r="AS26" s="284"/>
      <c r="AT26" s="284"/>
      <c r="AU26" s="284"/>
      <c r="AV26" s="284"/>
      <c r="AW26" s="284"/>
      <c r="AX26" s="284"/>
      <c r="AY26" s="284"/>
      <c r="AZ26" s="284"/>
      <c r="BA26" s="284"/>
      <c r="BB26" s="284"/>
      <c r="BC26" s="284"/>
      <c r="BD26" s="284"/>
      <c r="BE26" s="284"/>
      <c r="BF26" s="284"/>
      <c r="BG26" s="284"/>
      <c r="BH26" s="284"/>
      <c r="BI26" s="284"/>
      <c r="BJ26" s="284"/>
      <c r="BK26" s="284"/>
      <c r="BL26" s="284"/>
      <c r="BM26" s="284"/>
      <c r="BN26" s="284"/>
      <c r="BO26" s="284"/>
      <c r="BP26" s="284"/>
      <c r="BQ26" s="284"/>
      <c r="BR26" s="284"/>
      <c r="BS26" s="284"/>
      <c r="BT26" s="284"/>
      <c r="BU26" s="284"/>
      <c r="BV26" s="284"/>
      <c r="BW26" s="284"/>
      <c r="BX26" s="284"/>
      <c r="BY26" s="284"/>
      <c r="BZ26" s="284"/>
      <c r="CA26" s="284"/>
      <c r="CB26" s="296"/>
      <c r="CC26" s="296"/>
      <c r="CD26" s="284"/>
      <c r="CE26" s="284"/>
      <c r="CF26" s="284"/>
      <c r="CG26" s="284"/>
      <c r="CH26" s="284"/>
      <c r="CI26" s="284"/>
      <c r="CJ26" s="284"/>
      <c r="CK26" s="284"/>
      <c r="CL26" s="284"/>
      <c r="CM26" s="284"/>
      <c r="CN26" s="293"/>
      <c r="CO26" s="293"/>
      <c r="CP26" s="284"/>
      <c r="CQ26" s="284"/>
      <c r="CR26" s="284"/>
      <c r="CS26" s="284"/>
      <c r="CT26" s="284"/>
      <c r="CU26" s="284"/>
      <c r="CV26" s="284"/>
      <c r="CW26" s="284"/>
      <c r="CX26" s="284"/>
      <c r="CY26" s="284"/>
      <c r="CZ26" s="284"/>
      <c r="DA26" s="284"/>
      <c r="DB26" s="284"/>
      <c r="DC26" s="284"/>
      <c r="DD26" s="284"/>
      <c r="DE26" s="284"/>
      <c r="DF26" s="284"/>
      <c r="DG26" s="284"/>
      <c r="DH26" s="284"/>
      <c r="DI26" s="284"/>
      <c r="DJ26" s="284"/>
      <c r="DK26" s="284"/>
      <c r="DL26" s="296"/>
      <c r="DM26" s="296"/>
      <c r="DN26" s="296"/>
      <c r="DO26" s="296"/>
      <c r="DP26" s="284"/>
      <c r="DQ26" s="284"/>
      <c r="DR26" s="284"/>
      <c r="DS26" s="284"/>
      <c r="DT26" s="284"/>
      <c r="DU26" s="284"/>
      <c r="DV26" s="284"/>
      <c r="DW26" s="284"/>
      <c r="DX26" s="284"/>
      <c r="DY26" s="284"/>
      <c r="DZ26" s="284"/>
      <c r="EA26" s="284"/>
      <c r="EB26" s="284"/>
      <c r="EC26" s="284"/>
      <c r="ED26" s="284"/>
      <c r="EE26" s="284"/>
      <c r="EF26" s="284"/>
      <c r="EG26" s="284"/>
      <c r="EH26" s="284"/>
      <c r="EI26" s="284"/>
      <c r="EJ26" s="284"/>
      <c r="EK26" s="284"/>
      <c r="EL26" s="284"/>
      <c r="EM26" s="284"/>
      <c r="EN26" s="284"/>
      <c r="EO26" s="284"/>
      <c r="EP26" s="284"/>
      <c r="EQ26" s="284"/>
      <c r="ER26" s="284"/>
      <c r="ES26" s="284"/>
      <c r="ET26" s="284"/>
      <c r="EU26" s="284"/>
      <c r="EV26" s="284"/>
      <c r="EW26" s="284"/>
      <c r="EX26" s="284"/>
      <c r="EY26" s="284"/>
      <c r="EZ26" s="284"/>
      <c r="FA26" s="284"/>
      <c r="FB26" s="284"/>
      <c r="FC26" s="284"/>
      <c r="FD26" s="284"/>
      <c r="FE26" s="284"/>
      <c r="FF26" s="284"/>
      <c r="FG26" s="284"/>
      <c r="FH26" s="284"/>
      <c r="FI26" s="284"/>
      <c r="FJ26" s="284"/>
      <c r="FK26" s="284"/>
      <c r="FL26" s="284"/>
      <c r="FM26" s="284"/>
      <c r="FN26" s="293"/>
      <c r="FO26" s="293"/>
      <c r="FP26" s="293"/>
      <c r="FQ26" s="293"/>
      <c r="FR26" s="284"/>
      <c r="FS26" s="284"/>
      <c r="FT26" s="293"/>
      <c r="FU26" s="293"/>
      <c r="FV26" s="284"/>
      <c r="FW26" s="284"/>
      <c r="FX26" s="284"/>
      <c r="FY26" s="284"/>
      <c r="FZ26" s="284"/>
      <c r="GA26" s="284"/>
      <c r="GB26" s="284"/>
      <c r="GC26" s="284"/>
      <c r="GD26" s="284"/>
      <c r="GE26" s="284"/>
      <c r="GF26" s="284"/>
      <c r="GG26" s="284"/>
      <c r="GH26" s="284"/>
      <c r="GI26" s="284"/>
      <c r="GJ26" s="296"/>
      <c r="GK26" s="296"/>
      <c r="GL26" s="296"/>
      <c r="GM26" s="296"/>
      <c r="GN26" s="296"/>
      <c r="GO26" s="296"/>
      <c r="GP26" s="296"/>
      <c r="GQ26" s="296"/>
      <c r="GR26" s="296"/>
      <c r="GS26" s="296"/>
      <c r="GT26" s="296"/>
      <c r="GU26" s="296"/>
      <c r="GV26" s="296"/>
      <c r="GW26" s="296"/>
      <c r="GX26" s="296"/>
      <c r="GY26" s="296"/>
      <c r="GZ26" s="296"/>
      <c r="HA26" s="296"/>
      <c r="HB26" s="284"/>
      <c r="HC26" s="284"/>
      <c r="HD26" s="284"/>
      <c r="HE26" s="284"/>
      <c r="HF26" s="284"/>
      <c r="HG26" s="284"/>
      <c r="HH26" s="284"/>
      <c r="HI26" s="284"/>
      <c r="HJ26" s="284"/>
      <c r="HK26" s="284"/>
      <c r="HL26" s="284"/>
      <c r="HM26" s="284"/>
      <c r="HN26" s="284"/>
      <c r="HO26" s="284"/>
      <c r="HP26" s="284"/>
      <c r="HQ26" s="284"/>
      <c r="HR26" s="284"/>
      <c r="HS26" s="284"/>
      <c r="HT26" s="284"/>
      <c r="HU26" s="284"/>
      <c r="HV26" s="284"/>
      <c r="HW26" s="284"/>
      <c r="HX26" s="284"/>
      <c r="HY26" s="284"/>
      <c r="HZ26" s="284"/>
      <c r="IA26" s="284"/>
      <c r="IB26" s="284"/>
      <c r="IC26" s="284"/>
      <c r="ID26" s="957">
        <f t="shared" si="9"/>
        <v>0</v>
      </c>
      <c r="IE26" s="957">
        <f t="shared" si="1"/>
        <v>0</v>
      </c>
      <c r="IF26" s="258">
        <f t="shared" si="2"/>
        <v>0</v>
      </c>
      <c r="IG26" s="258">
        <f t="shared" si="3"/>
        <v>0</v>
      </c>
    </row>
    <row r="27" spans="1:241" s="260" customFormat="1" ht="21.75" customHeight="1" x14ac:dyDescent="0.3">
      <c r="A27" s="253" t="s">
        <v>233</v>
      </c>
      <c r="B27" s="269" t="s">
        <v>32</v>
      </c>
      <c r="C27" s="255"/>
      <c r="D27" s="274">
        <f t="shared" ref="D27:AI27" si="38">+D8+D9+D10+D11+D13+D14+D22+D23+D15+D26</f>
        <v>0</v>
      </c>
      <c r="E27" s="274">
        <f t="shared" si="38"/>
        <v>0</v>
      </c>
      <c r="F27" s="274">
        <f t="shared" si="38"/>
        <v>0</v>
      </c>
      <c r="G27" s="274">
        <f t="shared" si="38"/>
        <v>0</v>
      </c>
      <c r="H27" s="274">
        <f t="shared" si="38"/>
        <v>0</v>
      </c>
      <c r="I27" s="274">
        <f t="shared" si="38"/>
        <v>0</v>
      </c>
      <c r="J27" s="274">
        <f t="shared" si="38"/>
        <v>0</v>
      </c>
      <c r="K27" s="274">
        <f t="shared" si="38"/>
        <v>0</v>
      </c>
      <c r="L27" s="274">
        <f t="shared" si="38"/>
        <v>0</v>
      </c>
      <c r="M27" s="274">
        <f t="shared" si="38"/>
        <v>4508500</v>
      </c>
      <c r="N27" s="274">
        <f t="shared" si="38"/>
        <v>0</v>
      </c>
      <c r="O27" s="274">
        <f t="shared" si="38"/>
        <v>0</v>
      </c>
      <c r="P27" s="274">
        <f t="shared" si="38"/>
        <v>0</v>
      </c>
      <c r="Q27" s="274">
        <f t="shared" si="38"/>
        <v>0</v>
      </c>
      <c r="R27" s="274">
        <f t="shared" si="38"/>
        <v>0</v>
      </c>
      <c r="S27" s="274">
        <f t="shared" si="38"/>
        <v>0</v>
      </c>
      <c r="T27" s="274">
        <f t="shared" si="38"/>
        <v>1000000</v>
      </c>
      <c r="U27" s="274">
        <f t="shared" si="38"/>
        <v>1000000</v>
      </c>
      <c r="V27" s="274">
        <f t="shared" si="38"/>
        <v>12621675</v>
      </c>
      <c r="W27" s="274">
        <f t="shared" si="38"/>
        <v>42846883</v>
      </c>
      <c r="X27" s="274">
        <f t="shared" si="38"/>
        <v>0</v>
      </c>
      <c r="Y27" s="274">
        <f t="shared" si="38"/>
        <v>0</v>
      </c>
      <c r="Z27" s="274">
        <f t="shared" si="38"/>
        <v>0</v>
      </c>
      <c r="AA27" s="274">
        <f t="shared" si="38"/>
        <v>44450</v>
      </c>
      <c r="AB27" s="274">
        <f t="shared" si="38"/>
        <v>0</v>
      </c>
      <c r="AC27" s="274">
        <f t="shared" si="38"/>
        <v>0</v>
      </c>
      <c r="AD27" s="274">
        <f t="shared" si="38"/>
        <v>0</v>
      </c>
      <c r="AE27" s="274">
        <f t="shared" si="38"/>
        <v>0</v>
      </c>
      <c r="AF27" s="274">
        <f t="shared" si="38"/>
        <v>0</v>
      </c>
      <c r="AG27" s="274">
        <f t="shared" si="38"/>
        <v>0</v>
      </c>
      <c r="AH27" s="274">
        <f t="shared" si="38"/>
        <v>0</v>
      </c>
      <c r="AI27" s="274">
        <f t="shared" si="38"/>
        <v>0</v>
      </c>
      <c r="AJ27" s="274">
        <f t="shared" ref="AJ27:BO27" si="39">+AJ8+AJ9+AJ10+AJ11+AJ13+AJ14+AJ22+AJ23+AJ15+AJ26</f>
        <v>102388966</v>
      </c>
      <c r="AK27" s="274">
        <f t="shared" si="39"/>
        <v>100542564</v>
      </c>
      <c r="AL27" s="274">
        <f t="shared" si="39"/>
        <v>81120796</v>
      </c>
      <c r="AM27" s="274">
        <f t="shared" si="39"/>
        <v>117675286</v>
      </c>
      <c r="AN27" s="274">
        <f t="shared" si="39"/>
        <v>0</v>
      </c>
      <c r="AO27" s="274">
        <f t="shared" si="39"/>
        <v>367792</v>
      </c>
      <c r="AP27" s="274">
        <f t="shared" si="39"/>
        <v>8367845</v>
      </c>
      <c r="AQ27" s="274">
        <f t="shared" si="39"/>
        <v>11522474</v>
      </c>
      <c r="AR27" s="274">
        <f t="shared" si="39"/>
        <v>0</v>
      </c>
      <c r="AS27" s="274">
        <f t="shared" si="39"/>
        <v>0</v>
      </c>
      <c r="AT27" s="274">
        <f t="shared" si="39"/>
        <v>0</v>
      </c>
      <c r="AU27" s="274">
        <f t="shared" si="39"/>
        <v>0</v>
      </c>
      <c r="AV27" s="274">
        <f t="shared" si="39"/>
        <v>31400000</v>
      </c>
      <c r="AW27" s="274">
        <f t="shared" si="39"/>
        <v>31400000</v>
      </c>
      <c r="AX27" s="274">
        <f t="shared" si="39"/>
        <v>10000000</v>
      </c>
      <c r="AY27" s="274">
        <f t="shared" si="39"/>
        <v>12415200</v>
      </c>
      <c r="AZ27" s="274">
        <f t="shared" si="39"/>
        <v>10000000</v>
      </c>
      <c r="BA27" s="274">
        <f t="shared" si="39"/>
        <v>0</v>
      </c>
      <c r="BB27" s="274">
        <f t="shared" si="39"/>
        <v>20000000</v>
      </c>
      <c r="BC27" s="274">
        <f t="shared" si="39"/>
        <v>38141500</v>
      </c>
      <c r="BD27" s="274">
        <f t="shared" si="39"/>
        <v>339193847</v>
      </c>
      <c r="BE27" s="274">
        <f t="shared" si="39"/>
        <v>442253286</v>
      </c>
      <c r="BF27" s="274">
        <f t="shared" si="39"/>
        <v>42085102</v>
      </c>
      <c r="BG27" s="274">
        <f t="shared" si="39"/>
        <v>42934410</v>
      </c>
      <c r="BH27" s="274">
        <f t="shared" si="39"/>
        <v>51500000</v>
      </c>
      <c r="BI27" s="274">
        <f t="shared" si="39"/>
        <v>28951423</v>
      </c>
      <c r="BJ27" s="274">
        <f t="shared" si="39"/>
        <v>5300000</v>
      </c>
      <c r="BK27" s="274">
        <f t="shared" si="39"/>
        <v>12592352</v>
      </c>
      <c r="BL27" s="274">
        <f t="shared" si="39"/>
        <v>220179711</v>
      </c>
      <c r="BM27" s="274">
        <f t="shared" si="39"/>
        <v>245235347</v>
      </c>
      <c r="BN27" s="274">
        <f t="shared" si="39"/>
        <v>104717574</v>
      </c>
      <c r="BO27" s="274">
        <f t="shared" si="39"/>
        <v>118286807</v>
      </c>
      <c r="BP27" s="274">
        <f t="shared" ref="BP27:CU27" si="40">+BP8+BP9+BP10+BP11+BP13+BP14+BP22+BP23+BP15+BP26</f>
        <v>37590540</v>
      </c>
      <c r="BQ27" s="274">
        <f t="shared" si="40"/>
        <v>42357120</v>
      </c>
      <c r="BR27" s="274">
        <f t="shared" si="40"/>
        <v>6850000</v>
      </c>
      <c r="BS27" s="274">
        <f t="shared" si="40"/>
        <v>6850000</v>
      </c>
      <c r="BT27" s="274">
        <f t="shared" si="40"/>
        <v>21854000</v>
      </c>
      <c r="BU27" s="274">
        <f t="shared" si="40"/>
        <v>21854000</v>
      </c>
      <c r="BV27" s="274">
        <f t="shared" si="40"/>
        <v>10230000</v>
      </c>
      <c r="BW27" s="274">
        <f t="shared" si="40"/>
        <v>10778084</v>
      </c>
      <c r="BX27" s="274">
        <f t="shared" si="40"/>
        <v>20248900</v>
      </c>
      <c r="BY27" s="274">
        <f t="shared" si="40"/>
        <v>45588300</v>
      </c>
      <c r="BZ27" s="274">
        <f t="shared" si="40"/>
        <v>48168470</v>
      </c>
      <c r="CA27" s="274">
        <f t="shared" si="40"/>
        <v>63066436</v>
      </c>
      <c r="CB27" s="274">
        <f t="shared" si="40"/>
        <v>0</v>
      </c>
      <c r="CC27" s="274">
        <f t="shared" si="40"/>
        <v>0</v>
      </c>
      <c r="CD27" s="274">
        <f t="shared" si="40"/>
        <v>2000000</v>
      </c>
      <c r="CE27" s="274">
        <f t="shared" si="40"/>
        <v>2000000</v>
      </c>
      <c r="CF27" s="274">
        <f t="shared" si="40"/>
        <v>0</v>
      </c>
      <c r="CG27" s="274">
        <f t="shared" si="40"/>
        <v>0</v>
      </c>
      <c r="CH27" s="274">
        <f t="shared" si="40"/>
        <v>0</v>
      </c>
      <c r="CI27" s="274">
        <f t="shared" si="40"/>
        <v>0</v>
      </c>
      <c r="CJ27" s="274">
        <f t="shared" si="40"/>
        <v>3890000</v>
      </c>
      <c r="CK27" s="274">
        <f t="shared" si="40"/>
        <v>3890000</v>
      </c>
      <c r="CL27" s="274">
        <f t="shared" si="40"/>
        <v>20000000</v>
      </c>
      <c r="CM27" s="274">
        <f t="shared" si="40"/>
        <v>14321523</v>
      </c>
      <c r="CN27" s="274">
        <f t="shared" si="40"/>
        <v>18983250</v>
      </c>
      <c r="CO27" s="274">
        <f t="shared" si="40"/>
        <v>17611298</v>
      </c>
      <c r="CP27" s="274">
        <f t="shared" si="40"/>
        <v>50804579</v>
      </c>
      <c r="CQ27" s="274">
        <f t="shared" si="40"/>
        <v>49495559</v>
      </c>
      <c r="CR27" s="274">
        <f t="shared" si="40"/>
        <v>1500000</v>
      </c>
      <c r="CS27" s="274">
        <f t="shared" si="40"/>
        <v>1423800</v>
      </c>
      <c r="CT27" s="274">
        <f t="shared" si="40"/>
        <v>9072550</v>
      </c>
      <c r="CU27" s="274">
        <f t="shared" si="40"/>
        <v>31657851</v>
      </c>
      <c r="CV27" s="274">
        <f t="shared" ref="CV27:EC27" si="41">+CV8+CV9+CV10+CV11+CV13+CV14+CV22+CV23+CV15+CV26</f>
        <v>1116853</v>
      </c>
      <c r="CW27" s="274">
        <f t="shared" si="41"/>
        <v>2386853</v>
      </c>
      <c r="CX27" s="274">
        <f t="shared" ref="CX27:CY27" si="42">+CX8+CX9+CX10+CX11+CX13+CX14+CX22+CX23+CX15+CX26</f>
        <v>0</v>
      </c>
      <c r="CY27" s="274">
        <f t="shared" si="42"/>
        <v>4871500</v>
      </c>
      <c r="CZ27" s="274">
        <f t="shared" si="41"/>
        <v>31729660</v>
      </c>
      <c r="DA27" s="274">
        <f t="shared" si="41"/>
        <v>35178569</v>
      </c>
      <c r="DB27" s="274">
        <f t="shared" si="41"/>
        <v>77578346</v>
      </c>
      <c r="DC27" s="274">
        <f t="shared" si="41"/>
        <v>88665582</v>
      </c>
      <c r="DD27" s="274">
        <f t="shared" si="41"/>
        <v>199609000</v>
      </c>
      <c r="DE27" s="274">
        <f t="shared" si="41"/>
        <v>271529773</v>
      </c>
      <c r="DF27" s="274">
        <f t="shared" si="41"/>
        <v>37918000</v>
      </c>
      <c r="DG27" s="274">
        <f t="shared" si="41"/>
        <v>38137436</v>
      </c>
      <c r="DH27" s="274">
        <f t="shared" si="41"/>
        <v>70050000</v>
      </c>
      <c r="DI27" s="274">
        <f t="shared" si="41"/>
        <v>92121005</v>
      </c>
      <c r="DJ27" s="274">
        <f t="shared" si="41"/>
        <v>15000000</v>
      </c>
      <c r="DK27" s="274">
        <f t="shared" si="41"/>
        <v>19443567</v>
      </c>
      <c r="DL27" s="274">
        <f t="shared" si="41"/>
        <v>117607868</v>
      </c>
      <c r="DM27" s="274">
        <f t="shared" si="41"/>
        <v>153505121</v>
      </c>
      <c r="DN27" s="274">
        <f t="shared" si="41"/>
        <v>0</v>
      </c>
      <c r="DO27" s="274">
        <f t="shared" si="41"/>
        <v>0</v>
      </c>
      <c r="DP27" s="274">
        <f t="shared" si="41"/>
        <v>24000000</v>
      </c>
      <c r="DQ27" s="274">
        <f t="shared" si="41"/>
        <v>24000000</v>
      </c>
      <c r="DR27" s="274">
        <f t="shared" si="41"/>
        <v>2800000</v>
      </c>
      <c r="DS27" s="274">
        <f t="shared" si="41"/>
        <v>4795647</v>
      </c>
      <c r="DT27" s="274">
        <f t="shared" si="41"/>
        <v>800000</v>
      </c>
      <c r="DU27" s="274">
        <f t="shared" si="41"/>
        <v>800000</v>
      </c>
      <c r="DV27" s="274">
        <f t="shared" si="41"/>
        <v>4880010</v>
      </c>
      <c r="DW27" s="274">
        <f t="shared" si="41"/>
        <v>5040010</v>
      </c>
      <c r="DX27" s="274">
        <f t="shared" si="41"/>
        <v>0</v>
      </c>
      <c r="DY27" s="274">
        <f t="shared" si="41"/>
        <v>0</v>
      </c>
      <c r="DZ27" s="274">
        <f t="shared" si="41"/>
        <v>0</v>
      </c>
      <c r="EA27" s="274">
        <f t="shared" si="41"/>
        <v>0</v>
      </c>
      <c r="EB27" s="274">
        <f t="shared" si="41"/>
        <v>0</v>
      </c>
      <c r="EC27" s="274">
        <f t="shared" si="41"/>
        <v>951429</v>
      </c>
      <c r="ED27" s="274">
        <f t="shared" ref="ED27:EE27" si="43">+ED8+ED9+ED10+ED11+ED13+ED14+ED22+ED23+ED15+ED26</f>
        <v>0</v>
      </c>
      <c r="EE27" s="274">
        <f t="shared" si="43"/>
        <v>674949</v>
      </c>
      <c r="EF27" s="274">
        <f t="shared" ref="EF27:FM27" si="44">+EF8+EF9+EF10+EF11+EF13+EF14+EF22+EF23+EF15+EF26</f>
        <v>0</v>
      </c>
      <c r="EG27" s="274">
        <f t="shared" si="44"/>
        <v>0</v>
      </c>
      <c r="EH27" s="274">
        <f t="shared" si="44"/>
        <v>0</v>
      </c>
      <c r="EI27" s="274">
        <f t="shared" si="44"/>
        <v>0</v>
      </c>
      <c r="EJ27" s="274">
        <f t="shared" ref="EJ27:EK27" si="45">+EJ8+EJ9+EJ10+EJ11+EJ13+EJ14+EJ22+EJ23+EJ15+EJ26</f>
        <v>0</v>
      </c>
      <c r="EK27" s="274">
        <f t="shared" si="45"/>
        <v>9347819</v>
      </c>
      <c r="EL27" s="274">
        <f t="shared" si="44"/>
        <v>0</v>
      </c>
      <c r="EM27" s="274">
        <f t="shared" si="44"/>
        <v>0</v>
      </c>
      <c r="EN27" s="274">
        <f t="shared" si="44"/>
        <v>4550000</v>
      </c>
      <c r="EO27" s="274">
        <f t="shared" si="44"/>
        <v>4550000</v>
      </c>
      <c r="EP27" s="274">
        <f t="shared" si="44"/>
        <v>2947461</v>
      </c>
      <c r="EQ27" s="274">
        <f t="shared" si="44"/>
        <v>3392617</v>
      </c>
      <c r="ER27" s="274">
        <f t="shared" si="44"/>
        <v>7710835</v>
      </c>
      <c r="ES27" s="274">
        <f t="shared" si="44"/>
        <v>7710835</v>
      </c>
      <c r="ET27" s="274">
        <f t="shared" si="44"/>
        <v>1000000</v>
      </c>
      <c r="EU27" s="274">
        <f t="shared" si="44"/>
        <v>1000000</v>
      </c>
      <c r="EV27" s="274">
        <f t="shared" si="44"/>
        <v>7400000</v>
      </c>
      <c r="EW27" s="274">
        <f t="shared" si="44"/>
        <v>7400000</v>
      </c>
      <c r="EX27" s="274">
        <f t="shared" si="44"/>
        <v>5720000</v>
      </c>
      <c r="EY27" s="274">
        <f t="shared" si="44"/>
        <v>5720000</v>
      </c>
      <c r="EZ27" s="274">
        <f t="shared" si="44"/>
        <v>5437000</v>
      </c>
      <c r="FA27" s="274">
        <f t="shared" si="44"/>
        <v>5437000</v>
      </c>
      <c r="FB27" s="274">
        <f t="shared" si="44"/>
        <v>0</v>
      </c>
      <c r="FC27" s="274">
        <f t="shared" si="44"/>
        <v>0</v>
      </c>
      <c r="FD27" s="274">
        <f t="shared" si="44"/>
        <v>0</v>
      </c>
      <c r="FE27" s="274">
        <f t="shared" si="44"/>
        <v>0</v>
      </c>
      <c r="FF27" s="274">
        <f t="shared" si="44"/>
        <v>0</v>
      </c>
      <c r="FG27" s="274">
        <f t="shared" si="44"/>
        <v>0</v>
      </c>
      <c r="FH27" s="274">
        <f t="shared" si="44"/>
        <v>0</v>
      </c>
      <c r="FI27" s="274">
        <f t="shared" si="44"/>
        <v>0</v>
      </c>
      <c r="FJ27" s="274">
        <f t="shared" si="44"/>
        <v>0</v>
      </c>
      <c r="FK27" s="274">
        <f t="shared" si="44"/>
        <v>0</v>
      </c>
      <c r="FL27" s="274">
        <f t="shared" si="44"/>
        <v>1023175490</v>
      </c>
      <c r="FM27" s="274">
        <f t="shared" si="44"/>
        <v>2462142663</v>
      </c>
      <c r="FN27" s="274">
        <f t="shared" ref="FN27:GK27" si="46">+FN8+FN9+FN10+FN11+FN13+FN14+FN22+FN23+FN15+FN26</f>
        <v>4291386848</v>
      </c>
      <c r="FO27" s="274">
        <f t="shared" si="46"/>
        <v>4479932615</v>
      </c>
      <c r="FP27" s="274">
        <f t="shared" si="46"/>
        <v>0</v>
      </c>
      <c r="FQ27" s="274">
        <f t="shared" si="46"/>
        <v>0</v>
      </c>
      <c r="FR27" s="274">
        <f t="shared" si="46"/>
        <v>5030333</v>
      </c>
      <c r="FS27" s="274">
        <f t="shared" si="46"/>
        <v>23427806</v>
      </c>
      <c r="FT27" s="274">
        <f t="shared" si="46"/>
        <v>22336777</v>
      </c>
      <c r="FU27" s="274">
        <f t="shared" si="46"/>
        <v>53567470</v>
      </c>
      <c r="FV27" s="274">
        <f t="shared" si="46"/>
        <v>0</v>
      </c>
      <c r="FW27" s="274">
        <f t="shared" si="46"/>
        <v>0</v>
      </c>
      <c r="FX27" s="274">
        <f t="shared" si="46"/>
        <v>0</v>
      </c>
      <c r="FY27" s="274">
        <f t="shared" si="46"/>
        <v>0</v>
      </c>
      <c r="FZ27" s="274">
        <f t="shared" si="46"/>
        <v>0</v>
      </c>
      <c r="GA27" s="274">
        <f t="shared" si="46"/>
        <v>0</v>
      </c>
      <c r="GB27" s="274">
        <f t="shared" si="46"/>
        <v>0</v>
      </c>
      <c r="GC27" s="274">
        <f t="shared" si="46"/>
        <v>0</v>
      </c>
      <c r="GD27" s="274">
        <f t="shared" si="46"/>
        <v>468634</v>
      </c>
      <c r="GE27" s="274">
        <f t="shared" si="46"/>
        <v>468634</v>
      </c>
      <c r="GF27" s="274">
        <f t="shared" si="46"/>
        <v>0</v>
      </c>
      <c r="GG27" s="274">
        <f t="shared" si="46"/>
        <v>850900</v>
      </c>
      <c r="GH27" s="274">
        <f t="shared" si="46"/>
        <v>5000000</v>
      </c>
      <c r="GI27" s="274">
        <f t="shared" si="46"/>
        <v>8475742</v>
      </c>
      <c r="GJ27" s="274">
        <f t="shared" si="46"/>
        <v>1258998974</v>
      </c>
      <c r="GK27" s="274">
        <f t="shared" si="46"/>
        <v>1258998974</v>
      </c>
      <c r="GL27" s="274">
        <f t="shared" ref="GL27:GV27" si="47">+GL8+GL9+GL10+GL11+GL13+GL14+GL22+GL23+GL15+GL26</f>
        <v>2000000</v>
      </c>
      <c r="GM27" s="274">
        <f>+GM8+GM9+GM10+GM11+GM13+GM14+GM22+GM23+GM15+GM26</f>
        <v>2000000</v>
      </c>
      <c r="GN27" s="274">
        <f t="shared" si="47"/>
        <v>0</v>
      </c>
      <c r="GO27" s="274">
        <f>+GO8+GO9+GO10+GO11+GO13+GO14+GO22+GO23+GO15+GO26</f>
        <v>237477417</v>
      </c>
      <c r="GP27" s="274">
        <f t="shared" si="47"/>
        <v>0</v>
      </c>
      <c r="GQ27" s="274">
        <f>+GQ8+GQ9+GQ10+GQ11+GQ13+GQ14+GQ22+GQ23+GQ15+GQ26</f>
        <v>6419379</v>
      </c>
      <c r="GR27" s="274">
        <f t="shared" si="47"/>
        <v>0</v>
      </c>
      <c r="GS27" s="274">
        <f>+GS8+GS9+GS10+GS11+GS13+GS14+GS22+GS23+GS15+GS26</f>
        <v>0</v>
      </c>
      <c r="GT27" s="274">
        <f t="shared" si="47"/>
        <v>0</v>
      </c>
      <c r="GU27" s="274">
        <f>+GU8+GU9+GU10+GU11+GU13+GU14+GU22+GU23+GU15+GU26</f>
        <v>0</v>
      </c>
      <c r="GV27" s="274">
        <f t="shared" si="47"/>
        <v>0</v>
      </c>
      <c r="GW27" s="274">
        <f t="shared" ref="GW27:HG27" si="48">+GW8+GW9+GW10+GW11+GW13+GW14+GW22+GW23+GW15+GW26</f>
        <v>0</v>
      </c>
      <c r="GX27" s="274">
        <f t="shared" si="48"/>
        <v>0</v>
      </c>
      <c r="GY27" s="274">
        <f t="shared" si="48"/>
        <v>23017532</v>
      </c>
      <c r="GZ27" s="274">
        <f t="shared" si="48"/>
        <v>0</v>
      </c>
      <c r="HA27" s="274">
        <f t="shared" si="48"/>
        <v>0</v>
      </c>
      <c r="HB27" s="274">
        <f t="shared" si="48"/>
        <v>0</v>
      </c>
      <c r="HC27" s="274">
        <f t="shared" si="48"/>
        <v>0</v>
      </c>
      <c r="HD27" s="274">
        <f t="shared" si="48"/>
        <v>0</v>
      </c>
      <c r="HE27" s="274">
        <f t="shared" si="48"/>
        <v>5407476</v>
      </c>
      <c r="HF27" s="274">
        <f t="shared" si="48"/>
        <v>0</v>
      </c>
      <c r="HG27" s="274">
        <f t="shared" si="48"/>
        <v>1060815</v>
      </c>
      <c r="HH27" s="274">
        <f t="shared" ref="HH27:HV27" si="49">+HH8+HH9+HH10+HH11+HH13+HH14+HH22+HH23+HH15+HH26</f>
        <v>0</v>
      </c>
      <c r="HI27" s="274">
        <f>+HI8+HI9+HI10+HI11+HI13+HI14+HI22+HI23+HI15+HI26</f>
        <v>0</v>
      </c>
      <c r="HJ27" s="274">
        <f t="shared" si="49"/>
        <v>0</v>
      </c>
      <c r="HK27" s="274">
        <f>+HK8+HK9+HK10+HK11+HK13+HK14+HK22+HK23+HK15+HK26</f>
        <v>0</v>
      </c>
      <c r="HL27" s="274">
        <f t="shared" si="49"/>
        <v>0</v>
      </c>
      <c r="HM27" s="274">
        <f>+HM8+HM9+HM10+HM11+HM13+HM14+HM22+HM23+HM15+HM26</f>
        <v>0</v>
      </c>
      <c r="HN27" s="274">
        <f t="shared" si="49"/>
        <v>0</v>
      </c>
      <c r="HO27" s="274">
        <f>+HO8+HO9+HO10+HO11+HO13+HO14+HO22+HO23+HO15+HO26</f>
        <v>0</v>
      </c>
      <c r="HP27" s="274">
        <f t="shared" si="49"/>
        <v>0</v>
      </c>
      <c r="HQ27" s="274">
        <f>+HQ8+HQ9+HQ10+HQ11+HQ13+HQ14+HQ22+HQ23+HQ15+HQ26</f>
        <v>0</v>
      </c>
      <c r="HR27" s="274">
        <f t="shared" si="49"/>
        <v>0</v>
      </c>
      <c r="HS27" s="274">
        <f>+HS8+HS9+HS10+HS11+HS13+HS14+HS22+HS23+HS15+HS26</f>
        <v>0</v>
      </c>
      <c r="HT27" s="274">
        <f t="shared" si="49"/>
        <v>0</v>
      </c>
      <c r="HU27" s="274">
        <f>+HU8+HU9+HU10+HU11+HU13+HU14+HU22+HU23+HU15+HU26</f>
        <v>0</v>
      </c>
      <c r="HV27" s="274">
        <f t="shared" si="49"/>
        <v>0</v>
      </c>
      <c r="HW27" s="274">
        <f>+HW8+HW9+HW10+HW11+HW13+HW14+HW22+HW23+HW15+HW26</f>
        <v>0</v>
      </c>
      <c r="HX27" s="274">
        <f t="shared" ref="HX27:HY27" si="50">+HX8+HX9+HX10+HX11+HX13+HX14+HX22+HX23+HX15+HX26</f>
        <v>0</v>
      </c>
      <c r="HY27" s="274">
        <f t="shared" si="50"/>
        <v>45291000</v>
      </c>
      <c r="HZ27" s="274">
        <f t="shared" ref="HZ27:IA27" si="51">+HZ8+HZ9+HZ10+HZ11+HZ13+HZ14+HZ22+HZ23+HZ15+HZ26</f>
        <v>0</v>
      </c>
      <c r="IA27" s="274">
        <f t="shared" si="51"/>
        <v>4787050</v>
      </c>
      <c r="IB27" s="274">
        <f>+IB8+IB9+IB10+IB11+IB13+IB14+IB22+IB23+IB15+IB26</f>
        <v>0</v>
      </c>
      <c r="IC27" s="274">
        <f>+IC8+IC9+IC10+IC11+IC13+IC14+IC22+IC23+IC15+IC26</f>
        <v>0</v>
      </c>
      <c r="ID27" s="957">
        <f t="shared" si="9"/>
        <v>8146831387</v>
      </c>
      <c r="IE27" s="957">
        <f t="shared" si="1"/>
        <v>10434126889</v>
      </c>
      <c r="IF27" s="258">
        <f t="shared" si="2"/>
        <v>370488507</v>
      </c>
      <c r="IG27" s="258">
        <f t="shared" si="3"/>
        <v>527470541</v>
      </c>
    </row>
    <row r="28" spans="1:241" s="260" customFormat="1" ht="21.75" customHeight="1" x14ac:dyDescent="0.3">
      <c r="A28" s="253" t="s">
        <v>260</v>
      </c>
      <c r="B28" s="269" t="s">
        <v>33</v>
      </c>
      <c r="C28" s="255"/>
      <c r="D28" s="274">
        <f t="shared" ref="D28:AI28" si="52">+D16+D17+D18+D24+D25</f>
        <v>35400000</v>
      </c>
      <c r="E28" s="274">
        <f t="shared" si="52"/>
        <v>180397586</v>
      </c>
      <c r="F28" s="274">
        <f t="shared" si="52"/>
        <v>52000000</v>
      </c>
      <c r="G28" s="274">
        <f t="shared" si="52"/>
        <v>71964063</v>
      </c>
      <c r="H28" s="274">
        <f t="shared" si="52"/>
        <v>0</v>
      </c>
      <c r="I28" s="274">
        <f t="shared" si="52"/>
        <v>0</v>
      </c>
      <c r="J28" s="274">
        <f t="shared" si="52"/>
        <v>0</v>
      </c>
      <c r="K28" s="274">
        <f t="shared" si="52"/>
        <v>2726182</v>
      </c>
      <c r="L28" s="274">
        <f t="shared" si="52"/>
        <v>12477750</v>
      </c>
      <c r="M28" s="274">
        <f t="shared" si="52"/>
        <v>21585750</v>
      </c>
      <c r="N28" s="274">
        <f t="shared" si="52"/>
        <v>0</v>
      </c>
      <c r="O28" s="274">
        <f t="shared" si="52"/>
        <v>4592320</v>
      </c>
      <c r="P28" s="274">
        <f t="shared" si="52"/>
        <v>52908293</v>
      </c>
      <c r="Q28" s="274">
        <f t="shared" si="52"/>
        <v>165708220</v>
      </c>
      <c r="R28" s="274">
        <f t="shared" si="52"/>
        <v>0</v>
      </c>
      <c r="S28" s="274">
        <f t="shared" si="52"/>
        <v>14890267</v>
      </c>
      <c r="T28" s="274">
        <f t="shared" si="52"/>
        <v>0</v>
      </c>
      <c r="U28" s="274">
        <f t="shared" si="52"/>
        <v>0</v>
      </c>
      <c r="V28" s="274">
        <f t="shared" si="52"/>
        <v>0</v>
      </c>
      <c r="W28" s="274">
        <f t="shared" si="52"/>
        <v>0</v>
      </c>
      <c r="X28" s="274">
        <f t="shared" si="52"/>
        <v>2000000</v>
      </c>
      <c r="Y28" s="274">
        <f t="shared" si="52"/>
        <v>2968750</v>
      </c>
      <c r="Z28" s="274">
        <f t="shared" si="52"/>
        <v>0</v>
      </c>
      <c r="AA28" s="274">
        <f t="shared" si="52"/>
        <v>0</v>
      </c>
      <c r="AB28" s="274">
        <f t="shared" si="52"/>
        <v>0</v>
      </c>
      <c r="AC28" s="274">
        <f t="shared" si="52"/>
        <v>0</v>
      </c>
      <c r="AD28" s="274">
        <f t="shared" si="52"/>
        <v>0</v>
      </c>
      <c r="AE28" s="274">
        <f t="shared" si="52"/>
        <v>0</v>
      </c>
      <c r="AF28" s="274">
        <f t="shared" si="52"/>
        <v>9079528</v>
      </c>
      <c r="AG28" s="274">
        <f t="shared" si="52"/>
        <v>11908619</v>
      </c>
      <c r="AH28" s="274">
        <f t="shared" si="52"/>
        <v>0</v>
      </c>
      <c r="AI28" s="274">
        <f t="shared" si="52"/>
        <v>0</v>
      </c>
      <c r="AJ28" s="274">
        <f t="shared" ref="AJ28:BO28" si="53">+AJ16+AJ17+AJ18+AJ24+AJ25</f>
        <v>889000</v>
      </c>
      <c r="AK28" s="274">
        <f t="shared" si="53"/>
        <v>489000</v>
      </c>
      <c r="AL28" s="274">
        <f t="shared" si="53"/>
        <v>127000</v>
      </c>
      <c r="AM28" s="274">
        <f t="shared" si="53"/>
        <v>127000</v>
      </c>
      <c r="AN28" s="274">
        <f t="shared" si="53"/>
        <v>0</v>
      </c>
      <c r="AO28" s="274">
        <f t="shared" si="53"/>
        <v>0</v>
      </c>
      <c r="AP28" s="274">
        <f t="shared" si="53"/>
        <v>0</v>
      </c>
      <c r="AQ28" s="274">
        <f t="shared" si="53"/>
        <v>0</v>
      </c>
      <c r="AR28" s="274">
        <f t="shared" si="53"/>
        <v>0</v>
      </c>
      <c r="AS28" s="274">
        <f t="shared" si="53"/>
        <v>0</v>
      </c>
      <c r="AT28" s="274">
        <f t="shared" si="53"/>
        <v>0</v>
      </c>
      <c r="AU28" s="274">
        <f t="shared" si="53"/>
        <v>0</v>
      </c>
      <c r="AV28" s="274">
        <f t="shared" si="53"/>
        <v>0</v>
      </c>
      <c r="AW28" s="274">
        <f t="shared" si="53"/>
        <v>0</v>
      </c>
      <c r="AX28" s="274">
        <f t="shared" si="53"/>
        <v>0</v>
      </c>
      <c r="AY28" s="274">
        <f t="shared" si="53"/>
        <v>0</v>
      </c>
      <c r="AZ28" s="274">
        <f t="shared" si="53"/>
        <v>0</v>
      </c>
      <c r="BA28" s="274">
        <f t="shared" si="53"/>
        <v>0</v>
      </c>
      <c r="BB28" s="274">
        <f t="shared" si="53"/>
        <v>0</v>
      </c>
      <c r="BC28" s="274">
        <f t="shared" si="53"/>
        <v>0</v>
      </c>
      <c r="BD28" s="274">
        <f t="shared" si="53"/>
        <v>0</v>
      </c>
      <c r="BE28" s="274">
        <f t="shared" si="53"/>
        <v>1851025</v>
      </c>
      <c r="BF28" s="274">
        <f t="shared" si="53"/>
        <v>0</v>
      </c>
      <c r="BG28" s="274">
        <f t="shared" si="53"/>
        <v>0</v>
      </c>
      <c r="BH28" s="274">
        <f t="shared" si="53"/>
        <v>0</v>
      </c>
      <c r="BI28" s="274">
        <f t="shared" si="53"/>
        <v>0</v>
      </c>
      <c r="BJ28" s="274">
        <f t="shared" si="53"/>
        <v>1000000</v>
      </c>
      <c r="BK28" s="274">
        <f t="shared" si="53"/>
        <v>769608</v>
      </c>
      <c r="BL28" s="274">
        <f t="shared" si="53"/>
        <v>0</v>
      </c>
      <c r="BM28" s="274">
        <f t="shared" si="53"/>
        <v>0</v>
      </c>
      <c r="BN28" s="274">
        <f t="shared" si="53"/>
        <v>0</v>
      </c>
      <c r="BO28" s="274">
        <f t="shared" si="53"/>
        <v>0</v>
      </c>
      <c r="BP28" s="274">
        <f t="shared" ref="BP28:CU28" si="54">+BP16+BP17+BP18+BP24+BP25</f>
        <v>0</v>
      </c>
      <c r="BQ28" s="274">
        <f t="shared" si="54"/>
        <v>19350000</v>
      </c>
      <c r="BR28" s="274">
        <f t="shared" si="54"/>
        <v>0</v>
      </c>
      <c r="BS28" s="274">
        <f t="shared" si="54"/>
        <v>0</v>
      </c>
      <c r="BT28" s="274">
        <f t="shared" si="54"/>
        <v>0</v>
      </c>
      <c r="BU28" s="274">
        <f t="shared" si="54"/>
        <v>0</v>
      </c>
      <c r="BV28" s="274">
        <f t="shared" si="54"/>
        <v>0</v>
      </c>
      <c r="BW28" s="274">
        <f t="shared" si="54"/>
        <v>1054608</v>
      </c>
      <c r="BX28" s="274">
        <f t="shared" si="54"/>
        <v>1409700</v>
      </c>
      <c r="BY28" s="274">
        <f t="shared" si="54"/>
        <v>11409700</v>
      </c>
      <c r="BZ28" s="274">
        <f t="shared" si="54"/>
        <v>254000</v>
      </c>
      <c r="CA28" s="274">
        <f t="shared" si="54"/>
        <v>381000</v>
      </c>
      <c r="CB28" s="274">
        <f t="shared" si="54"/>
        <v>0</v>
      </c>
      <c r="CC28" s="274">
        <f t="shared" si="54"/>
        <v>0</v>
      </c>
      <c r="CD28" s="274">
        <f t="shared" si="54"/>
        <v>0</v>
      </c>
      <c r="CE28" s="274">
        <f t="shared" si="54"/>
        <v>0</v>
      </c>
      <c r="CF28" s="274">
        <f t="shared" si="54"/>
        <v>8172450</v>
      </c>
      <c r="CG28" s="274">
        <f t="shared" si="54"/>
        <v>8362950</v>
      </c>
      <c r="CH28" s="274">
        <f t="shared" si="54"/>
        <v>0</v>
      </c>
      <c r="CI28" s="274">
        <f t="shared" si="54"/>
        <v>0</v>
      </c>
      <c r="CJ28" s="274">
        <f t="shared" si="54"/>
        <v>0</v>
      </c>
      <c r="CK28" s="274">
        <f t="shared" si="54"/>
        <v>0</v>
      </c>
      <c r="CL28" s="274">
        <f t="shared" si="54"/>
        <v>0</v>
      </c>
      <c r="CM28" s="274">
        <f t="shared" si="54"/>
        <v>0</v>
      </c>
      <c r="CN28" s="274">
        <f t="shared" si="54"/>
        <v>0</v>
      </c>
      <c r="CO28" s="274">
        <f t="shared" si="54"/>
        <v>0</v>
      </c>
      <c r="CP28" s="274">
        <f t="shared" si="54"/>
        <v>6000000</v>
      </c>
      <c r="CQ28" s="274">
        <f t="shared" si="54"/>
        <v>15159000</v>
      </c>
      <c r="CR28" s="274">
        <f t="shared" si="54"/>
        <v>0</v>
      </c>
      <c r="CS28" s="274">
        <f t="shared" si="54"/>
        <v>76200</v>
      </c>
      <c r="CT28" s="274">
        <f t="shared" si="54"/>
        <v>0</v>
      </c>
      <c r="CU28" s="274">
        <f t="shared" si="54"/>
        <v>3276476</v>
      </c>
      <c r="CV28" s="274">
        <f t="shared" ref="CV28:EC28" si="55">+CV16+CV17+CV18+CV24+CV25</f>
        <v>0</v>
      </c>
      <c r="CW28" s="274">
        <f t="shared" si="55"/>
        <v>0</v>
      </c>
      <c r="CX28" s="274">
        <f t="shared" ref="CX28:CY28" si="56">+CX16+CX17+CX18+CX24+CX25</f>
        <v>0</v>
      </c>
      <c r="CY28" s="274">
        <f t="shared" si="56"/>
        <v>0</v>
      </c>
      <c r="CZ28" s="274">
        <f t="shared" si="55"/>
        <v>635000</v>
      </c>
      <c r="DA28" s="274">
        <f t="shared" si="55"/>
        <v>1249045</v>
      </c>
      <c r="DB28" s="274">
        <f t="shared" si="55"/>
        <v>4699000</v>
      </c>
      <c r="DC28" s="274">
        <f t="shared" si="55"/>
        <v>5903595</v>
      </c>
      <c r="DD28" s="274">
        <f t="shared" si="55"/>
        <v>0</v>
      </c>
      <c r="DE28" s="274">
        <f t="shared" si="55"/>
        <v>12062800</v>
      </c>
      <c r="DF28" s="274">
        <f t="shared" si="55"/>
        <v>0</v>
      </c>
      <c r="DG28" s="274">
        <f t="shared" si="55"/>
        <v>16990</v>
      </c>
      <c r="DH28" s="274">
        <f t="shared" si="55"/>
        <v>0</v>
      </c>
      <c r="DI28" s="274">
        <f t="shared" si="55"/>
        <v>0</v>
      </c>
      <c r="DJ28" s="274">
        <f t="shared" si="55"/>
        <v>0</v>
      </c>
      <c r="DK28" s="274">
        <f t="shared" si="55"/>
        <v>0</v>
      </c>
      <c r="DL28" s="274">
        <f t="shared" si="55"/>
        <v>25861401</v>
      </c>
      <c r="DM28" s="274">
        <f t="shared" si="55"/>
        <v>27987191</v>
      </c>
      <c r="DN28" s="274">
        <f t="shared" si="55"/>
        <v>0</v>
      </c>
      <c r="DO28" s="274">
        <f t="shared" si="55"/>
        <v>0</v>
      </c>
      <c r="DP28" s="274">
        <f t="shared" si="55"/>
        <v>0</v>
      </c>
      <c r="DQ28" s="274">
        <f t="shared" si="55"/>
        <v>0</v>
      </c>
      <c r="DR28" s="274">
        <f t="shared" si="55"/>
        <v>0</v>
      </c>
      <c r="DS28" s="274">
        <f t="shared" si="55"/>
        <v>0</v>
      </c>
      <c r="DT28" s="274">
        <f t="shared" si="55"/>
        <v>0</v>
      </c>
      <c r="DU28" s="274">
        <f t="shared" si="55"/>
        <v>0</v>
      </c>
      <c r="DV28" s="274">
        <f t="shared" si="55"/>
        <v>0</v>
      </c>
      <c r="DW28" s="274">
        <f t="shared" si="55"/>
        <v>705612</v>
      </c>
      <c r="DX28" s="274">
        <f t="shared" si="55"/>
        <v>0</v>
      </c>
      <c r="DY28" s="274">
        <f t="shared" si="55"/>
        <v>0</v>
      </c>
      <c r="DZ28" s="274">
        <f t="shared" si="55"/>
        <v>0</v>
      </c>
      <c r="EA28" s="274">
        <f t="shared" si="55"/>
        <v>0</v>
      </c>
      <c r="EB28" s="274">
        <f t="shared" si="55"/>
        <v>72650000</v>
      </c>
      <c r="EC28" s="274">
        <f t="shared" si="55"/>
        <v>42279498</v>
      </c>
      <c r="ED28" s="274">
        <f t="shared" ref="ED28:EE28" si="57">+ED16+ED17+ED18+ED24+ED25</f>
        <v>0</v>
      </c>
      <c r="EE28" s="274">
        <f t="shared" si="57"/>
        <v>2499811</v>
      </c>
      <c r="EF28" s="274">
        <f t="shared" ref="EF28:FM28" si="58">+EF16+EF17+EF18+EF24+EF25</f>
        <v>65000000</v>
      </c>
      <c r="EG28" s="274">
        <f t="shared" si="58"/>
        <v>21659800</v>
      </c>
      <c r="EH28" s="274">
        <f t="shared" si="58"/>
        <v>108969369</v>
      </c>
      <c r="EI28" s="274">
        <f t="shared" si="58"/>
        <v>104164047</v>
      </c>
      <c r="EJ28" s="274">
        <f t="shared" ref="EJ28:EK28" si="59">+EJ16+EJ17+EJ18+EJ24+EJ25</f>
        <v>0</v>
      </c>
      <c r="EK28" s="274">
        <f t="shared" si="59"/>
        <v>34621550</v>
      </c>
      <c r="EL28" s="274">
        <f t="shared" si="58"/>
        <v>65000000</v>
      </c>
      <c r="EM28" s="274">
        <f t="shared" si="58"/>
        <v>0</v>
      </c>
      <c r="EN28" s="274">
        <f t="shared" si="58"/>
        <v>0</v>
      </c>
      <c r="EO28" s="274">
        <f t="shared" si="58"/>
        <v>0</v>
      </c>
      <c r="EP28" s="274">
        <f t="shared" si="58"/>
        <v>0</v>
      </c>
      <c r="EQ28" s="274">
        <f t="shared" si="58"/>
        <v>0</v>
      </c>
      <c r="ER28" s="274">
        <f t="shared" si="58"/>
        <v>0</v>
      </c>
      <c r="ES28" s="274">
        <f t="shared" si="58"/>
        <v>0</v>
      </c>
      <c r="ET28" s="274">
        <f t="shared" si="58"/>
        <v>0</v>
      </c>
      <c r="EU28" s="274">
        <f t="shared" si="58"/>
        <v>0</v>
      </c>
      <c r="EV28" s="274">
        <f t="shared" si="58"/>
        <v>0</v>
      </c>
      <c r="EW28" s="274">
        <f t="shared" si="58"/>
        <v>0</v>
      </c>
      <c r="EX28" s="274">
        <f t="shared" si="58"/>
        <v>0</v>
      </c>
      <c r="EY28" s="274">
        <f t="shared" si="58"/>
        <v>0</v>
      </c>
      <c r="EZ28" s="274">
        <f t="shared" si="58"/>
        <v>0</v>
      </c>
      <c r="FA28" s="274">
        <f t="shared" si="58"/>
        <v>0</v>
      </c>
      <c r="FB28" s="274">
        <f t="shared" si="58"/>
        <v>0</v>
      </c>
      <c r="FC28" s="274">
        <f t="shared" si="58"/>
        <v>1892300</v>
      </c>
      <c r="FD28" s="274">
        <f t="shared" si="58"/>
        <v>0</v>
      </c>
      <c r="FE28" s="274">
        <f t="shared" si="58"/>
        <v>0</v>
      </c>
      <c r="FF28" s="274">
        <f t="shared" si="58"/>
        <v>0</v>
      </c>
      <c r="FG28" s="274">
        <f t="shared" si="58"/>
        <v>0</v>
      </c>
      <c r="FH28" s="274">
        <f t="shared" si="58"/>
        <v>0</v>
      </c>
      <c r="FI28" s="274">
        <f t="shared" si="58"/>
        <v>0</v>
      </c>
      <c r="FJ28" s="274">
        <f t="shared" si="58"/>
        <v>0</v>
      </c>
      <c r="FK28" s="274">
        <f t="shared" si="58"/>
        <v>0</v>
      </c>
      <c r="FL28" s="274">
        <f t="shared" si="58"/>
        <v>0</v>
      </c>
      <c r="FM28" s="274">
        <f t="shared" si="58"/>
        <v>0</v>
      </c>
      <c r="FN28" s="274">
        <f t="shared" ref="FN28:GK28" si="60">+FN16+FN17+FN18+FN24+FN25</f>
        <v>58206100</v>
      </c>
      <c r="FO28" s="274">
        <f t="shared" si="60"/>
        <v>76927599</v>
      </c>
      <c r="FP28" s="274">
        <f t="shared" si="60"/>
        <v>0</v>
      </c>
      <c r="FQ28" s="274">
        <f t="shared" si="60"/>
        <v>0</v>
      </c>
      <c r="FR28" s="274">
        <f t="shared" si="60"/>
        <v>0</v>
      </c>
      <c r="FS28" s="274">
        <f t="shared" si="60"/>
        <v>0</v>
      </c>
      <c r="FT28" s="274">
        <f t="shared" si="60"/>
        <v>0</v>
      </c>
      <c r="FU28" s="274">
        <f t="shared" si="60"/>
        <v>0</v>
      </c>
      <c r="FV28" s="274">
        <f t="shared" si="60"/>
        <v>19139399</v>
      </c>
      <c r="FW28" s="274">
        <f t="shared" si="60"/>
        <v>20772450</v>
      </c>
      <c r="FX28" s="274">
        <f t="shared" si="60"/>
        <v>0</v>
      </c>
      <c r="FY28" s="274">
        <f t="shared" si="60"/>
        <v>8172450</v>
      </c>
      <c r="FZ28" s="274">
        <f t="shared" si="60"/>
        <v>0</v>
      </c>
      <c r="GA28" s="274">
        <f t="shared" si="60"/>
        <v>45149285</v>
      </c>
      <c r="GB28" s="274">
        <f t="shared" si="60"/>
        <v>0</v>
      </c>
      <c r="GC28" s="274">
        <f t="shared" si="60"/>
        <v>0</v>
      </c>
      <c r="GD28" s="274">
        <f t="shared" si="60"/>
        <v>0</v>
      </c>
      <c r="GE28" s="274">
        <f t="shared" si="60"/>
        <v>0</v>
      </c>
      <c r="GF28" s="274">
        <f t="shared" si="60"/>
        <v>2593975</v>
      </c>
      <c r="GG28" s="274">
        <f t="shared" si="60"/>
        <v>251296834</v>
      </c>
      <c r="GH28" s="274">
        <f t="shared" si="60"/>
        <v>0</v>
      </c>
      <c r="GI28" s="274">
        <f t="shared" si="60"/>
        <v>226760</v>
      </c>
      <c r="GJ28" s="274">
        <f t="shared" si="60"/>
        <v>0</v>
      </c>
      <c r="GK28" s="274">
        <f t="shared" si="60"/>
        <v>0</v>
      </c>
      <c r="GL28" s="274">
        <f t="shared" ref="GL28:GV28" si="61">+GL16+GL17+GL18+GL24+GL25</f>
        <v>0</v>
      </c>
      <c r="GM28" s="274">
        <f>+GM16+GM17+GM18+GM24+GM25</f>
        <v>0</v>
      </c>
      <c r="GN28" s="274">
        <f t="shared" si="61"/>
        <v>967607895</v>
      </c>
      <c r="GO28" s="274">
        <f>+GO16+GO17+GO18+GO24+GO25</f>
        <v>950027630</v>
      </c>
      <c r="GP28" s="274">
        <f t="shared" si="61"/>
        <v>4338600</v>
      </c>
      <c r="GQ28" s="274">
        <f>+GQ16+GQ17+GQ18+GQ24+GQ25</f>
        <v>106169716</v>
      </c>
      <c r="GR28" s="274">
        <f t="shared" si="61"/>
        <v>0</v>
      </c>
      <c r="GS28" s="274">
        <f>+GS16+GS17+GS18+GS24+GS25</f>
        <v>0</v>
      </c>
      <c r="GT28" s="274">
        <f t="shared" si="61"/>
        <v>0</v>
      </c>
      <c r="GU28" s="274">
        <f>+GU16+GU17+GU18+GU24+GU25</f>
        <v>0</v>
      </c>
      <c r="GV28" s="274">
        <f t="shared" si="61"/>
        <v>0</v>
      </c>
      <c r="GW28" s="274">
        <f t="shared" ref="GW28:HG28" si="62">+GW16+GW17+GW18+GW24+GW25</f>
        <v>0</v>
      </c>
      <c r="GX28" s="274">
        <f t="shared" si="62"/>
        <v>108267649</v>
      </c>
      <c r="GY28" s="274">
        <f t="shared" si="62"/>
        <v>65934339</v>
      </c>
      <c r="GZ28" s="274">
        <f t="shared" si="62"/>
        <v>495300</v>
      </c>
      <c r="HA28" s="274">
        <f t="shared" si="62"/>
        <v>495300</v>
      </c>
      <c r="HB28" s="274">
        <f t="shared" si="62"/>
        <v>0</v>
      </c>
      <c r="HC28" s="274">
        <f t="shared" si="62"/>
        <v>0</v>
      </c>
      <c r="HD28" s="274">
        <f t="shared" si="62"/>
        <v>50000000</v>
      </c>
      <c r="HE28" s="274">
        <f t="shared" si="62"/>
        <v>11212397</v>
      </c>
      <c r="HF28" s="274">
        <f t="shared" si="62"/>
        <v>0</v>
      </c>
      <c r="HG28" s="274">
        <f t="shared" si="62"/>
        <v>17308005</v>
      </c>
      <c r="HH28" s="274">
        <f t="shared" ref="HH28:HV28" si="63">+HH16+HH17+HH18+HH24+HH25</f>
        <v>0</v>
      </c>
      <c r="HI28" s="274">
        <f>+HI16+HI17+HI18+HI24+HI25</f>
        <v>0</v>
      </c>
      <c r="HJ28" s="274">
        <f t="shared" si="63"/>
        <v>0</v>
      </c>
      <c r="HK28" s="274">
        <f>+HK16+HK17+HK18+HK24+HK25</f>
        <v>0</v>
      </c>
      <c r="HL28" s="274">
        <f t="shared" si="63"/>
        <v>0</v>
      </c>
      <c r="HM28" s="274">
        <f>+HM16+HM17+HM18+HM24+HM25</f>
        <v>0</v>
      </c>
      <c r="HN28" s="274">
        <f t="shared" si="63"/>
        <v>0</v>
      </c>
      <c r="HO28" s="274">
        <f>+HO16+HO17+HO18+HO24+HO25</f>
        <v>0</v>
      </c>
      <c r="HP28" s="274">
        <f t="shared" si="63"/>
        <v>0</v>
      </c>
      <c r="HQ28" s="274">
        <f>+HQ16+HQ17+HQ18+HQ24+HQ25</f>
        <v>0</v>
      </c>
      <c r="HR28" s="274">
        <f t="shared" si="63"/>
        <v>0</v>
      </c>
      <c r="HS28" s="274">
        <f>+HS16+HS17+HS18+HS24+HS25</f>
        <v>0</v>
      </c>
      <c r="HT28" s="274">
        <f t="shared" si="63"/>
        <v>0</v>
      </c>
      <c r="HU28" s="274">
        <f>+HU16+HU17+HU18+HU24+HU25</f>
        <v>0</v>
      </c>
      <c r="HV28" s="274">
        <f t="shared" si="63"/>
        <v>0</v>
      </c>
      <c r="HW28" s="274">
        <f>+HW16+HW17+HW18+HW24+HW25</f>
        <v>0</v>
      </c>
      <c r="HX28" s="274">
        <f t="shared" ref="HX28:HY28" si="64">+HX16+HX17+HX18+HX24+HX25</f>
        <v>0</v>
      </c>
      <c r="HY28" s="274">
        <f t="shared" si="64"/>
        <v>354709000</v>
      </c>
      <c r="HZ28" s="274">
        <f t="shared" ref="HZ28:IA28" si="65">+HZ16+HZ17+HZ18+HZ24+HZ25</f>
        <v>0</v>
      </c>
      <c r="IA28" s="274">
        <f t="shared" si="65"/>
        <v>0</v>
      </c>
      <c r="IB28" s="274">
        <f>+IB16+IB17+IB18+IB24+IB25</f>
        <v>0</v>
      </c>
      <c r="IC28" s="274">
        <f>+IC16+IC17+IC18+IC24+IC25</f>
        <v>0</v>
      </c>
      <c r="ID28" s="957">
        <f t="shared" si="9"/>
        <v>1598557059</v>
      </c>
      <c r="IE28" s="957">
        <f t="shared" si="1"/>
        <v>2236657454</v>
      </c>
      <c r="IF28" s="258">
        <f t="shared" si="2"/>
        <v>136624350</v>
      </c>
      <c r="IG28" s="258">
        <f t="shared" si="3"/>
        <v>465834874</v>
      </c>
    </row>
    <row r="29" spans="1:241" s="260" customFormat="1" ht="21.75" customHeight="1" x14ac:dyDescent="0.3">
      <c r="A29" s="253" t="s">
        <v>261</v>
      </c>
      <c r="B29" s="269" t="s">
        <v>327</v>
      </c>
      <c r="C29" s="255" t="s">
        <v>31</v>
      </c>
      <c r="D29" s="274">
        <f t="shared" ref="D29:AI29" si="66">+D27+D28</f>
        <v>35400000</v>
      </c>
      <c r="E29" s="274">
        <f t="shared" si="66"/>
        <v>180397586</v>
      </c>
      <c r="F29" s="274">
        <f t="shared" si="66"/>
        <v>52000000</v>
      </c>
      <c r="G29" s="274">
        <f t="shared" si="66"/>
        <v>71964063</v>
      </c>
      <c r="H29" s="274">
        <f t="shared" si="66"/>
        <v>0</v>
      </c>
      <c r="I29" s="274">
        <f t="shared" si="66"/>
        <v>0</v>
      </c>
      <c r="J29" s="274">
        <f t="shared" si="66"/>
        <v>0</v>
      </c>
      <c r="K29" s="274">
        <f t="shared" si="66"/>
        <v>2726182</v>
      </c>
      <c r="L29" s="274">
        <f t="shared" si="66"/>
        <v>12477750</v>
      </c>
      <c r="M29" s="274">
        <f t="shared" si="66"/>
        <v>26094250</v>
      </c>
      <c r="N29" s="274">
        <f t="shared" si="66"/>
        <v>0</v>
      </c>
      <c r="O29" s="274">
        <f t="shared" si="66"/>
        <v>4592320</v>
      </c>
      <c r="P29" s="274">
        <f t="shared" si="66"/>
        <v>52908293</v>
      </c>
      <c r="Q29" s="274">
        <f t="shared" si="66"/>
        <v>165708220</v>
      </c>
      <c r="R29" s="274">
        <f t="shared" si="66"/>
        <v>0</v>
      </c>
      <c r="S29" s="274">
        <f t="shared" si="66"/>
        <v>14890267</v>
      </c>
      <c r="T29" s="274">
        <f t="shared" si="66"/>
        <v>1000000</v>
      </c>
      <c r="U29" s="274">
        <f t="shared" si="66"/>
        <v>1000000</v>
      </c>
      <c r="V29" s="274">
        <f t="shared" si="66"/>
        <v>12621675</v>
      </c>
      <c r="W29" s="274">
        <f t="shared" si="66"/>
        <v>42846883</v>
      </c>
      <c r="X29" s="274">
        <f t="shared" si="66"/>
        <v>2000000</v>
      </c>
      <c r="Y29" s="274">
        <f t="shared" si="66"/>
        <v>2968750</v>
      </c>
      <c r="Z29" s="274">
        <f t="shared" si="66"/>
        <v>0</v>
      </c>
      <c r="AA29" s="274">
        <f t="shared" si="66"/>
        <v>44450</v>
      </c>
      <c r="AB29" s="274">
        <f t="shared" si="66"/>
        <v>0</v>
      </c>
      <c r="AC29" s="274">
        <f t="shared" si="66"/>
        <v>0</v>
      </c>
      <c r="AD29" s="274">
        <f t="shared" si="66"/>
        <v>0</v>
      </c>
      <c r="AE29" s="274">
        <f t="shared" si="66"/>
        <v>0</v>
      </c>
      <c r="AF29" s="274">
        <f t="shared" si="66"/>
        <v>9079528</v>
      </c>
      <c r="AG29" s="274">
        <f t="shared" si="66"/>
        <v>11908619</v>
      </c>
      <c r="AH29" s="274">
        <f t="shared" si="66"/>
        <v>0</v>
      </c>
      <c r="AI29" s="274">
        <f t="shared" si="66"/>
        <v>0</v>
      </c>
      <c r="AJ29" s="274">
        <f t="shared" ref="AJ29:BO29" si="67">+AJ27+AJ28</f>
        <v>103277966</v>
      </c>
      <c r="AK29" s="274">
        <f t="shared" si="67"/>
        <v>101031564</v>
      </c>
      <c r="AL29" s="274">
        <f t="shared" si="67"/>
        <v>81247796</v>
      </c>
      <c r="AM29" s="274">
        <f t="shared" si="67"/>
        <v>117802286</v>
      </c>
      <c r="AN29" s="274">
        <f t="shared" si="67"/>
        <v>0</v>
      </c>
      <c r="AO29" s="274">
        <f t="shared" si="67"/>
        <v>367792</v>
      </c>
      <c r="AP29" s="274">
        <f t="shared" si="67"/>
        <v>8367845</v>
      </c>
      <c r="AQ29" s="274">
        <f t="shared" si="67"/>
        <v>11522474</v>
      </c>
      <c r="AR29" s="274">
        <f t="shared" si="67"/>
        <v>0</v>
      </c>
      <c r="AS29" s="274">
        <f t="shared" si="67"/>
        <v>0</v>
      </c>
      <c r="AT29" s="274">
        <f t="shared" si="67"/>
        <v>0</v>
      </c>
      <c r="AU29" s="274">
        <f t="shared" si="67"/>
        <v>0</v>
      </c>
      <c r="AV29" s="274">
        <f t="shared" si="67"/>
        <v>31400000</v>
      </c>
      <c r="AW29" s="274">
        <f t="shared" si="67"/>
        <v>31400000</v>
      </c>
      <c r="AX29" s="274">
        <f t="shared" si="67"/>
        <v>10000000</v>
      </c>
      <c r="AY29" s="274">
        <f t="shared" si="67"/>
        <v>12415200</v>
      </c>
      <c r="AZ29" s="274">
        <f t="shared" si="67"/>
        <v>10000000</v>
      </c>
      <c r="BA29" s="274">
        <f t="shared" si="67"/>
        <v>0</v>
      </c>
      <c r="BB29" s="274">
        <f t="shared" si="67"/>
        <v>20000000</v>
      </c>
      <c r="BC29" s="274">
        <f t="shared" si="67"/>
        <v>38141500</v>
      </c>
      <c r="BD29" s="274">
        <f t="shared" si="67"/>
        <v>339193847</v>
      </c>
      <c r="BE29" s="274">
        <f t="shared" si="67"/>
        <v>444104311</v>
      </c>
      <c r="BF29" s="274">
        <f t="shared" si="67"/>
        <v>42085102</v>
      </c>
      <c r="BG29" s="274">
        <f t="shared" si="67"/>
        <v>42934410</v>
      </c>
      <c r="BH29" s="274">
        <f t="shared" si="67"/>
        <v>51500000</v>
      </c>
      <c r="BI29" s="274">
        <f t="shared" si="67"/>
        <v>28951423</v>
      </c>
      <c r="BJ29" s="274">
        <f t="shared" si="67"/>
        <v>6300000</v>
      </c>
      <c r="BK29" s="274">
        <f t="shared" si="67"/>
        <v>13361960</v>
      </c>
      <c r="BL29" s="274">
        <f t="shared" si="67"/>
        <v>220179711</v>
      </c>
      <c r="BM29" s="274">
        <f t="shared" si="67"/>
        <v>245235347</v>
      </c>
      <c r="BN29" s="274">
        <f t="shared" si="67"/>
        <v>104717574</v>
      </c>
      <c r="BO29" s="274">
        <f t="shared" si="67"/>
        <v>118286807</v>
      </c>
      <c r="BP29" s="274">
        <f t="shared" ref="BP29:CU29" si="68">+BP27+BP28</f>
        <v>37590540</v>
      </c>
      <c r="BQ29" s="274">
        <f t="shared" si="68"/>
        <v>61707120</v>
      </c>
      <c r="BR29" s="274">
        <f t="shared" si="68"/>
        <v>6850000</v>
      </c>
      <c r="BS29" s="274">
        <f t="shared" si="68"/>
        <v>6850000</v>
      </c>
      <c r="BT29" s="274">
        <f t="shared" si="68"/>
        <v>21854000</v>
      </c>
      <c r="BU29" s="274">
        <f t="shared" si="68"/>
        <v>21854000</v>
      </c>
      <c r="BV29" s="274">
        <f t="shared" si="68"/>
        <v>10230000</v>
      </c>
      <c r="BW29" s="274">
        <f t="shared" si="68"/>
        <v>11832692</v>
      </c>
      <c r="BX29" s="274">
        <f t="shared" si="68"/>
        <v>21658600</v>
      </c>
      <c r="BY29" s="274">
        <f t="shared" si="68"/>
        <v>56998000</v>
      </c>
      <c r="BZ29" s="274">
        <f t="shared" si="68"/>
        <v>48422470</v>
      </c>
      <c r="CA29" s="274">
        <f t="shared" si="68"/>
        <v>63447436</v>
      </c>
      <c r="CB29" s="274">
        <f t="shared" si="68"/>
        <v>0</v>
      </c>
      <c r="CC29" s="274">
        <f t="shared" si="68"/>
        <v>0</v>
      </c>
      <c r="CD29" s="274">
        <f t="shared" si="68"/>
        <v>2000000</v>
      </c>
      <c r="CE29" s="274">
        <f t="shared" si="68"/>
        <v>2000000</v>
      </c>
      <c r="CF29" s="274">
        <f t="shared" si="68"/>
        <v>8172450</v>
      </c>
      <c r="CG29" s="274">
        <f t="shared" si="68"/>
        <v>8362950</v>
      </c>
      <c r="CH29" s="274">
        <f t="shared" si="68"/>
        <v>0</v>
      </c>
      <c r="CI29" s="274">
        <f t="shared" si="68"/>
        <v>0</v>
      </c>
      <c r="CJ29" s="274">
        <f t="shared" si="68"/>
        <v>3890000</v>
      </c>
      <c r="CK29" s="274">
        <f t="shared" si="68"/>
        <v>3890000</v>
      </c>
      <c r="CL29" s="274">
        <f t="shared" si="68"/>
        <v>20000000</v>
      </c>
      <c r="CM29" s="274">
        <f t="shared" si="68"/>
        <v>14321523</v>
      </c>
      <c r="CN29" s="274">
        <f t="shared" si="68"/>
        <v>18983250</v>
      </c>
      <c r="CO29" s="274">
        <f t="shared" si="68"/>
        <v>17611298</v>
      </c>
      <c r="CP29" s="274">
        <f t="shared" si="68"/>
        <v>56804579</v>
      </c>
      <c r="CQ29" s="274">
        <f t="shared" si="68"/>
        <v>64654559</v>
      </c>
      <c r="CR29" s="274">
        <f t="shared" si="68"/>
        <v>1500000</v>
      </c>
      <c r="CS29" s="274">
        <f t="shared" si="68"/>
        <v>1500000</v>
      </c>
      <c r="CT29" s="274">
        <f t="shared" si="68"/>
        <v>9072550</v>
      </c>
      <c r="CU29" s="274">
        <f t="shared" si="68"/>
        <v>34934327</v>
      </c>
      <c r="CV29" s="274">
        <f t="shared" ref="CV29:EC29" si="69">+CV27+CV28</f>
        <v>1116853</v>
      </c>
      <c r="CW29" s="274">
        <f t="shared" si="69"/>
        <v>2386853</v>
      </c>
      <c r="CX29" s="274">
        <f t="shared" ref="CX29:CY29" si="70">+CX27+CX28</f>
        <v>0</v>
      </c>
      <c r="CY29" s="274">
        <f t="shared" si="70"/>
        <v>4871500</v>
      </c>
      <c r="CZ29" s="274">
        <f t="shared" si="69"/>
        <v>32364660</v>
      </c>
      <c r="DA29" s="274">
        <f t="shared" si="69"/>
        <v>36427614</v>
      </c>
      <c r="DB29" s="274">
        <f t="shared" si="69"/>
        <v>82277346</v>
      </c>
      <c r="DC29" s="274">
        <f t="shared" si="69"/>
        <v>94569177</v>
      </c>
      <c r="DD29" s="274">
        <f t="shared" si="69"/>
        <v>199609000</v>
      </c>
      <c r="DE29" s="274">
        <f t="shared" si="69"/>
        <v>283592573</v>
      </c>
      <c r="DF29" s="274">
        <f t="shared" si="69"/>
        <v>37918000</v>
      </c>
      <c r="DG29" s="274">
        <f t="shared" si="69"/>
        <v>38154426</v>
      </c>
      <c r="DH29" s="274">
        <f t="shared" si="69"/>
        <v>70050000</v>
      </c>
      <c r="DI29" s="274">
        <f t="shared" si="69"/>
        <v>92121005</v>
      </c>
      <c r="DJ29" s="274">
        <f t="shared" si="69"/>
        <v>15000000</v>
      </c>
      <c r="DK29" s="274">
        <f t="shared" si="69"/>
        <v>19443567</v>
      </c>
      <c r="DL29" s="274">
        <f t="shared" si="69"/>
        <v>143469269</v>
      </c>
      <c r="DM29" s="274">
        <f t="shared" si="69"/>
        <v>181492312</v>
      </c>
      <c r="DN29" s="274">
        <f t="shared" si="69"/>
        <v>0</v>
      </c>
      <c r="DO29" s="274">
        <f t="shared" si="69"/>
        <v>0</v>
      </c>
      <c r="DP29" s="274">
        <f t="shared" si="69"/>
        <v>24000000</v>
      </c>
      <c r="DQ29" s="274">
        <f t="shared" si="69"/>
        <v>24000000</v>
      </c>
      <c r="DR29" s="274">
        <f t="shared" si="69"/>
        <v>2800000</v>
      </c>
      <c r="DS29" s="274">
        <f t="shared" si="69"/>
        <v>4795647</v>
      </c>
      <c r="DT29" s="274">
        <f t="shared" si="69"/>
        <v>800000</v>
      </c>
      <c r="DU29" s="274">
        <f t="shared" si="69"/>
        <v>800000</v>
      </c>
      <c r="DV29" s="274">
        <f t="shared" si="69"/>
        <v>4880010</v>
      </c>
      <c r="DW29" s="274">
        <f t="shared" si="69"/>
        <v>5745622</v>
      </c>
      <c r="DX29" s="274">
        <f t="shared" si="69"/>
        <v>0</v>
      </c>
      <c r="DY29" s="274">
        <f t="shared" si="69"/>
        <v>0</v>
      </c>
      <c r="DZ29" s="274">
        <f t="shared" si="69"/>
        <v>0</v>
      </c>
      <c r="EA29" s="274">
        <f t="shared" si="69"/>
        <v>0</v>
      </c>
      <c r="EB29" s="274">
        <f t="shared" si="69"/>
        <v>72650000</v>
      </c>
      <c r="EC29" s="274">
        <f t="shared" si="69"/>
        <v>43230927</v>
      </c>
      <c r="ED29" s="274">
        <f t="shared" ref="ED29:EE29" si="71">+ED27+ED28</f>
        <v>0</v>
      </c>
      <c r="EE29" s="274">
        <f t="shared" si="71"/>
        <v>3174760</v>
      </c>
      <c r="EF29" s="274">
        <f t="shared" ref="EF29:FM29" si="72">+EF27+EF28</f>
        <v>65000000</v>
      </c>
      <c r="EG29" s="274">
        <f t="shared" si="72"/>
        <v>21659800</v>
      </c>
      <c r="EH29" s="274">
        <f t="shared" si="72"/>
        <v>108969369</v>
      </c>
      <c r="EI29" s="274">
        <f t="shared" si="72"/>
        <v>104164047</v>
      </c>
      <c r="EJ29" s="274">
        <f t="shared" ref="EJ29:EK29" si="73">+EJ27+EJ28</f>
        <v>0</v>
      </c>
      <c r="EK29" s="274">
        <f t="shared" si="73"/>
        <v>43969369</v>
      </c>
      <c r="EL29" s="274">
        <f t="shared" si="72"/>
        <v>65000000</v>
      </c>
      <c r="EM29" s="274">
        <f t="shared" si="72"/>
        <v>0</v>
      </c>
      <c r="EN29" s="274">
        <f t="shared" si="72"/>
        <v>4550000</v>
      </c>
      <c r="EO29" s="274">
        <f t="shared" si="72"/>
        <v>4550000</v>
      </c>
      <c r="EP29" s="274">
        <f t="shared" si="72"/>
        <v>2947461</v>
      </c>
      <c r="EQ29" s="274">
        <f t="shared" si="72"/>
        <v>3392617</v>
      </c>
      <c r="ER29" s="274">
        <f t="shared" si="72"/>
        <v>7710835</v>
      </c>
      <c r="ES29" s="274">
        <f t="shared" si="72"/>
        <v>7710835</v>
      </c>
      <c r="ET29" s="274">
        <f t="shared" si="72"/>
        <v>1000000</v>
      </c>
      <c r="EU29" s="274">
        <f t="shared" si="72"/>
        <v>1000000</v>
      </c>
      <c r="EV29" s="274">
        <f t="shared" si="72"/>
        <v>7400000</v>
      </c>
      <c r="EW29" s="274">
        <f t="shared" si="72"/>
        <v>7400000</v>
      </c>
      <c r="EX29" s="274">
        <f t="shared" si="72"/>
        <v>5720000</v>
      </c>
      <c r="EY29" s="274">
        <f t="shared" si="72"/>
        <v>5720000</v>
      </c>
      <c r="EZ29" s="274">
        <f t="shared" si="72"/>
        <v>5437000</v>
      </c>
      <c r="FA29" s="274">
        <f t="shared" si="72"/>
        <v>5437000</v>
      </c>
      <c r="FB29" s="274">
        <f t="shared" si="72"/>
        <v>0</v>
      </c>
      <c r="FC29" s="274">
        <f t="shared" si="72"/>
        <v>1892300</v>
      </c>
      <c r="FD29" s="274">
        <f t="shared" si="72"/>
        <v>0</v>
      </c>
      <c r="FE29" s="274">
        <f t="shared" si="72"/>
        <v>0</v>
      </c>
      <c r="FF29" s="274">
        <f t="shared" si="72"/>
        <v>0</v>
      </c>
      <c r="FG29" s="274">
        <f t="shared" si="72"/>
        <v>0</v>
      </c>
      <c r="FH29" s="274">
        <f t="shared" si="72"/>
        <v>0</v>
      </c>
      <c r="FI29" s="274">
        <f t="shared" si="72"/>
        <v>0</v>
      </c>
      <c r="FJ29" s="274">
        <f t="shared" si="72"/>
        <v>0</v>
      </c>
      <c r="FK29" s="274">
        <f t="shared" si="72"/>
        <v>0</v>
      </c>
      <c r="FL29" s="274">
        <f t="shared" si="72"/>
        <v>1023175490</v>
      </c>
      <c r="FM29" s="274">
        <f t="shared" si="72"/>
        <v>2462142663</v>
      </c>
      <c r="FN29" s="274">
        <f t="shared" ref="FN29:GK29" si="74">+FN27+FN28</f>
        <v>4349592948</v>
      </c>
      <c r="FO29" s="274">
        <f t="shared" si="74"/>
        <v>4556860214</v>
      </c>
      <c r="FP29" s="274">
        <f t="shared" si="74"/>
        <v>0</v>
      </c>
      <c r="FQ29" s="274">
        <f t="shared" si="74"/>
        <v>0</v>
      </c>
      <c r="FR29" s="274">
        <f t="shared" si="74"/>
        <v>5030333</v>
      </c>
      <c r="FS29" s="274">
        <f t="shared" si="74"/>
        <v>23427806</v>
      </c>
      <c r="FT29" s="274">
        <f t="shared" si="74"/>
        <v>22336777</v>
      </c>
      <c r="FU29" s="274">
        <f t="shared" si="74"/>
        <v>53567470</v>
      </c>
      <c r="FV29" s="274">
        <f t="shared" si="74"/>
        <v>19139399</v>
      </c>
      <c r="FW29" s="274">
        <f t="shared" si="74"/>
        <v>20772450</v>
      </c>
      <c r="FX29" s="274">
        <f t="shared" si="74"/>
        <v>0</v>
      </c>
      <c r="FY29" s="274">
        <f t="shared" si="74"/>
        <v>8172450</v>
      </c>
      <c r="FZ29" s="274">
        <f t="shared" si="74"/>
        <v>0</v>
      </c>
      <c r="GA29" s="274">
        <f t="shared" si="74"/>
        <v>45149285</v>
      </c>
      <c r="GB29" s="274">
        <f t="shared" si="74"/>
        <v>0</v>
      </c>
      <c r="GC29" s="274">
        <f t="shared" si="74"/>
        <v>0</v>
      </c>
      <c r="GD29" s="274">
        <f t="shared" si="74"/>
        <v>468634</v>
      </c>
      <c r="GE29" s="274">
        <f t="shared" si="74"/>
        <v>468634</v>
      </c>
      <c r="GF29" s="274">
        <f t="shared" si="74"/>
        <v>2593975</v>
      </c>
      <c r="GG29" s="274">
        <f t="shared" si="74"/>
        <v>252147734</v>
      </c>
      <c r="GH29" s="274">
        <f t="shared" si="74"/>
        <v>5000000</v>
      </c>
      <c r="GI29" s="274">
        <f t="shared" si="74"/>
        <v>8702502</v>
      </c>
      <c r="GJ29" s="274">
        <f t="shared" si="74"/>
        <v>1258998974</v>
      </c>
      <c r="GK29" s="274">
        <f t="shared" si="74"/>
        <v>1258998974</v>
      </c>
      <c r="GL29" s="274">
        <f t="shared" ref="GL29:GV29" si="75">+GL27+GL28</f>
        <v>2000000</v>
      </c>
      <c r="GM29" s="274">
        <f>+GM27+GM28</f>
        <v>2000000</v>
      </c>
      <c r="GN29" s="274">
        <f t="shared" si="75"/>
        <v>967607895</v>
      </c>
      <c r="GO29" s="274">
        <f>+GO27+GO28</f>
        <v>1187505047</v>
      </c>
      <c r="GP29" s="274">
        <f t="shared" si="75"/>
        <v>4338600</v>
      </c>
      <c r="GQ29" s="274">
        <f>+GQ27+GQ28</f>
        <v>112589095</v>
      </c>
      <c r="GR29" s="274">
        <f t="shared" si="75"/>
        <v>0</v>
      </c>
      <c r="GS29" s="274">
        <f>+GS27+GS28</f>
        <v>0</v>
      </c>
      <c r="GT29" s="274">
        <f t="shared" si="75"/>
        <v>0</v>
      </c>
      <c r="GU29" s="274">
        <f>+GU27+GU28</f>
        <v>0</v>
      </c>
      <c r="GV29" s="274">
        <f t="shared" si="75"/>
        <v>0</v>
      </c>
      <c r="GW29" s="274">
        <f t="shared" ref="GW29:HG29" si="76">+GW27+GW28</f>
        <v>0</v>
      </c>
      <c r="GX29" s="274">
        <f t="shared" si="76"/>
        <v>108267649</v>
      </c>
      <c r="GY29" s="274">
        <f t="shared" si="76"/>
        <v>88951871</v>
      </c>
      <c r="GZ29" s="274">
        <f t="shared" si="76"/>
        <v>495300</v>
      </c>
      <c r="HA29" s="274">
        <f t="shared" si="76"/>
        <v>495300</v>
      </c>
      <c r="HB29" s="274">
        <f t="shared" si="76"/>
        <v>0</v>
      </c>
      <c r="HC29" s="274">
        <f t="shared" si="76"/>
        <v>0</v>
      </c>
      <c r="HD29" s="274">
        <f t="shared" si="76"/>
        <v>50000000</v>
      </c>
      <c r="HE29" s="274">
        <f t="shared" si="76"/>
        <v>16619873</v>
      </c>
      <c r="HF29" s="274">
        <f t="shared" si="76"/>
        <v>0</v>
      </c>
      <c r="HG29" s="274">
        <f t="shared" si="76"/>
        <v>18368820</v>
      </c>
      <c r="HH29" s="274">
        <f t="shared" ref="HH29:HV29" si="77">+HH27+HH28</f>
        <v>0</v>
      </c>
      <c r="HI29" s="274">
        <f>+HI27+HI28</f>
        <v>0</v>
      </c>
      <c r="HJ29" s="274">
        <f t="shared" si="77"/>
        <v>0</v>
      </c>
      <c r="HK29" s="274">
        <f>+HK27+HK28</f>
        <v>0</v>
      </c>
      <c r="HL29" s="274">
        <f t="shared" si="77"/>
        <v>0</v>
      </c>
      <c r="HM29" s="274">
        <f>+HM27+HM28</f>
        <v>0</v>
      </c>
      <c r="HN29" s="274">
        <f t="shared" si="77"/>
        <v>0</v>
      </c>
      <c r="HO29" s="274">
        <f>+HO27+HO28</f>
        <v>0</v>
      </c>
      <c r="HP29" s="274">
        <f t="shared" si="77"/>
        <v>0</v>
      </c>
      <c r="HQ29" s="274">
        <f>+HQ27+HQ28</f>
        <v>0</v>
      </c>
      <c r="HR29" s="274">
        <f t="shared" si="77"/>
        <v>0</v>
      </c>
      <c r="HS29" s="274">
        <f>+HS27+HS28</f>
        <v>0</v>
      </c>
      <c r="HT29" s="274">
        <f t="shared" si="77"/>
        <v>0</v>
      </c>
      <c r="HU29" s="274">
        <f>+HU27+HU28</f>
        <v>0</v>
      </c>
      <c r="HV29" s="274">
        <f t="shared" si="77"/>
        <v>0</v>
      </c>
      <c r="HW29" s="274">
        <f>+HW27+HW28</f>
        <v>0</v>
      </c>
      <c r="HX29" s="274">
        <f t="shared" ref="HX29:HY29" si="78">+HX27+HX28</f>
        <v>0</v>
      </c>
      <c r="HY29" s="274">
        <f t="shared" si="78"/>
        <v>400000000</v>
      </c>
      <c r="HZ29" s="274">
        <f t="shared" ref="HZ29:IA29" si="79">+HZ27+HZ28</f>
        <v>0</v>
      </c>
      <c r="IA29" s="274">
        <f t="shared" si="79"/>
        <v>4787050</v>
      </c>
      <c r="IB29" s="274">
        <f>+IB27+IB28</f>
        <v>0</v>
      </c>
      <c r="IC29" s="274">
        <f>+IC27+IC28</f>
        <v>0</v>
      </c>
      <c r="ID29" s="957">
        <f t="shared" si="9"/>
        <v>9745388446</v>
      </c>
      <c r="IE29" s="957">
        <f t="shared" si="1"/>
        <v>12670784343</v>
      </c>
      <c r="IF29" s="258">
        <f t="shared" si="2"/>
        <v>507112857</v>
      </c>
      <c r="IG29" s="258">
        <f t="shared" si="3"/>
        <v>993305415</v>
      </c>
    </row>
    <row r="30" spans="1:241" ht="21.75" customHeight="1" x14ac:dyDescent="0.3">
      <c r="A30" s="253" t="s">
        <v>262</v>
      </c>
      <c r="B30" s="259" t="s">
        <v>52</v>
      </c>
      <c r="C30" s="266" t="s">
        <v>209</v>
      </c>
      <c r="D30" s="297"/>
      <c r="E30" s="297"/>
      <c r="F30" s="297"/>
      <c r="G30" s="297"/>
      <c r="H30" s="297"/>
      <c r="I30" s="297"/>
      <c r="J30" s="297"/>
      <c r="K30" s="297"/>
      <c r="L30" s="297"/>
      <c r="M30" s="297"/>
      <c r="N30" s="297"/>
      <c r="O30" s="297"/>
      <c r="P30" s="297"/>
      <c r="Q30" s="297"/>
      <c r="R30" s="297"/>
      <c r="S30" s="297"/>
      <c r="T30" s="286"/>
      <c r="U30" s="286"/>
      <c r="V30" s="286"/>
      <c r="W30" s="286"/>
      <c r="X30" s="286"/>
      <c r="Y30" s="286"/>
      <c r="Z30" s="286"/>
      <c r="AA30" s="286"/>
      <c r="AB30" s="286"/>
      <c r="AC30" s="286">
        <f>111988899+1484000</f>
        <v>113472899</v>
      </c>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86"/>
      <c r="CA30" s="286"/>
      <c r="CB30" s="286"/>
      <c r="CC30" s="286"/>
      <c r="CD30" s="286"/>
      <c r="CE30" s="286"/>
      <c r="CF30" s="286"/>
      <c r="CG30" s="286"/>
      <c r="CH30" s="286"/>
      <c r="CI30" s="286"/>
      <c r="CJ30" s="286"/>
      <c r="CK30" s="286"/>
      <c r="CL30" s="286"/>
      <c r="CM30" s="286"/>
      <c r="CN30" s="286"/>
      <c r="CO30" s="286"/>
      <c r="CP30" s="286"/>
      <c r="CQ30" s="286"/>
      <c r="CR30" s="286"/>
      <c r="CS30" s="286"/>
      <c r="CT30" s="286"/>
      <c r="CU30" s="286"/>
      <c r="CV30" s="286"/>
      <c r="CW30" s="286"/>
      <c r="CX30" s="286"/>
      <c r="CY30" s="286"/>
      <c r="CZ30" s="286"/>
      <c r="DA30" s="286"/>
      <c r="DB30" s="286"/>
      <c r="DC30" s="286"/>
      <c r="DD30" s="286"/>
      <c r="DE30" s="286"/>
      <c r="DF30" s="286"/>
      <c r="DG30" s="286"/>
      <c r="DH30" s="286"/>
      <c r="DI30" s="286"/>
      <c r="DJ30" s="286"/>
      <c r="DK30" s="286"/>
      <c r="DL30" s="286"/>
      <c r="DM30" s="286"/>
      <c r="DN30" s="286"/>
      <c r="DO30" s="286"/>
      <c r="DP30" s="286"/>
      <c r="DQ30" s="286"/>
      <c r="DR30" s="286"/>
      <c r="DS30" s="286"/>
      <c r="DT30" s="286"/>
      <c r="DU30" s="286"/>
      <c r="DV30" s="286"/>
      <c r="DW30" s="286"/>
      <c r="DX30" s="286"/>
      <c r="DY30" s="286"/>
      <c r="DZ30" s="286"/>
      <c r="EA30" s="286"/>
      <c r="EB30" s="286"/>
      <c r="EC30" s="286"/>
      <c r="ED30" s="286"/>
      <c r="EE30" s="286"/>
      <c r="EF30" s="286"/>
      <c r="EG30" s="286"/>
      <c r="EH30" s="286"/>
      <c r="EI30" s="286"/>
      <c r="EJ30" s="286"/>
      <c r="EK30" s="286"/>
      <c r="EL30" s="286"/>
      <c r="EM30" s="286"/>
      <c r="EN30" s="286"/>
      <c r="EO30" s="286"/>
      <c r="EP30" s="286"/>
      <c r="EQ30" s="286"/>
      <c r="ER30" s="286"/>
      <c r="ES30" s="286"/>
      <c r="ET30" s="286"/>
      <c r="EU30" s="286"/>
      <c r="EV30" s="286"/>
      <c r="EW30" s="286"/>
      <c r="EX30" s="286"/>
      <c r="EY30" s="286"/>
      <c r="EZ30" s="286"/>
      <c r="FA30" s="286"/>
      <c r="FB30" s="286"/>
      <c r="FC30" s="286"/>
      <c r="FD30" s="286"/>
      <c r="FE30" s="286"/>
      <c r="FF30" s="286"/>
      <c r="FG30" s="286"/>
      <c r="FH30" s="286"/>
      <c r="FI30" s="286"/>
      <c r="FJ30" s="286"/>
      <c r="FK30" s="286"/>
      <c r="FL30" s="286"/>
      <c r="FM30" s="286"/>
      <c r="FN30" s="286"/>
      <c r="FO30" s="286"/>
      <c r="FP30" s="286"/>
      <c r="FQ30" s="286"/>
      <c r="FR30" s="286"/>
      <c r="FS30" s="286"/>
      <c r="FT30" s="286"/>
      <c r="FU30" s="286"/>
      <c r="FV30" s="286"/>
      <c r="FW30" s="286"/>
      <c r="FX30" s="286"/>
      <c r="FY30" s="286"/>
      <c r="FZ30" s="286"/>
      <c r="GA30" s="286"/>
      <c r="GB30" s="286"/>
      <c r="GC30" s="286"/>
      <c r="GD30" s="286"/>
      <c r="GE30" s="286"/>
      <c r="GF30" s="286"/>
      <c r="GG30" s="286"/>
      <c r="GH30" s="286"/>
      <c r="GI30" s="286"/>
      <c r="GJ30" s="286"/>
      <c r="GK30" s="286"/>
      <c r="GL30" s="286"/>
      <c r="GM30" s="286"/>
      <c r="GN30" s="286"/>
      <c r="GO30" s="286"/>
      <c r="GP30" s="286"/>
      <c r="GQ30" s="286"/>
      <c r="GR30" s="286"/>
      <c r="GS30" s="286"/>
      <c r="GT30" s="286"/>
      <c r="GU30" s="286"/>
      <c r="GV30" s="286"/>
      <c r="GW30" s="286"/>
      <c r="GX30" s="286"/>
      <c r="GY30" s="286"/>
      <c r="GZ30" s="286"/>
      <c r="HA30" s="286"/>
      <c r="HB30" s="286"/>
      <c r="HC30" s="286"/>
      <c r="HD30" s="286"/>
      <c r="HE30" s="286"/>
      <c r="HF30" s="286"/>
      <c r="HG30" s="286"/>
      <c r="HH30" s="286"/>
      <c r="HI30" s="286"/>
      <c r="HJ30" s="286"/>
      <c r="HK30" s="286"/>
      <c r="HL30" s="286"/>
      <c r="HM30" s="286"/>
      <c r="HN30" s="286"/>
      <c r="HO30" s="286"/>
      <c r="HP30" s="286"/>
      <c r="HQ30" s="286"/>
      <c r="HR30" s="286"/>
      <c r="HS30" s="286"/>
      <c r="HT30" s="286"/>
      <c r="HU30" s="286"/>
      <c r="HV30" s="286"/>
      <c r="HW30" s="286"/>
      <c r="HX30" s="286"/>
      <c r="HY30" s="286"/>
      <c r="HZ30" s="286"/>
      <c r="IA30" s="286"/>
      <c r="IB30" s="286"/>
      <c r="IC30" s="286"/>
      <c r="ID30" s="957">
        <f t="shared" si="9"/>
        <v>0</v>
      </c>
      <c r="IE30" s="957">
        <f t="shared" si="1"/>
        <v>113472899</v>
      </c>
      <c r="IF30" s="258">
        <f t="shared" si="2"/>
        <v>0</v>
      </c>
      <c r="IG30" s="258">
        <f t="shared" si="3"/>
        <v>0</v>
      </c>
    </row>
    <row r="31" spans="1:241" ht="21.75" customHeight="1" x14ac:dyDescent="0.3">
      <c r="A31" s="253" t="s">
        <v>263</v>
      </c>
      <c r="B31" s="259" t="s">
        <v>220</v>
      </c>
      <c r="C31" s="266" t="s">
        <v>210</v>
      </c>
      <c r="D31" s="297"/>
      <c r="E31" s="297"/>
      <c r="F31" s="297"/>
      <c r="G31" s="297"/>
      <c r="H31" s="297"/>
      <c r="I31" s="297"/>
      <c r="J31" s="297"/>
      <c r="K31" s="297"/>
      <c r="L31" s="297"/>
      <c r="M31" s="297"/>
      <c r="N31" s="297"/>
      <c r="O31" s="297"/>
      <c r="P31" s="297"/>
      <c r="Q31" s="297"/>
      <c r="R31" s="297"/>
      <c r="S31" s="297"/>
      <c r="T31" s="286"/>
      <c r="U31" s="286"/>
      <c r="V31" s="286"/>
      <c r="W31" s="286"/>
      <c r="X31" s="286"/>
      <c r="Y31" s="286"/>
      <c r="Z31" s="286"/>
      <c r="AA31" s="286"/>
      <c r="AB31" s="286"/>
      <c r="AC31" s="286"/>
      <c r="AD31" s="286"/>
      <c r="AE31" s="286"/>
      <c r="AF31" s="286"/>
      <c r="AG31" s="286"/>
      <c r="AH31" s="286"/>
      <c r="AI31" s="286"/>
      <c r="AJ31" s="286"/>
      <c r="AK31" s="286"/>
      <c r="AL31" s="286"/>
      <c r="AM31" s="286"/>
      <c r="AN31" s="286"/>
      <c r="AO31" s="286"/>
      <c r="AP31" s="286"/>
      <c r="AQ31" s="286"/>
      <c r="AR31" s="286"/>
      <c r="AS31" s="286"/>
      <c r="AT31" s="286"/>
      <c r="AU31" s="286"/>
      <c r="AV31" s="286"/>
      <c r="AW31" s="286"/>
      <c r="AX31" s="286"/>
      <c r="AY31" s="286"/>
      <c r="AZ31" s="286"/>
      <c r="BA31" s="286"/>
      <c r="BB31" s="286"/>
      <c r="BC31" s="286"/>
      <c r="BD31" s="286"/>
      <c r="BE31" s="286"/>
      <c r="BF31" s="286"/>
      <c r="BG31" s="286"/>
      <c r="BH31" s="286"/>
      <c r="BI31" s="286"/>
      <c r="BJ31" s="286"/>
      <c r="BK31" s="286"/>
      <c r="BL31" s="286"/>
      <c r="BM31" s="286"/>
      <c r="BN31" s="286"/>
      <c r="BO31" s="286"/>
      <c r="BP31" s="286"/>
      <c r="BQ31" s="286"/>
      <c r="BR31" s="286"/>
      <c r="BS31" s="286"/>
      <c r="BT31" s="286"/>
      <c r="BU31" s="286"/>
      <c r="BV31" s="286"/>
      <c r="BW31" s="286"/>
      <c r="BX31" s="286"/>
      <c r="BY31" s="286"/>
      <c r="BZ31" s="286"/>
      <c r="CA31" s="286"/>
      <c r="CB31" s="286"/>
      <c r="CC31" s="286"/>
      <c r="CD31" s="286"/>
      <c r="CE31" s="286"/>
      <c r="CF31" s="286"/>
      <c r="CG31" s="286"/>
      <c r="CH31" s="286"/>
      <c r="CI31" s="286"/>
      <c r="CJ31" s="286"/>
      <c r="CK31" s="286"/>
      <c r="CL31" s="286"/>
      <c r="CM31" s="286"/>
      <c r="CN31" s="286"/>
      <c r="CO31" s="286"/>
      <c r="CP31" s="286"/>
      <c r="CQ31" s="286"/>
      <c r="CR31" s="286"/>
      <c r="CS31" s="286"/>
      <c r="CT31" s="286"/>
      <c r="CU31" s="286"/>
      <c r="CV31" s="286"/>
      <c r="CW31" s="286"/>
      <c r="CX31" s="286"/>
      <c r="CY31" s="286"/>
      <c r="CZ31" s="286"/>
      <c r="DA31" s="286"/>
      <c r="DB31" s="286"/>
      <c r="DC31" s="286"/>
      <c r="DD31" s="286"/>
      <c r="DE31" s="286"/>
      <c r="DF31" s="286"/>
      <c r="DG31" s="286"/>
      <c r="DH31" s="286"/>
      <c r="DI31" s="286"/>
      <c r="DJ31" s="286"/>
      <c r="DK31" s="286"/>
      <c r="DL31" s="286"/>
      <c r="DM31" s="286"/>
      <c r="DN31" s="286"/>
      <c r="DO31" s="286"/>
      <c r="DP31" s="286"/>
      <c r="DQ31" s="286"/>
      <c r="DR31" s="286"/>
      <c r="DS31" s="286"/>
      <c r="DT31" s="286"/>
      <c r="DU31" s="286"/>
      <c r="DV31" s="286"/>
      <c r="DW31" s="286"/>
      <c r="DX31" s="286"/>
      <c r="DY31" s="286"/>
      <c r="DZ31" s="286"/>
      <c r="EA31" s="286"/>
      <c r="EB31" s="286"/>
      <c r="EC31" s="286"/>
      <c r="ED31" s="286"/>
      <c r="EE31" s="286"/>
      <c r="EF31" s="286"/>
      <c r="EG31" s="286"/>
      <c r="EH31" s="286"/>
      <c r="EI31" s="286"/>
      <c r="EJ31" s="286"/>
      <c r="EK31" s="286"/>
      <c r="EL31" s="286"/>
      <c r="EM31" s="286"/>
      <c r="EN31" s="286"/>
      <c r="EO31" s="286"/>
      <c r="EP31" s="286"/>
      <c r="EQ31" s="286"/>
      <c r="ER31" s="286"/>
      <c r="ES31" s="286"/>
      <c r="ET31" s="286"/>
      <c r="EU31" s="286"/>
      <c r="EV31" s="286"/>
      <c r="EW31" s="286"/>
      <c r="EX31" s="286"/>
      <c r="EY31" s="286"/>
      <c r="EZ31" s="286"/>
      <c r="FA31" s="286"/>
      <c r="FB31" s="286"/>
      <c r="FC31" s="286"/>
      <c r="FD31" s="286"/>
      <c r="FE31" s="286"/>
      <c r="FF31" s="286"/>
      <c r="FG31" s="286"/>
      <c r="FH31" s="286"/>
      <c r="FI31" s="286"/>
      <c r="FJ31" s="286"/>
      <c r="FK31" s="286"/>
      <c r="FL31" s="286"/>
      <c r="FM31" s="286"/>
      <c r="FN31" s="286"/>
      <c r="FO31" s="286"/>
      <c r="FP31" s="286"/>
      <c r="FQ31" s="286"/>
      <c r="FR31" s="286"/>
      <c r="FS31" s="286"/>
      <c r="FT31" s="286"/>
      <c r="FU31" s="286"/>
      <c r="FV31" s="286"/>
      <c r="FW31" s="286"/>
      <c r="FX31" s="286"/>
      <c r="FY31" s="286"/>
      <c r="FZ31" s="286"/>
      <c r="GA31" s="286"/>
      <c r="GB31" s="286"/>
      <c r="GC31" s="286"/>
      <c r="GD31" s="286"/>
      <c r="GE31" s="286"/>
      <c r="GF31" s="286"/>
      <c r="GG31" s="286"/>
      <c r="GH31" s="286"/>
      <c r="GI31" s="286"/>
      <c r="GJ31" s="286"/>
      <c r="GK31" s="286"/>
      <c r="GL31" s="286"/>
      <c r="GM31" s="286"/>
      <c r="GN31" s="286"/>
      <c r="GO31" s="286">
        <v>54720000</v>
      </c>
      <c r="GP31" s="286"/>
      <c r="GQ31" s="286"/>
      <c r="GR31" s="286"/>
      <c r="GS31" s="286"/>
      <c r="GT31" s="286"/>
      <c r="GU31" s="286"/>
      <c r="GV31" s="286"/>
      <c r="GW31" s="286"/>
      <c r="GX31" s="286"/>
      <c r="GY31" s="286"/>
      <c r="GZ31" s="286"/>
      <c r="HA31" s="286"/>
      <c r="HB31" s="286"/>
      <c r="HC31" s="286"/>
      <c r="HD31" s="286"/>
      <c r="HE31" s="286"/>
      <c r="HF31" s="286"/>
      <c r="HG31" s="286"/>
      <c r="HH31" s="286"/>
      <c r="HI31" s="286"/>
      <c r="HJ31" s="286"/>
      <c r="HK31" s="286"/>
      <c r="HL31" s="286"/>
      <c r="HM31" s="286"/>
      <c r="HN31" s="286"/>
      <c r="HO31" s="286"/>
      <c r="HP31" s="286"/>
      <c r="HQ31" s="286"/>
      <c r="HR31" s="286"/>
      <c r="HS31" s="286"/>
      <c r="HT31" s="286"/>
      <c r="HU31" s="286"/>
      <c r="HV31" s="286"/>
      <c r="HW31" s="286"/>
      <c r="HX31" s="286"/>
      <c r="HY31" s="286">
        <v>314960630</v>
      </c>
      <c r="HZ31" s="286"/>
      <c r="IA31" s="286"/>
      <c r="IB31" s="286"/>
      <c r="IC31" s="286"/>
      <c r="ID31" s="957">
        <f t="shared" si="9"/>
        <v>0</v>
      </c>
      <c r="IE31" s="957">
        <f t="shared" si="1"/>
        <v>54720000</v>
      </c>
      <c r="IF31" s="258">
        <f t="shared" si="2"/>
        <v>0</v>
      </c>
      <c r="IG31" s="258">
        <f t="shared" si="3"/>
        <v>314960630</v>
      </c>
    </row>
    <row r="32" spans="1:241" ht="21.75" customHeight="1" x14ac:dyDescent="0.3">
      <c r="A32" s="253" t="s">
        <v>264</v>
      </c>
      <c r="B32" s="259" t="s">
        <v>219</v>
      </c>
      <c r="C32" s="266" t="s">
        <v>211</v>
      </c>
      <c r="D32" s="297"/>
      <c r="E32" s="297"/>
      <c r="F32" s="297"/>
      <c r="G32" s="297"/>
      <c r="H32" s="297"/>
      <c r="I32" s="297"/>
      <c r="J32" s="297"/>
      <c r="K32" s="297"/>
      <c r="L32" s="297"/>
      <c r="M32" s="297"/>
      <c r="N32" s="297"/>
      <c r="O32" s="297"/>
      <c r="P32" s="297"/>
      <c r="Q32" s="297"/>
      <c r="R32" s="297"/>
      <c r="S32" s="297"/>
      <c r="T32" s="286"/>
      <c r="U32" s="286"/>
      <c r="V32" s="286"/>
      <c r="W32" s="286"/>
      <c r="X32" s="286"/>
      <c r="Y32" s="286"/>
      <c r="Z32" s="286"/>
      <c r="AA32" s="286"/>
      <c r="AB32" s="286"/>
      <c r="AC32" s="286">
        <v>60902</v>
      </c>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86"/>
      <c r="CC32" s="286"/>
      <c r="CD32" s="286"/>
      <c r="CE32" s="286"/>
      <c r="CF32" s="286"/>
      <c r="CG32" s="286"/>
      <c r="CH32" s="286"/>
      <c r="CI32" s="286"/>
      <c r="CJ32" s="286"/>
      <c r="CK32" s="286"/>
      <c r="CL32" s="286"/>
      <c r="CM32" s="286"/>
      <c r="CN32" s="286"/>
      <c r="CO32" s="286"/>
      <c r="CP32" s="286"/>
      <c r="CQ32" s="286"/>
      <c r="CR32" s="286"/>
      <c r="CS32" s="286"/>
      <c r="CT32" s="286"/>
      <c r="CU32" s="286"/>
      <c r="CV32" s="286"/>
      <c r="CW32" s="286"/>
      <c r="CX32" s="286"/>
      <c r="CY32" s="286"/>
      <c r="CZ32" s="286"/>
      <c r="DA32" s="286"/>
      <c r="DB32" s="286"/>
      <c r="DC32" s="286"/>
      <c r="DD32" s="286"/>
      <c r="DE32" s="286"/>
      <c r="DF32" s="286"/>
      <c r="DG32" s="286"/>
      <c r="DH32" s="286"/>
      <c r="DI32" s="286"/>
      <c r="DJ32" s="286"/>
      <c r="DK32" s="286"/>
      <c r="DL32" s="286"/>
      <c r="DM32" s="286"/>
      <c r="DN32" s="286"/>
      <c r="DO32" s="286"/>
      <c r="DP32" s="286"/>
      <c r="DQ32" s="286"/>
      <c r="DR32" s="286"/>
      <c r="DS32" s="286"/>
      <c r="DT32" s="286"/>
      <c r="DU32" s="286"/>
      <c r="DV32" s="286"/>
      <c r="DW32" s="286"/>
      <c r="DX32" s="286"/>
      <c r="DY32" s="286"/>
      <c r="DZ32" s="286"/>
      <c r="EA32" s="286"/>
      <c r="EB32" s="286"/>
      <c r="EC32" s="286"/>
      <c r="ED32" s="286"/>
      <c r="EE32" s="286"/>
      <c r="EF32" s="286"/>
      <c r="EG32" s="286"/>
      <c r="EH32" s="286"/>
      <c r="EI32" s="286"/>
      <c r="EJ32" s="286"/>
      <c r="EK32" s="286"/>
      <c r="EL32" s="286"/>
      <c r="EM32" s="286"/>
      <c r="EN32" s="286"/>
      <c r="EO32" s="286"/>
      <c r="EP32" s="286"/>
      <c r="EQ32" s="286"/>
      <c r="ER32" s="286"/>
      <c r="ES32" s="286"/>
      <c r="ET32" s="286"/>
      <c r="EU32" s="286"/>
      <c r="EV32" s="286"/>
      <c r="EW32" s="286"/>
      <c r="EX32" s="286"/>
      <c r="EY32" s="286"/>
      <c r="EZ32" s="286"/>
      <c r="FA32" s="286"/>
      <c r="FB32" s="286"/>
      <c r="FC32" s="286"/>
      <c r="FD32" s="286"/>
      <c r="FE32" s="286"/>
      <c r="FF32" s="286"/>
      <c r="FG32" s="286"/>
      <c r="FH32" s="286"/>
      <c r="FI32" s="286"/>
      <c r="FJ32" s="286"/>
      <c r="FK32" s="286"/>
      <c r="FL32" s="286"/>
      <c r="FM32" s="286"/>
      <c r="FN32" s="286"/>
      <c r="FO32" s="286"/>
      <c r="FP32" s="286"/>
      <c r="FQ32" s="286"/>
      <c r="FR32" s="286"/>
      <c r="FS32" s="286"/>
      <c r="FT32" s="286"/>
      <c r="FU32" s="286"/>
      <c r="FV32" s="286"/>
      <c r="FW32" s="286"/>
      <c r="FX32" s="286"/>
      <c r="FY32" s="286"/>
      <c r="FZ32" s="286"/>
      <c r="GA32" s="286"/>
      <c r="GB32" s="286"/>
      <c r="GC32" s="286"/>
      <c r="GD32" s="286"/>
      <c r="GE32" s="286"/>
      <c r="GF32" s="286"/>
      <c r="GG32" s="286"/>
      <c r="GH32" s="286"/>
      <c r="GI32" s="286"/>
      <c r="GJ32" s="286"/>
      <c r="GK32" s="286"/>
      <c r="GL32" s="286"/>
      <c r="GM32" s="286"/>
      <c r="GN32" s="286"/>
      <c r="GO32" s="286"/>
      <c r="GP32" s="286"/>
      <c r="GQ32" s="286"/>
      <c r="GR32" s="286"/>
      <c r="GS32" s="286"/>
      <c r="GT32" s="286"/>
      <c r="GU32" s="286"/>
      <c r="GV32" s="286"/>
      <c r="GW32" s="286"/>
      <c r="GX32" s="286"/>
      <c r="GY32" s="286"/>
      <c r="GZ32" s="286"/>
      <c r="HA32" s="286"/>
      <c r="HB32" s="286"/>
      <c r="HC32" s="286"/>
      <c r="HD32" s="286"/>
      <c r="HE32" s="286"/>
      <c r="HF32" s="286"/>
      <c r="HG32" s="286"/>
      <c r="HH32" s="286"/>
      <c r="HI32" s="286"/>
      <c r="HJ32" s="286"/>
      <c r="HK32" s="286"/>
      <c r="HL32" s="286"/>
      <c r="HM32" s="286"/>
      <c r="HN32" s="286"/>
      <c r="HO32" s="286"/>
      <c r="HP32" s="286"/>
      <c r="HQ32" s="286"/>
      <c r="HR32" s="286"/>
      <c r="HS32" s="286"/>
      <c r="HT32" s="286"/>
      <c r="HU32" s="286"/>
      <c r="HV32" s="286"/>
      <c r="HW32" s="286"/>
      <c r="HX32" s="286"/>
      <c r="HY32" s="286"/>
      <c r="HZ32" s="286"/>
      <c r="IA32" s="286"/>
      <c r="IB32" s="286"/>
      <c r="IC32" s="286"/>
      <c r="ID32" s="957">
        <f t="shared" si="9"/>
        <v>0</v>
      </c>
      <c r="IE32" s="957">
        <f t="shared" si="1"/>
        <v>60902</v>
      </c>
      <c r="IF32" s="258">
        <f t="shared" si="2"/>
        <v>0</v>
      </c>
      <c r="IG32" s="258">
        <f t="shared" si="3"/>
        <v>0</v>
      </c>
    </row>
    <row r="33" spans="1:241" ht="21.75" customHeight="1" x14ac:dyDescent="0.3">
      <c r="A33" s="253" t="s">
        <v>265</v>
      </c>
      <c r="B33" s="262" t="s">
        <v>0</v>
      </c>
      <c r="C33" s="266" t="s">
        <v>212</v>
      </c>
      <c r="D33" s="297"/>
      <c r="E33" s="297"/>
      <c r="F33" s="297"/>
      <c r="G33" s="297"/>
      <c r="H33" s="297"/>
      <c r="I33" s="297"/>
      <c r="J33" s="297"/>
      <c r="K33" s="297"/>
      <c r="L33" s="297"/>
      <c r="M33" s="297"/>
      <c r="N33" s="297"/>
      <c r="O33" s="297"/>
      <c r="P33" s="297"/>
      <c r="Q33" s="297"/>
      <c r="R33" s="297"/>
      <c r="S33" s="297"/>
      <c r="T33" s="286"/>
      <c r="U33" s="286"/>
      <c r="V33" s="286">
        <v>10000000</v>
      </c>
      <c r="W33" s="286">
        <f>+V33+250963+31632+10000000+2700000+10000000+2700000+15000000+4050000-7405229-7203049</f>
        <v>40124317</v>
      </c>
      <c r="X33" s="286"/>
      <c r="Y33" s="286"/>
      <c r="Z33" s="286"/>
      <c r="AA33" s="286">
        <f>112598+30402+127559+1004050</f>
        <v>1274609</v>
      </c>
      <c r="AB33" s="286"/>
      <c r="AC33" s="286">
        <f>4729641+23878+308000+27586+40280+20000+419341+35000+500000+11412+100000-86298</f>
        <v>6128840</v>
      </c>
      <c r="AD33" s="286"/>
      <c r="AE33" s="286"/>
      <c r="AF33" s="286"/>
      <c r="AG33" s="286"/>
      <c r="AH33" s="286"/>
      <c r="AI33" s="286"/>
      <c r="AJ33" s="286"/>
      <c r="AK33" s="286"/>
      <c r="AL33" s="286"/>
      <c r="AM33" s="286"/>
      <c r="AN33" s="286"/>
      <c r="AO33" s="286"/>
      <c r="AP33" s="286"/>
      <c r="AQ33" s="286"/>
      <c r="AR33" s="286"/>
      <c r="AS33" s="286"/>
      <c r="AT33" s="286"/>
      <c r="AU33" s="286"/>
      <c r="AV33" s="286"/>
      <c r="AW33" s="286"/>
      <c r="AX33" s="286"/>
      <c r="AY33" s="286"/>
      <c r="AZ33" s="286"/>
      <c r="BA33" s="286"/>
      <c r="BB33" s="286"/>
      <c r="BC33" s="286"/>
      <c r="BD33" s="286"/>
      <c r="BE33" s="286"/>
      <c r="BF33" s="286"/>
      <c r="BG33" s="286"/>
      <c r="BH33" s="286"/>
      <c r="BI33" s="286"/>
      <c r="BJ33" s="286"/>
      <c r="BK33" s="286"/>
      <c r="BL33" s="286"/>
      <c r="BM33" s="286"/>
      <c r="BN33" s="286"/>
      <c r="BO33" s="286"/>
      <c r="BP33" s="286"/>
      <c r="BQ33" s="286"/>
      <c r="BR33" s="286"/>
      <c r="BS33" s="286"/>
      <c r="BT33" s="286"/>
      <c r="BU33" s="286"/>
      <c r="BV33" s="286"/>
      <c r="BW33" s="286"/>
      <c r="BX33" s="286"/>
      <c r="BY33" s="286"/>
      <c r="BZ33" s="286">
        <v>42800000</v>
      </c>
      <c r="CA33" s="286">
        <f>+BZ33+3000000+810000+6000000+1200000+2500000-944359-1618601</f>
        <v>53747040</v>
      </c>
      <c r="CB33" s="286">
        <v>2034400</v>
      </c>
      <c r="CC33" s="286">
        <f>+CB33+322894+800000+3000000+550000-430631</f>
        <v>6276663</v>
      </c>
      <c r="CD33" s="286"/>
      <c r="CE33" s="286"/>
      <c r="CF33" s="286"/>
      <c r="CG33" s="286"/>
      <c r="CH33" s="286"/>
      <c r="CI33" s="286"/>
      <c r="CJ33" s="286"/>
      <c r="CK33" s="286"/>
      <c r="CL33" s="286"/>
      <c r="CM33" s="286"/>
      <c r="CN33" s="286"/>
      <c r="CO33" s="286"/>
      <c r="CP33" s="286"/>
      <c r="CQ33" s="286"/>
      <c r="CR33" s="286"/>
      <c r="CS33" s="286"/>
      <c r="CT33" s="286">
        <v>14738681</v>
      </c>
      <c r="CU33" s="286">
        <f>+CT33+7771600+200000+960000+43200+2000000-897164-2579-9569</f>
        <v>24804169</v>
      </c>
      <c r="CV33" s="286">
        <v>677580</v>
      </c>
      <c r="CW33" s="286">
        <f>+CV33+1839056</f>
        <v>2516636</v>
      </c>
      <c r="CX33" s="286"/>
      <c r="CY33" s="286"/>
      <c r="CZ33" s="286">
        <v>5280000</v>
      </c>
      <c r="DA33" s="286">
        <f>+CZ33+200000+500000+200000+800000+250000+100000+100000+86230-72147-116221</f>
        <v>7327862</v>
      </c>
      <c r="DB33" s="286">
        <v>46990000</v>
      </c>
      <c r="DC33" s="286">
        <f>+DB33+8268+2232+481118+2000000+540000+3000000+810000+3000000+500000+2000000+720000-583013-214428-85334</f>
        <v>59168843</v>
      </c>
      <c r="DD33" s="286"/>
      <c r="DE33" s="286"/>
      <c r="DF33" s="286">
        <v>7000000</v>
      </c>
      <c r="DG33" s="286">
        <f>+DF33+70580+261400+1000000+270000+380000+100000-308261-80574</f>
        <v>8693145</v>
      </c>
      <c r="DH33" s="286"/>
      <c r="DI33" s="286">
        <v>590000</v>
      </c>
      <c r="DJ33" s="286"/>
      <c r="DK33" s="286"/>
      <c r="DL33" s="286">
        <v>10000000</v>
      </c>
      <c r="DM33" s="286">
        <f>+DL33+1924500+1000000+231495+62505+1650338+500000+700000+400192+1880712+361437+2000000+304726+8100000+82274</f>
        <v>29198179</v>
      </c>
      <c r="DN33" s="286"/>
      <c r="DO33" s="286"/>
      <c r="DP33" s="286"/>
      <c r="DQ33" s="286"/>
      <c r="DR33" s="286"/>
      <c r="DS33" s="286"/>
      <c r="DT33" s="286"/>
      <c r="DU33" s="286"/>
      <c r="DV33" s="286"/>
      <c r="DW33" s="286"/>
      <c r="DX33" s="286"/>
      <c r="DY33" s="286"/>
      <c r="DZ33" s="286"/>
      <c r="EA33" s="286"/>
      <c r="EB33" s="286">
        <v>65000000</v>
      </c>
      <c r="EC33" s="286">
        <f>+EB33</f>
        <v>65000000</v>
      </c>
      <c r="ED33" s="286"/>
      <c r="EE33" s="286">
        <f>2499811+674949</f>
        <v>3174760</v>
      </c>
      <c r="EF33" s="286">
        <v>65000000</v>
      </c>
      <c r="EG33" s="286">
        <f>+EF33-51181103-13818897</f>
        <v>0</v>
      </c>
      <c r="EH33" s="286">
        <v>65000000</v>
      </c>
      <c r="EI33" s="286">
        <f>+EH33</f>
        <v>65000000</v>
      </c>
      <c r="EJ33" s="286"/>
      <c r="EK33" s="286">
        <f>34621550+9347819</f>
        <v>43969369</v>
      </c>
      <c r="EL33" s="286">
        <v>65000000</v>
      </c>
      <c r="EM33" s="286">
        <f>+EL33-51181102-13818898</f>
        <v>0</v>
      </c>
      <c r="EN33" s="286"/>
      <c r="EO33" s="286"/>
      <c r="EP33" s="286"/>
      <c r="EQ33" s="286"/>
      <c r="ER33" s="286"/>
      <c r="ES33" s="286"/>
      <c r="ET33" s="286"/>
      <c r="EU33" s="286"/>
      <c r="EV33" s="286"/>
      <c r="EW33" s="286"/>
      <c r="EX33" s="286"/>
      <c r="EY33" s="286"/>
      <c r="EZ33" s="286"/>
      <c r="FA33" s="286"/>
      <c r="FB33" s="286"/>
      <c r="FC33" s="286"/>
      <c r="FD33" s="286"/>
      <c r="FE33" s="286"/>
      <c r="FF33" s="286"/>
      <c r="FG33" s="286"/>
      <c r="FH33" s="286"/>
      <c r="FI33" s="286"/>
      <c r="FJ33" s="286"/>
      <c r="FK33" s="286"/>
      <c r="FL33" s="286"/>
      <c r="FM33" s="286"/>
      <c r="FN33" s="286"/>
      <c r="FO33" s="286"/>
      <c r="FP33" s="286"/>
      <c r="FQ33" s="286"/>
      <c r="FR33" s="286"/>
      <c r="FS33" s="286"/>
      <c r="FT33" s="286"/>
      <c r="FU33" s="286"/>
      <c r="FV33" s="286"/>
      <c r="FW33" s="286"/>
      <c r="FX33" s="286"/>
      <c r="FY33" s="286"/>
      <c r="FZ33" s="286"/>
      <c r="GA33" s="286"/>
      <c r="GB33" s="286"/>
      <c r="GC33" s="286"/>
      <c r="GD33" s="286"/>
      <c r="GE33" s="286"/>
      <c r="GF33" s="286"/>
      <c r="GG33" s="286"/>
      <c r="GH33" s="286"/>
      <c r="GI33" s="286"/>
      <c r="GJ33" s="286"/>
      <c r="GK33" s="286"/>
      <c r="GL33" s="286"/>
      <c r="GM33" s="286"/>
      <c r="GN33" s="286"/>
      <c r="GO33" s="286"/>
      <c r="GP33" s="286"/>
      <c r="GQ33" s="286"/>
      <c r="GR33" s="286"/>
      <c r="GS33" s="286"/>
      <c r="GT33" s="286"/>
      <c r="GU33" s="286"/>
      <c r="GV33" s="286"/>
      <c r="GW33" s="286"/>
      <c r="GX33" s="286"/>
      <c r="GY33" s="286"/>
      <c r="GZ33" s="286"/>
      <c r="HA33" s="286"/>
      <c r="HB33" s="286"/>
      <c r="HC33" s="286"/>
      <c r="HD33" s="286"/>
      <c r="HE33" s="286"/>
      <c r="HF33" s="286"/>
      <c r="HG33" s="286"/>
      <c r="HH33" s="286"/>
      <c r="HI33" s="286"/>
      <c r="HJ33" s="286"/>
      <c r="HK33" s="286"/>
      <c r="HL33" s="286"/>
      <c r="HM33" s="286"/>
      <c r="HN33" s="286"/>
      <c r="HO33" s="286"/>
      <c r="HP33" s="286"/>
      <c r="HQ33" s="286"/>
      <c r="HR33" s="286"/>
      <c r="HS33" s="286"/>
      <c r="HT33" s="286"/>
      <c r="HU33" s="286"/>
      <c r="HV33" s="286"/>
      <c r="HW33" s="286"/>
      <c r="HX33" s="286"/>
      <c r="HY33" s="286"/>
      <c r="HZ33" s="286"/>
      <c r="IA33" s="286"/>
      <c r="IB33" s="286"/>
      <c r="IC33" s="286"/>
      <c r="ID33" s="957">
        <f t="shared" si="9"/>
        <v>382520661</v>
      </c>
      <c r="IE33" s="957">
        <f t="shared" si="1"/>
        <v>377238499</v>
      </c>
      <c r="IF33" s="258">
        <f t="shared" si="2"/>
        <v>17000000</v>
      </c>
      <c r="IG33" s="258">
        <f t="shared" si="3"/>
        <v>39755933</v>
      </c>
    </row>
    <row r="34" spans="1:241" ht="21.75" customHeight="1" x14ac:dyDescent="0.3">
      <c r="A34" s="253" t="s">
        <v>266</v>
      </c>
      <c r="B34" s="259" t="s">
        <v>242</v>
      </c>
      <c r="C34" s="266" t="s">
        <v>213</v>
      </c>
      <c r="D34" s="297"/>
      <c r="E34" s="297"/>
      <c r="F34" s="297"/>
      <c r="G34" s="297"/>
      <c r="H34" s="297"/>
      <c r="I34" s="297"/>
      <c r="J34" s="297"/>
      <c r="K34" s="297"/>
      <c r="L34" s="297"/>
      <c r="M34" s="297"/>
      <c r="N34" s="297"/>
      <c r="O34" s="297"/>
      <c r="P34" s="297"/>
      <c r="Q34" s="297"/>
      <c r="R34" s="297"/>
      <c r="S34" s="297"/>
      <c r="T34" s="286"/>
      <c r="U34" s="286"/>
      <c r="V34" s="286"/>
      <c r="W34" s="286"/>
      <c r="X34" s="286"/>
      <c r="Y34" s="286"/>
      <c r="Z34" s="286">
        <f>+'14.sz. Felhalm. bevételek'!E7</f>
        <v>51854877</v>
      </c>
      <c r="AA34" s="286">
        <f>+Z34+100000+600000+20000-127559-50074200-522522</f>
        <v>1850596</v>
      </c>
      <c r="AB34" s="286"/>
      <c r="AC34" s="286"/>
      <c r="AD34" s="286"/>
      <c r="AE34" s="286"/>
      <c r="AF34" s="286"/>
      <c r="AG34" s="286"/>
      <c r="AH34" s="286"/>
      <c r="AI34" s="286"/>
      <c r="AJ34" s="286"/>
      <c r="AK34" s="286"/>
      <c r="AL34" s="286"/>
      <c r="AM34" s="286"/>
      <c r="AN34" s="286"/>
      <c r="AO34" s="286"/>
      <c r="AP34" s="286"/>
      <c r="AQ34" s="286"/>
      <c r="AR34" s="286"/>
      <c r="AS34" s="286"/>
      <c r="AT34" s="286"/>
      <c r="AU34" s="286"/>
      <c r="AV34" s="286"/>
      <c r="AW34" s="286"/>
      <c r="AX34" s="286"/>
      <c r="AY34" s="286"/>
      <c r="AZ34" s="286"/>
      <c r="BA34" s="286"/>
      <c r="BB34" s="286"/>
      <c r="BC34" s="286"/>
      <c r="BD34" s="286"/>
      <c r="BE34" s="286"/>
      <c r="BF34" s="286"/>
      <c r="BG34" s="286"/>
      <c r="BH34" s="286"/>
      <c r="BI34" s="286"/>
      <c r="BJ34" s="286"/>
      <c r="BK34" s="286"/>
      <c r="BL34" s="286"/>
      <c r="BM34" s="286"/>
      <c r="BN34" s="286"/>
      <c r="BO34" s="286"/>
      <c r="BP34" s="286"/>
      <c r="BQ34" s="286"/>
      <c r="BR34" s="286"/>
      <c r="BS34" s="286"/>
      <c r="BT34" s="286"/>
      <c r="BU34" s="286"/>
      <c r="BV34" s="286"/>
      <c r="BW34" s="286"/>
      <c r="BX34" s="286"/>
      <c r="BY34" s="286"/>
      <c r="BZ34" s="286"/>
      <c r="CA34" s="286"/>
      <c r="CB34" s="286"/>
      <c r="CC34" s="286"/>
      <c r="CD34" s="286"/>
      <c r="CE34" s="286"/>
      <c r="CF34" s="286"/>
      <c r="CG34" s="286"/>
      <c r="CH34" s="286"/>
      <c r="CI34" s="286"/>
      <c r="CJ34" s="286"/>
      <c r="CK34" s="286"/>
      <c r="CL34" s="286"/>
      <c r="CM34" s="286"/>
      <c r="CN34" s="286"/>
      <c r="CO34" s="286"/>
      <c r="CP34" s="286"/>
      <c r="CQ34" s="286"/>
      <c r="CR34" s="286"/>
      <c r="CS34" s="286"/>
      <c r="CT34" s="286"/>
      <c r="CU34" s="286"/>
      <c r="CV34" s="286"/>
      <c r="CW34" s="286"/>
      <c r="CX34" s="286"/>
      <c r="CY34" s="286"/>
      <c r="CZ34" s="286"/>
      <c r="DA34" s="286"/>
      <c r="DB34" s="286"/>
      <c r="DC34" s="286"/>
      <c r="DD34" s="286"/>
      <c r="DE34" s="286"/>
      <c r="DF34" s="286"/>
      <c r="DG34" s="286"/>
      <c r="DH34" s="286"/>
      <c r="DI34" s="286"/>
      <c r="DJ34" s="286"/>
      <c r="DK34" s="286"/>
      <c r="DL34" s="285"/>
      <c r="DM34" s="285"/>
      <c r="DN34" s="286"/>
      <c r="DO34" s="286"/>
      <c r="DP34" s="286"/>
      <c r="DQ34" s="286"/>
      <c r="DR34" s="286"/>
      <c r="DS34" s="286"/>
      <c r="DT34" s="286"/>
      <c r="DU34" s="286"/>
      <c r="DV34" s="286"/>
      <c r="DW34" s="286"/>
      <c r="DX34" s="286"/>
      <c r="DY34" s="286"/>
      <c r="DZ34" s="286"/>
      <c r="EA34" s="286"/>
      <c r="EB34" s="286"/>
      <c r="EC34" s="286"/>
      <c r="ED34" s="286"/>
      <c r="EE34" s="286"/>
      <c r="EF34" s="286"/>
      <c r="EG34" s="286"/>
      <c r="EH34" s="286"/>
      <c r="EI34" s="286"/>
      <c r="EJ34" s="286"/>
      <c r="EK34" s="286"/>
      <c r="EL34" s="286"/>
      <c r="EM34" s="286"/>
      <c r="EN34" s="286"/>
      <c r="EO34" s="286"/>
      <c r="EP34" s="286"/>
      <c r="EQ34" s="286"/>
      <c r="ER34" s="286"/>
      <c r="ES34" s="286"/>
      <c r="ET34" s="286"/>
      <c r="EU34" s="286"/>
      <c r="EV34" s="286"/>
      <c r="EW34" s="286"/>
      <c r="EX34" s="286"/>
      <c r="EY34" s="286"/>
      <c r="EZ34" s="286"/>
      <c r="FA34" s="286"/>
      <c r="FB34" s="286"/>
      <c r="FC34" s="286"/>
      <c r="FD34" s="286"/>
      <c r="FE34" s="286"/>
      <c r="FF34" s="286"/>
      <c r="FG34" s="286"/>
      <c r="FH34" s="286"/>
      <c r="FI34" s="286"/>
      <c r="FJ34" s="286"/>
      <c r="FK34" s="286"/>
      <c r="FL34" s="286"/>
      <c r="FM34" s="286"/>
      <c r="FN34" s="286"/>
      <c r="FO34" s="286"/>
      <c r="FP34" s="286"/>
      <c r="FQ34" s="286"/>
      <c r="FR34" s="286"/>
      <c r="FS34" s="286"/>
      <c r="FT34" s="286"/>
      <c r="FU34" s="286"/>
      <c r="FV34" s="286"/>
      <c r="FW34" s="286"/>
      <c r="FX34" s="286"/>
      <c r="FY34" s="286"/>
      <c r="FZ34" s="286"/>
      <c r="GA34" s="286"/>
      <c r="GB34" s="286"/>
      <c r="GC34" s="286"/>
      <c r="GD34" s="286"/>
      <c r="GE34" s="286"/>
      <c r="GF34" s="286"/>
      <c r="GG34" s="286"/>
      <c r="GH34" s="286"/>
      <c r="GI34" s="286"/>
      <c r="GJ34" s="286"/>
      <c r="GK34" s="286"/>
      <c r="GL34" s="286"/>
      <c r="GM34" s="286"/>
      <c r="GN34" s="286"/>
      <c r="GO34" s="286"/>
      <c r="GP34" s="286"/>
      <c r="GQ34" s="286"/>
      <c r="GR34" s="286"/>
      <c r="GS34" s="286"/>
      <c r="GT34" s="286"/>
      <c r="GU34" s="286"/>
      <c r="GV34" s="286"/>
      <c r="GW34" s="286"/>
      <c r="GX34" s="286"/>
      <c r="GY34" s="286"/>
      <c r="GZ34" s="286"/>
      <c r="HA34" s="286"/>
      <c r="HB34" s="286"/>
      <c r="HC34" s="286"/>
      <c r="HD34" s="286"/>
      <c r="HE34" s="286"/>
      <c r="HF34" s="286"/>
      <c r="HG34" s="286"/>
      <c r="HH34" s="286"/>
      <c r="HI34" s="286"/>
      <c r="HJ34" s="286"/>
      <c r="HK34" s="286"/>
      <c r="HL34" s="286"/>
      <c r="HM34" s="286"/>
      <c r="HN34" s="286"/>
      <c r="HO34" s="286"/>
      <c r="HP34" s="286"/>
      <c r="HQ34" s="286"/>
      <c r="HR34" s="286"/>
      <c r="HS34" s="286"/>
      <c r="HT34" s="286"/>
      <c r="HU34" s="286"/>
      <c r="HV34" s="286"/>
      <c r="HW34" s="286"/>
      <c r="HX34" s="286"/>
      <c r="HY34" s="286"/>
      <c r="HZ34" s="286"/>
      <c r="IA34" s="286"/>
      <c r="IB34" s="286"/>
      <c r="IC34" s="286"/>
      <c r="ID34" s="957">
        <f t="shared" si="9"/>
        <v>0</v>
      </c>
      <c r="IE34" s="957">
        <f t="shared" si="1"/>
        <v>0</v>
      </c>
      <c r="IF34" s="258">
        <f t="shared" si="2"/>
        <v>51854877</v>
      </c>
      <c r="IG34" s="258">
        <f t="shared" si="3"/>
        <v>1850596</v>
      </c>
    </row>
    <row r="35" spans="1:241" ht="21.75" customHeight="1" x14ac:dyDescent="0.3">
      <c r="A35" s="253" t="s">
        <v>267</v>
      </c>
      <c r="B35" s="259" t="s">
        <v>237</v>
      </c>
      <c r="C35" s="266" t="s">
        <v>214</v>
      </c>
      <c r="D35" s="297"/>
      <c r="E35" s="297"/>
      <c r="F35" s="297"/>
      <c r="G35" s="297"/>
      <c r="H35" s="297"/>
      <c r="I35" s="297"/>
      <c r="J35" s="297"/>
      <c r="K35" s="297"/>
      <c r="L35" s="297"/>
      <c r="M35" s="297"/>
      <c r="N35" s="297"/>
      <c r="O35" s="297"/>
      <c r="P35" s="297"/>
      <c r="Q35" s="297"/>
      <c r="R35" s="297"/>
      <c r="S35" s="297"/>
      <c r="T35" s="286"/>
      <c r="U35" s="286"/>
      <c r="V35" s="286"/>
      <c r="W35" s="286"/>
      <c r="X35" s="286"/>
      <c r="Y35" s="286"/>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6"/>
      <c r="BG35" s="286"/>
      <c r="BH35" s="286"/>
      <c r="BI35" s="286"/>
      <c r="BJ35" s="286"/>
      <c r="BK35" s="286"/>
      <c r="BL35" s="286"/>
      <c r="BM35" s="286"/>
      <c r="BN35" s="286"/>
      <c r="BO35" s="286"/>
      <c r="BP35" s="286"/>
      <c r="BQ35" s="286"/>
      <c r="BR35" s="286"/>
      <c r="BS35" s="286"/>
      <c r="BT35" s="286"/>
      <c r="BU35" s="286"/>
      <c r="BV35" s="286"/>
      <c r="BW35" s="286"/>
      <c r="BX35" s="286"/>
      <c r="BY35" s="286"/>
      <c r="BZ35" s="286"/>
      <c r="CA35" s="286"/>
      <c r="CB35" s="286"/>
      <c r="CC35" s="286"/>
      <c r="CD35" s="286"/>
      <c r="CE35" s="286"/>
      <c r="CF35" s="286"/>
      <c r="CG35" s="286"/>
      <c r="CH35" s="286"/>
      <c r="CI35" s="286"/>
      <c r="CJ35" s="286"/>
      <c r="CK35" s="286"/>
      <c r="CL35" s="286"/>
      <c r="CM35" s="286"/>
      <c r="CN35" s="286"/>
      <c r="CO35" s="286"/>
      <c r="CP35" s="286"/>
      <c r="CQ35" s="286"/>
      <c r="CR35" s="286"/>
      <c r="CS35" s="286"/>
      <c r="CT35" s="286"/>
      <c r="CU35" s="286"/>
      <c r="CV35" s="286"/>
      <c r="CW35" s="286"/>
      <c r="CX35" s="286"/>
      <c r="CY35" s="286"/>
      <c r="CZ35" s="286"/>
      <c r="DA35" s="286"/>
      <c r="DB35" s="286"/>
      <c r="DC35" s="286"/>
      <c r="DD35" s="286"/>
      <c r="DE35" s="286"/>
      <c r="DF35" s="286"/>
      <c r="DG35" s="286"/>
      <c r="DH35" s="286"/>
      <c r="DI35" s="286">
        <v>500000</v>
      </c>
      <c r="DJ35" s="286"/>
      <c r="DK35" s="286"/>
      <c r="DL35" s="286"/>
      <c r="DM35" s="286"/>
      <c r="DN35" s="286"/>
      <c r="DO35" s="286"/>
      <c r="DP35" s="286"/>
      <c r="DQ35" s="286"/>
      <c r="DR35" s="286"/>
      <c r="DS35" s="286"/>
      <c r="DT35" s="286"/>
      <c r="DU35" s="286"/>
      <c r="DV35" s="286"/>
      <c r="DW35" s="286"/>
      <c r="DX35" s="286"/>
      <c r="DY35" s="286"/>
      <c r="DZ35" s="286"/>
      <c r="EA35" s="286"/>
      <c r="EB35" s="286"/>
      <c r="EC35" s="286"/>
      <c r="ED35" s="286"/>
      <c r="EE35" s="286"/>
      <c r="EF35" s="286"/>
      <c r="EG35" s="286"/>
      <c r="EH35" s="286"/>
      <c r="EI35" s="286"/>
      <c r="EJ35" s="286"/>
      <c r="EK35" s="286"/>
      <c r="EL35" s="286"/>
      <c r="EM35" s="286"/>
      <c r="EN35" s="286"/>
      <c r="EO35" s="286"/>
      <c r="EP35" s="286"/>
      <c r="EQ35" s="286"/>
      <c r="ER35" s="286"/>
      <c r="ES35" s="286"/>
      <c r="ET35" s="286"/>
      <c r="EU35" s="286"/>
      <c r="EV35" s="286"/>
      <c r="EW35" s="286"/>
      <c r="EX35" s="286"/>
      <c r="EY35" s="286"/>
      <c r="EZ35" s="286"/>
      <c r="FA35" s="286"/>
      <c r="FB35" s="286"/>
      <c r="FC35" s="286"/>
      <c r="FD35" s="286"/>
      <c r="FE35" s="286"/>
      <c r="FF35" s="286"/>
      <c r="FG35" s="286"/>
      <c r="FH35" s="286"/>
      <c r="FI35" s="286"/>
      <c r="FJ35" s="286"/>
      <c r="FK35" s="286"/>
      <c r="FL35" s="286"/>
      <c r="FM35" s="286"/>
      <c r="FN35" s="286"/>
      <c r="FO35" s="286"/>
      <c r="FP35" s="286"/>
      <c r="FQ35" s="286"/>
      <c r="FR35" s="286"/>
      <c r="FS35" s="286"/>
      <c r="FT35" s="286"/>
      <c r="FU35" s="286"/>
      <c r="FV35" s="286"/>
      <c r="FW35" s="286"/>
      <c r="FX35" s="286"/>
      <c r="FY35" s="286"/>
      <c r="FZ35" s="286"/>
      <c r="GA35" s="286"/>
      <c r="GB35" s="286"/>
      <c r="GC35" s="286"/>
      <c r="GD35" s="286"/>
      <c r="GE35" s="286"/>
      <c r="GF35" s="286"/>
      <c r="GG35" s="286"/>
      <c r="GH35" s="286"/>
      <c r="GI35" s="286"/>
      <c r="GJ35" s="286"/>
      <c r="GK35" s="286"/>
      <c r="GL35" s="286"/>
      <c r="GM35" s="286"/>
      <c r="GN35" s="286"/>
      <c r="GO35" s="286"/>
      <c r="GP35" s="286"/>
      <c r="GQ35" s="286"/>
      <c r="GR35" s="286"/>
      <c r="GS35" s="286"/>
      <c r="GT35" s="286"/>
      <c r="GU35" s="286"/>
      <c r="GV35" s="286"/>
      <c r="GW35" s="286"/>
      <c r="GX35" s="286"/>
      <c r="GY35" s="286"/>
      <c r="GZ35" s="286"/>
      <c r="HA35" s="286"/>
      <c r="HB35" s="286"/>
      <c r="HC35" s="286"/>
      <c r="HD35" s="286"/>
      <c r="HE35" s="286"/>
      <c r="HF35" s="286"/>
      <c r="HG35" s="286"/>
      <c r="HH35" s="286"/>
      <c r="HI35" s="286"/>
      <c r="HJ35" s="286"/>
      <c r="HK35" s="286"/>
      <c r="HL35" s="286"/>
      <c r="HM35" s="286"/>
      <c r="HN35" s="286"/>
      <c r="HO35" s="286"/>
      <c r="HP35" s="286"/>
      <c r="HQ35" s="286"/>
      <c r="HR35" s="286"/>
      <c r="HS35" s="286"/>
      <c r="HT35" s="286"/>
      <c r="HU35" s="286"/>
      <c r="HV35" s="286"/>
      <c r="HW35" s="286"/>
      <c r="HX35" s="286"/>
      <c r="HY35" s="286"/>
      <c r="HZ35" s="286"/>
      <c r="IA35" s="286"/>
      <c r="IB35" s="286"/>
      <c r="IC35" s="286"/>
      <c r="ID35" s="957">
        <f t="shared" si="9"/>
        <v>0</v>
      </c>
      <c r="IE35" s="957">
        <f t="shared" si="1"/>
        <v>0</v>
      </c>
      <c r="IF35" s="258">
        <f t="shared" si="2"/>
        <v>0</v>
      </c>
      <c r="IG35" s="258">
        <f t="shared" si="3"/>
        <v>500000</v>
      </c>
    </row>
    <row r="36" spans="1:241" ht="21.75" customHeight="1" x14ac:dyDescent="0.3">
      <c r="A36" s="253" t="s">
        <v>268</v>
      </c>
      <c r="B36" s="259" t="s">
        <v>238</v>
      </c>
      <c r="C36" s="266" t="s">
        <v>215</v>
      </c>
      <c r="D36" s="297"/>
      <c r="E36" s="297"/>
      <c r="F36" s="297"/>
      <c r="G36" s="297"/>
      <c r="H36" s="297"/>
      <c r="I36" s="297"/>
      <c r="J36" s="297"/>
      <c r="K36" s="297"/>
      <c r="L36" s="297"/>
      <c r="M36" s="297"/>
      <c r="N36" s="297"/>
      <c r="O36" s="297"/>
      <c r="P36" s="297"/>
      <c r="Q36" s="297"/>
      <c r="R36" s="297"/>
      <c r="S36" s="297"/>
      <c r="T36" s="286"/>
      <c r="U36" s="286"/>
      <c r="V36" s="286"/>
      <c r="W36" s="286"/>
      <c r="X36" s="286">
        <v>1873800</v>
      </c>
      <c r="Y36" s="286">
        <f>+X36+968750</f>
        <v>2842550</v>
      </c>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c r="CC36" s="286"/>
      <c r="CD36" s="286"/>
      <c r="CE36" s="286"/>
      <c r="CF36" s="286"/>
      <c r="CG36" s="286"/>
      <c r="CH36" s="286"/>
      <c r="CI36" s="286"/>
      <c r="CJ36" s="286"/>
      <c r="CK36" s="286"/>
      <c r="CL36" s="286"/>
      <c r="CM36" s="286"/>
      <c r="CN36" s="286"/>
      <c r="CO36" s="286"/>
      <c r="CP36" s="286"/>
      <c r="CQ36" s="286"/>
      <c r="CR36" s="286"/>
      <c r="CS36" s="286"/>
      <c r="CT36" s="286"/>
      <c r="CU36" s="286"/>
      <c r="CV36" s="286"/>
      <c r="CW36" s="286"/>
      <c r="CX36" s="286"/>
      <c r="CY36" s="286"/>
      <c r="CZ36" s="286"/>
      <c r="DA36" s="286"/>
      <c r="DB36" s="286"/>
      <c r="DC36" s="286"/>
      <c r="DD36" s="286"/>
      <c r="DE36" s="286"/>
      <c r="DF36" s="286"/>
      <c r="DG36" s="286"/>
      <c r="DH36" s="286"/>
      <c r="DI36" s="286"/>
      <c r="DJ36" s="286"/>
      <c r="DK36" s="286"/>
      <c r="DL36" s="286"/>
      <c r="DM36" s="286"/>
      <c r="DN36" s="286"/>
      <c r="DO36" s="286"/>
      <c r="DP36" s="286"/>
      <c r="DQ36" s="286"/>
      <c r="DR36" s="286"/>
      <c r="DS36" s="286"/>
      <c r="DT36" s="286"/>
      <c r="DU36" s="286"/>
      <c r="DV36" s="286"/>
      <c r="DW36" s="286"/>
      <c r="DX36" s="286"/>
      <c r="DY36" s="286"/>
      <c r="DZ36" s="286"/>
      <c r="EA36" s="286">
        <f>356421+2023579</f>
        <v>2380000</v>
      </c>
      <c r="EB36" s="286"/>
      <c r="EC36" s="286"/>
      <c r="ED36" s="286"/>
      <c r="EE36" s="286"/>
      <c r="EF36" s="286"/>
      <c r="EG36" s="286"/>
      <c r="EH36" s="286"/>
      <c r="EI36" s="286"/>
      <c r="EJ36" s="286"/>
      <c r="EK36" s="286"/>
      <c r="EL36" s="286"/>
      <c r="EM36" s="286"/>
      <c r="EN36" s="286"/>
      <c r="EO36" s="286"/>
      <c r="EP36" s="286"/>
      <c r="EQ36" s="286"/>
      <c r="ER36" s="286"/>
      <c r="ES36" s="286"/>
      <c r="ET36" s="286"/>
      <c r="EU36" s="286"/>
      <c r="EV36" s="286"/>
      <c r="EW36" s="286"/>
      <c r="EX36" s="286"/>
      <c r="EY36" s="286"/>
      <c r="EZ36" s="286"/>
      <c r="FA36" s="286"/>
      <c r="FB36" s="286"/>
      <c r="FC36" s="286"/>
      <c r="FD36" s="286"/>
      <c r="FE36" s="286"/>
      <c r="FF36" s="286"/>
      <c r="FG36" s="286"/>
      <c r="FH36" s="286"/>
      <c r="FI36" s="286"/>
      <c r="FJ36" s="286"/>
      <c r="FK36" s="286"/>
      <c r="FL36" s="286"/>
      <c r="FM36" s="286"/>
      <c r="FN36" s="286"/>
      <c r="FO36" s="286"/>
      <c r="FP36" s="286"/>
      <c r="FQ36" s="286"/>
      <c r="FR36" s="286"/>
      <c r="FS36" s="286"/>
      <c r="FT36" s="286"/>
      <c r="FU36" s="286"/>
      <c r="FV36" s="286"/>
      <c r="FW36" s="286"/>
      <c r="FX36" s="286"/>
      <c r="FY36" s="286"/>
      <c r="FZ36" s="286"/>
      <c r="GA36" s="286"/>
      <c r="GB36" s="286"/>
      <c r="GC36" s="286"/>
      <c r="GD36" s="286"/>
      <c r="GE36" s="286"/>
      <c r="GF36" s="286"/>
      <c r="GG36" s="286"/>
      <c r="GH36" s="286"/>
      <c r="GI36" s="286"/>
      <c r="GJ36" s="286"/>
      <c r="GK36" s="286"/>
      <c r="GL36" s="286"/>
      <c r="GM36" s="286"/>
      <c r="GN36" s="286"/>
      <c r="GO36" s="286"/>
      <c r="GP36" s="286"/>
      <c r="GQ36" s="286"/>
      <c r="GR36" s="286"/>
      <c r="GS36" s="286"/>
      <c r="GT36" s="286"/>
      <c r="GU36" s="286"/>
      <c r="GV36" s="286"/>
      <c r="GW36" s="286"/>
      <c r="GX36" s="286"/>
      <c r="GY36" s="286"/>
      <c r="GZ36" s="286"/>
      <c r="HA36" s="286"/>
      <c r="HB36" s="286"/>
      <c r="HC36" s="286"/>
      <c r="HD36" s="286"/>
      <c r="HE36" s="286"/>
      <c r="HF36" s="286"/>
      <c r="HG36" s="286"/>
      <c r="HH36" s="286"/>
      <c r="HI36" s="286"/>
      <c r="HJ36" s="286"/>
      <c r="HK36" s="286"/>
      <c r="HL36" s="286"/>
      <c r="HM36" s="286"/>
      <c r="HN36" s="286"/>
      <c r="HO36" s="286"/>
      <c r="HP36" s="286"/>
      <c r="HQ36" s="286"/>
      <c r="HR36" s="286"/>
      <c r="HS36" s="286"/>
      <c r="HT36" s="286"/>
      <c r="HU36" s="286"/>
      <c r="HV36" s="286"/>
      <c r="HW36" s="286"/>
      <c r="HX36" s="286"/>
      <c r="HY36" s="286"/>
      <c r="HZ36" s="286"/>
      <c r="IA36" s="286"/>
      <c r="IB36" s="286"/>
      <c r="IC36" s="286"/>
      <c r="ID36" s="957">
        <f t="shared" si="9"/>
        <v>0</v>
      </c>
      <c r="IE36" s="957">
        <f t="shared" si="1"/>
        <v>2380000</v>
      </c>
      <c r="IF36" s="258">
        <f t="shared" si="2"/>
        <v>1873800</v>
      </c>
      <c r="IG36" s="258">
        <f t="shared" si="3"/>
        <v>2842550</v>
      </c>
    </row>
    <row r="37" spans="1:241" s="260" customFormat="1" ht="21.75" customHeight="1" x14ac:dyDescent="0.3">
      <c r="A37" s="253" t="s">
        <v>269</v>
      </c>
      <c r="B37" s="262" t="s">
        <v>239</v>
      </c>
      <c r="C37" s="266" t="s">
        <v>216</v>
      </c>
      <c r="D37" s="285">
        <f t="shared" ref="D37:AI37" si="80">SUM(D30:D36)</f>
        <v>0</v>
      </c>
      <c r="E37" s="285">
        <f t="shared" si="80"/>
        <v>0</v>
      </c>
      <c r="F37" s="285">
        <f t="shared" si="80"/>
        <v>0</v>
      </c>
      <c r="G37" s="285">
        <f t="shared" si="80"/>
        <v>0</v>
      </c>
      <c r="H37" s="285">
        <f t="shared" si="80"/>
        <v>0</v>
      </c>
      <c r="I37" s="285">
        <f t="shared" si="80"/>
        <v>0</v>
      </c>
      <c r="J37" s="285">
        <f t="shared" si="80"/>
        <v>0</v>
      </c>
      <c r="K37" s="285">
        <f t="shared" si="80"/>
        <v>0</v>
      </c>
      <c r="L37" s="285">
        <f t="shared" si="80"/>
        <v>0</v>
      </c>
      <c r="M37" s="285">
        <f t="shared" si="80"/>
        <v>0</v>
      </c>
      <c r="N37" s="285">
        <f t="shared" si="80"/>
        <v>0</v>
      </c>
      <c r="O37" s="285">
        <f t="shared" si="80"/>
        <v>0</v>
      </c>
      <c r="P37" s="285">
        <f t="shared" si="80"/>
        <v>0</v>
      </c>
      <c r="Q37" s="285">
        <f t="shared" si="80"/>
        <v>0</v>
      </c>
      <c r="R37" s="285">
        <f t="shared" si="80"/>
        <v>0</v>
      </c>
      <c r="S37" s="285">
        <f t="shared" si="80"/>
        <v>0</v>
      </c>
      <c r="T37" s="285">
        <f t="shared" si="80"/>
        <v>0</v>
      </c>
      <c r="U37" s="285">
        <f t="shared" si="80"/>
        <v>0</v>
      </c>
      <c r="V37" s="285">
        <f t="shared" si="80"/>
        <v>10000000</v>
      </c>
      <c r="W37" s="285">
        <f t="shared" si="80"/>
        <v>40124317</v>
      </c>
      <c r="X37" s="285">
        <f t="shared" si="80"/>
        <v>1873800</v>
      </c>
      <c r="Y37" s="285">
        <f t="shared" si="80"/>
        <v>2842550</v>
      </c>
      <c r="Z37" s="285">
        <f t="shared" si="80"/>
        <v>51854877</v>
      </c>
      <c r="AA37" s="285">
        <f t="shared" si="80"/>
        <v>3125205</v>
      </c>
      <c r="AB37" s="285">
        <f t="shared" si="80"/>
        <v>0</v>
      </c>
      <c r="AC37" s="285">
        <f>SUM(AC30:AC36)</f>
        <v>119662641</v>
      </c>
      <c r="AD37" s="285">
        <f t="shared" si="80"/>
        <v>0</v>
      </c>
      <c r="AE37" s="285">
        <f t="shared" si="80"/>
        <v>0</v>
      </c>
      <c r="AF37" s="285">
        <f t="shared" si="80"/>
        <v>0</v>
      </c>
      <c r="AG37" s="285">
        <f t="shared" si="80"/>
        <v>0</v>
      </c>
      <c r="AH37" s="285">
        <f t="shared" si="80"/>
        <v>0</v>
      </c>
      <c r="AI37" s="285">
        <f t="shared" si="80"/>
        <v>0</v>
      </c>
      <c r="AJ37" s="285">
        <f t="shared" ref="AJ37:BO37" si="81">SUM(AJ30:AJ36)</f>
        <v>0</v>
      </c>
      <c r="AK37" s="285">
        <f t="shared" si="81"/>
        <v>0</v>
      </c>
      <c r="AL37" s="285">
        <f t="shared" si="81"/>
        <v>0</v>
      </c>
      <c r="AM37" s="285">
        <f t="shared" si="81"/>
        <v>0</v>
      </c>
      <c r="AN37" s="285">
        <f t="shared" si="81"/>
        <v>0</v>
      </c>
      <c r="AO37" s="285">
        <f t="shared" si="81"/>
        <v>0</v>
      </c>
      <c r="AP37" s="285">
        <f t="shared" si="81"/>
        <v>0</v>
      </c>
      <c r="AQ37" s="285">
        <f t="shared" si="81"/>
        <v>0</v>
      </c>
      <c r="AR37" s="285">
        <f t="shared" si="81"/>
        <v>0</v>
      </c>
      <c r="AS37" s="285">
        <f t="shared" si="81"/>
        <v>0</v>
      </c>
      <c r="AT37" s="285">
        <f t="shared" si="81"/>
        <v>0</v>
      </c>
      <c r="AU37" s="285">
        <f t="shared" si="81"/>
        <v>0</v>
      </c>
      <c r="AV37" s="285">
        <f t="shared" si="81"/>
        <v>0</v>
      </c>
      <c r="AW37" s="285">
        <f t="shared" si="81"/>
        <v>0</v>
      </c>
      <c r="AX37" s="285">
        <f t="shared" si="81"/>
        <v>0</v>
      </c>
      <c r="AY37" s="285">
        <f t="shared" si="81"/>
        <v>0</v>
      </c>
      <c r="AZ37" s="285">
        <f t="shared" si="81"/>
        <v>0</v>
      </c>
      <c r="BA37" s="285">
        <f t="shared" si="81"/>
        <v>0</v>
      </c>
      <c r="BB37" s="285">
        <f t="shared" si="81"/>
        <v>0</v>
      </c>
      <c r="BC37" s="285">
        <f t="shared" si="81"/>
        <v>0</v>
      </c>
      <c r="BD37" s="285">
        <f t="shared" si="81"/>
        <v>0</v>
      </c>
      <c r="BE37" s="285">
        <f t="shared" si="81"/>
        <v>0</v>
      </c>
      <c r="BF37" s="285">
        <f t="shared" si="81"/>
        <v>0</v>
      </c>
      <c r="BG37" s="285">
        <f t="shared" si="81"/>
        <v>0</v>
      </c>
      <c r="BH37" s="285">
        <f t="shared" si="81"/>
        <v>0</v>
      </c>
      <c r="BI37" s="285">
        <f t="shared" si="81"/>
        <v>0</v>
      </c>
      <c r="BJ37" s="285">
        <f t="shared" si="81"/>
        <v>0</v>
      </c>
      <c r="BK37" s="285">
        <f t="shared" si="81"/>
        <v>0</v>
      </c>
      <c r="BL37" s="285">
        <f t="shared" si="81"/>
        <v>0</v>
      </c>
      <c r="BM37" s="285">
        <f t="shared" si="81"/>
        <v>0</v>
      </c>
      <c r="BN37" s="285">
        <f t="shared" si="81"/>
        <v>0</v>
      </c>
      <c r="BO37" s="285">
        <f t="shared" si="81"/>
        <v>0</v>
      </c>
      <c r="BP37" s="285">
        <f t="shared" ref="BP37:CU37" si="82">SUM(BP30:BP36)</f>
        <v>0</v>
      </c>
      <c r="BQ37" s="285">
        <f t="shared" si="82"/>
        <v>0</v>
      </c>
      <c r="BR37" s="285">
        <f t="shared" si="82"/>
        <v>0</v>
      </c>
      <c r="BS37" s="285">
        <f t="shared" si="82"/>
        <v>0</v>
      </c>
      <c r="BT37" s="285">
        <f t="shared" si="82"/>
        <v>0</v>
      </c>
      <c r="BU37" s="285">
        <f t="shared" si="82"/>
        <v>0</v>
      </c>
      <c r="BV37" s="285">
        <f t="shared" si="82"/>
        <v>0</v>
      </c>
      <c r="BW37" s="285">
        <f t="shared" si="82"/>
        <v>0</v>
      </c>
      <c r="BX37" s="285">
        <f t="shared" si="82"/>
        <v>0</v>
      </c>
      <c r="BY37" s="285">
        <f t="shared" si="82"/>
        <v>0</v>
      </c>
      <c r="BZ37" s="285">
        <f t="shared" si="82"/>
        <v>42800000</v>
      </c>
      <c r="CA37" s="285">
        <f t="shared" si="82"/>
        <v>53747040</v>
      </c>
      <c r="CB37" s="285">
        <f t="shared" si="82"/>
        <v>2034400</v>
      </c>
      <c r="CC37" s="285">
        <f t="shared" si="82"/>
        <v>6276663</v>
      </c>
      <c r="CD37" s="285">
        <f t="shared" si="82"/>
        <v>0</v>
      </c>
      <c r="CE37" s="285">
        <f t="shared" si="82"/>
        <v>0</v>
      </c>
      <c r="CF37" s="285">
        <f t="shared" si="82"/>
        <v>0</v>
      </c>
      <c r="CG37" s="285">
        <f t="shared" si="82"/>
        <v>0</v>
      </c>
      <c r="CH37" s="285">
        <f t="shared" si="82"/>
        <v>0</v>
      </c>
      <c r="CI37" s="285">
        <f t="shared" si="82"/>
        <v>0</v>
      </c>
      <c r="CJ37" s="285">
        <f t="shared" si="82"/>
        <v>0</v>
      </c>
      <c r="CK37" s="285">
        <f t="shared" si="82"/>
        <v>0</v>
      </c>
      <c r="CL37" s="285">
        <f t="shared" si="82"/>
        <v>0</v>
      </c>
      <c r="CM37" s="285">
        <f t="shared" si="82"/>
        <v>0</v>
      </c>
      <c r="CN37" s="285">
        <f t="shared" si="82"/>
        <v>0</v>
      </c>
      <c r="CO37" s="285">
        <f t="shared" si="82"/>
        <v>0</v>
      </c>
      <c r="CP37" s="285">
        <f t="shared" si="82"/>
        <v>0</v>
      </c>
      <c r="CQ37" s="285">
        <f t="shared" si="82"/>
        <v>0</v>
      </c>
      <c r="CR37" s="285">
        <f t="shared" si="82"/>
        <v>0</v>
      </c>
      <c r="CS37" s="285">
        <f t="shared" si="82"/>
        <v>0</v>
      </c>
      <c r="CT37" s="285">
        <f t="shared" si="82"/>
        <v>14738681</v>
      </c>
      <c r="CU37" s="285">
        <f t="shared" si="82"/>
        <v>24804169</v>
      </c>
      <c r="CV37" s="285">
        <f t="shared" ref="CV37:EC37" si="83">SUM(CV30:CV36)</f>
        <v>677580</v>
      </c>
      <c r="CW37" s="285">
        <f t="shared" si="83"/>
        <v>2516636</v>
      </c>
      <c r="CX37" s="285">
        <f t="shared" ref="CX37:CY37" si="84">SUM(CX30:CX36)</f>
        <v>0</v>
      </c>
      <c r="CY37" s="285">
        <f t="shared" si="84"/>
        <v>0</v>
      </c>
      <c r="CZ37" s="285">
        <f t="shared" si="83"/>
        <v>5280000</v>
      </c>
      <c r="DA37" s="285">
        <f t="shared" si="83"/>
        <v>7327862</v>
      </c>
      <c r="DB37" s="285">
        <f t="shared" si="83"/>
        <v>46990000</v>
      </c>
      <c r="DC37" s="285">
        <f t="shared" si="83"/>
        <v>59168843</v>
      </c>
      <c r="DD37" s="285">
        <f t="shared" si="83"/>
        <v>0</v>
      </c>
      <c r="DE37" s="285">
        <f t="shared" si="83"/>
        <v>0</v>
      </c>
      <c r="DF37" s="285">
        <f t="shared" si="83"/>
        <v>7000000</v>
      </c>
      <c r="DG37" s="285">
        <f t="shared" si="83"/>
        <v>8693145</v>
      </c>
      <c r="DH37" s="285">
        <f t="shared" si="83"/>
        <v>0</v>
      </c>
      <c r="DI37" s="285">
        <f t="shared" si="83"/>
        <v>1090000</v>
      </c>
      <c r="DJ37" s="285">
        <f t="shared" si="83"/>
        <v>0</v>
      </c>
      <c r="DK37" s="285">
        <f t="shared" si="83"/>
        <v>0</v>
      </c>
      <c r="DL37" s="285">
        <f t="shared" si="83"/>
        <v>10000000</v>
      </c>
      <c r="DM37" s="285">
        <f t="shared" si="83"/>
        <v>29198179</v>
      </c>
      <c r="DN37" s="285">
        <f t="shared" si="83"/>
        <v>0</v>
      </c>
      <c r="DO37" s="285">
        <f t="shared" si="83"/>
        <v>0</v>
      </c>
      <c r="DP37" s="285">
        <f t="shared" si="83"/>
        <v>0</v>
      </c>
      <c r="DQ37" s="285">
        <f t="shared" si="83"/>
        <v>0</v>
      </c>
      <c r="DR37" s="285">
        <f t="shared" si="83"/>
        <v>0</v>
      </c>
      <c r="DS37" s="285">
        <f t="shared" si="83"/>
        <v>0</v>
      </c>
      <c r="DT37" s="285">
        <f t="shared" si="83"/>
        <v>0</v>
      </c>
      <c r="DU37" s="285">
        <f t="shared" si="83"/>
        <v>0</v>
      </c>
      <c r="DV37" s="285">
        <f t="shared" si="83"/>
        <v>0</v>
      </c>
      <c r="DW37" s="285">
        <f t="shared" si="83"/>
        <v>0</v>
      </c>
      <c r="DX37" s="285">
        <f t="shared" si="83"/>
        <v>0</v>
      </c>
      <c r="DY37" s="285">
        <f t="shared" si="83"/>
        <v>0</v>
      </c>
      <c r="DZ37" s="285">
        <f t="shared" si="83"/>
        <v>0</v>
      </c>
      <c r="EA37" s="285">
        <f t="shared" si="83"/>
        <v>2380000</v>
      </c>
      <c r="EB37" s="285">
        <f t="shared" si="83"/>
        <v>65000000</v>
      </c>
      <c r="EC37" s="285">
        <f t="shared" si="83"/>
        <v>65000000</v>
      </c>
      <c r="ED37" s="285">
        <f t="shared" ref="ED37:EE37" si="85">SUM(ED30:ED36)</f>
        <v>0</v>
      </c>
      <c r="EE37" s="285">
        <f t="shared" si="85"/>
        <v>3174760</v>
      </c>
      <c r="EF37" s="285">
        <f t="shared" ref="EF37:FM37" si="86">SUM(EF30:EF36)</f>
        <v>65000000</v>
      </c>
      <c r="EG37" s="285">
        <f t="shared" si="86"/>
        <v>0</v>
      </c>
      <c r="EH37" s="285">
        <f t="shared" si="86"/>
        <v>65000000</v>
      </c>
      <c r="EI37" s="285">
        <f t="shared" si="86"/>
        <v>65000000</v>
      </c>
      <c r="EJ37" s="285">
        <f t="shared" ref="EJ37:EK37" si="87">SUM(EJ30:EJ36)</f>
        <v>0</v>
      </c>
      <c r="EK37" s="285">
        <f t="shared" si="87"/>
        <v>43969369</v>
      </c>
      <c r="EL37" s="285">
        <f t="shared" si="86"/>
        <v>65000000</v>
      </c>
      <c r="EM37" s="285">
        <f t="shared" si="86"/>
        <v>0</v>
      </c>
      <c r="EN37" s="285">
        <f t="shared" si="86"/>
        <v>0</v>
      </c>
      <c r="EO37" s="285">
        <f t="shared" si="86"/>
        <v>0</v>
      </c>
      <c r="EP37" s="285">
        <f t="shared" si="86"/>
        <v>0</v>
      </c>
      <c r="EQ37" s="285">
        <f t="shared" si="86"/>
        <v>0</v>
      </c>
      <c r="ER37" s="285">
        <f t="shared" si="86"/>
        <v>0</v>
      </c>
      <c r="ES37" s="285">
        <f t="shared" si="86"/>
        <v>0</v>
      </c>
      <c r="ET37" s="285">
        <f t="shared" si="86"/>
        <v>0</v>
      </c>
      <c r="EU37" s="285">
        <f t="shared" si="86"/>
        <v>0</v>
      </c>
      <c r="EV37" s="285">
        <f t="shared" si="86"/>
        <v>0</v>
      </c>
      <c r="EW37" s="285">
        <f t="shared" si="86"/>
        <v>0</v>
      </c>
      <c r="EX37" s="285">
        <f t="shared" si="86"/>
        <v>0</v>
      </c>
      <c r="EY37" s="285">
        <f t="shared" si="86"/>
        <v>0</v>
      </c>
      <c r="EZ37" s="285">
        <f t="shared" si="86"/>
        <v>0</v>
      </c>
      <c r="FA37" s="285">
        <f t="shared" si="86"/>
        <v>0</v>
      </c>
      <c r="FB37" s="285">
        <f t="shared" si="86"/>
        <v>0</v>
      </c>
      <c r="FC37" s="285">
        <f t="shared" si="86"/>
        <v>0</v>
      </c>
      <c r="FD37" s="285">
        <f t="shared" si="86"/>
        <v>0</v>
      </c>
      <c r="FE37" s="285">
        <f t="shared" si="86"/>
        <v>0</v>
      </c>
      <c r="FF37" s="285">
        <f t="shared" si="86"/>
        <v>0</v>
      </c>
      <c r="FG37" s="285">
        <f t="shared" si="86"/>
        <v>0</v>
      </c>
      <c r="FH37" s="285">
        <f t="shared" si="86"/>
        <v>0</v>
      </c>
      <c r="FI37" s="285">
        <f t="shared" si="86"/>
        <v>0</v>
      </c>
      <c r="FJ37" s="285">
        <f t="shared" si="86"/>
        <v>0</v>
      </c>
      <c r="FK37" s="285">
        <f t="shared" si="86"/>
        <v>0</v>
      </c>
      <c r="FL37" s="285">
        <f t="shared" si="86"/>
        <v>0</v>
      </c>
      <c r="FM37" s="285">
        <f t="shared" si="86"/>
        <v>0</v>
      </c>
      <c r="FN37" s="285">
        <f t="shared" ref="FN37:GK37" si="88">SUM(FN30:FN36)</f>
        <v>0</v>
      </c>
      <c r="FO37" s="285">
        <f t="shared" si="88"/>
        <v>0</v>
      </c>
      <c r="FP37" s="285">
        <f t="shared" si="88"/>
        <v>0</v>
      </c>
      <c r="FQ37" s="285">
        <f t="shared" si="88"/>
        <v>0</v>
      </c>
      <c r="FR37" s="285">
        <f t="shared" si="88"/>
        <v>0</v>
      </c>
      <c r="FS37" s="285">
        <f t="shared" si="88"/>
        <v>0</v>
      </c>
      <c r="FT37" s="285">
        <f t="shared" si="88"/>
        <v>0</v>
      </c>
      <c r="FU37" s="285">
        <f t="shared" si="88"/>
        <v>0</v>
      </c>
      <c r="FV37" s="285">
        <f t="shared" si="88"/>
        <v>0</v>
      </c>
      <c r="FW37" s="285">
        <f t="shared" si="88"/>
        <v>0</v>
      </c>
      <c r="FX37" s="285">
        <f t="shared" si="88"/>
        <v>0</v>
      </c>
      <c r="FY37" s="285">
        <f t="shared" si="88"/>
        <v>0</v>
      </c>
      <c r="FZ37" s="285">
        <f t="shared" si="88"/>
        <v>0</v>
      </c>
      <c r="GA37" s="285">
        <f t="shared" si="88"/>
        <v>0</v>
      </c>
      <c r="GB37" s="285">
        <f t="shared" si="88"/>
        <v>0</v>
      </c>
      <c r="GC37" s="285">
        <f t="shared" si="88"/>
        <v>0</v>
      </c>
      <c r="GD37" s="285">
        <f t="shared" si="88"/>
        <v>0</v>
      </c>
      <c r="GE37" s="285">
        <f t="shared" si="88"/>
        <v>0</v>
      </c>
      <c r="GF37" s="285">
        <f t="shared" si="88"/>
        <v>0</v>
      </c>
      <c r="GG37" s="285">
        <f t="shared" si="88"/>
        <v>0</v>
      </c>
      <c r="GH37" s="285">
        <f t="shared" si="88"/>
        <v>0</v>
      </c>
      <c r="GI37" s="285">
        <f t="shared" si="88"/>
        <v>0</v>
      </c>
      <c r="GJ37" s="285">
        <f t="shared" si="88"/>
        <v>0</v>
      </c>
      <c r="GK37" s="285">
        <f t="shared" si="88"/>
        <v>0</v>
      </c>
      <c r="GL37" s="285">
        <f t="shared" ref="GL37:GV37" si="89">SUM(GL30:GL36)</f>
        <v>0</v>
      </c>
      <c r="GM37" s="285">
        <f>SUM(GM30:GM36)</f>
        <v>0</v>
      </c>
      <c r="GN37" s="285">
        <f t="shared" si="89"/>
        <v>0</v>
      </c>
      <c r="GO37" s="285">
        <f>SUM(GO30:GO36)</f>
        <v>54720000</v>
      </c>
      <c r="GP37" s="285">
        <f t="shared" si="89"/>
        <v>0</v>
      </c>
      <c r="GQ37" s="285">
        <f>SUM(GQ30:GQ36)</f>
        <v>0</v>
      </c>
      <c r="GR37" s="285">
        <f t="shared" si="89"/>
        <v>0</v>
      </c>
      <c r="GS37" s="285">
        <f>SUM(GS30:GS36)</f>
        <v>0</v>
      </c>
      <c r="GT37" s="285">
        <f t="shared" si="89"/>
        <v>0</v>
      </c>
      <c r="GU37" s="285">
        <f>SUM(GU30:GU36)</f>
        <v>0</v>
      </c>
      <c r="GV37" s="285">
        <f t="shared" si="89"/>
        <v>0</v>
      </c>
      <c r="GW37" s="285">
        <f t="shared" ref="GW37:HG37" si="90">SUM(GW30:GW36)</f>
        <v>0</v>
      </c>
      <c r="GX37" s="285">
        <f t="shared" si="90"/>
        <v>0</v>
      </c>
      <c r="GY37" s="285">
        <f t="shared" si="90"/>
        <v>0</v>
      </c>
      <c r="GZ37" s="285">
        <f t="shared" si="90"/>
        <v>0</v>
      </c>
      <c r="HA37" s="285">
        <f t="shared" si="90"/>
        <v>0</v>
      </c>
      <c r="HB37" s="285">
        <f t="shared" si="90"/>
        <v>0</v>
      </c>
      <c r="HC37" s="285">
        <f t="shared" si="90"/>
        <v>0</v>
      </c>
      <c r="HD37" s="285">
        <f t="shared" si="90"/>
        <v>0</v>
      </c>
      <c r="HE37" s="285">
        <f t="shared" si="90"/>
        <v>0</v>
      </c>
      <c r="HF37" s="285">
        <f t="shared" si="90"/>
        <v>0</v>
      </c>
      <c r="HG37" s="285">
        <f t="shared" si="90"/>
        <v>0</v>
      </c>
      <c r="HH37" s="285">
        <f t="shared" ref="HH37:HV37" si="91">SUM(HH30:HH36)</f>
        <v>0</v>
      </c>
      <c r="HI37" s="285">
        <f>SUM(HI30:HI36)</f>
        <v>0</v>
      </c>
      <c r="HJ37" s="285">
        <f t="shared" si="91"/>
        <v>0</v>
      </c>
      <c r="HK37" s="285">
        <f>SUM(HK30:HK36)</f>
        <v>0</v>
      </c>
      <c r="HL37" s="285">
        <f t="shared" si="91"/>
        <v>0</v>
      </c>
      <c r="HM37" s="285">
        <f>SUM(HM30:HM36)</f>
        <v>0</v>
      </c>
      <c r="HN37" s="285">
        <f t="shared" si="91"/>
        <v>0</v>
      </c>
      <c r="HO37" s="285">
        <f>SUM(HO30:HO36)</f>
        <v>0</v>
      </c>
      <c r="HP37" s="285">
        <f t="shared" si="91"/>
        <v>0</v>
      </c>
      <c r="HQ37" s="285">
        <f>SUM(HQ30:HQ36)</f>
        <v>0</v>
      </c>
      <c r="HR37" s="285">
        <f>SUM(HR30:HR36)</f>
        <v>0</v>
      </c>
      <c r="HS37" s="285">
        <f>SUM(HS30:HS36)</f>
        <v>0</v>
      </c>
      <c r="HT37" s="285">
        <f t="shared" si="91"/>
        <v>0</v>
      </c>
      <c r="HU37" s="285">
        <f>SUM(HU30:HU36)</f>
        <v>0</v>
      </c>
      <c r="HV37" s="285">
        <f t="shared" si="91"/>
        <v>0</v>
      </c>
      <c r="HW37" s="285">
        <f>SUM(HW30:HW36)</f>
        <v>0</v>
      </c>
      <c r="HX37" s="285">
        <f t="shared" ref="HX37:HY37" si="92">SUM(HX30:HX36)</f>
        <v>0</v>
      </c>
      <c r="HY37" s="285">
        <f t="shared" si="92"/>
        <v>314960630</v>
      </c>
      <c r="HZ37" s="285">
        <f t="shared" ref="HZ37:IA37" si="93">SUM(HZ30:HZ36)</f>
        <v>0</v>
      </c>
      <c r="IA37" s="285">
        <f t="shared" si="93"/>
        <v>0</v>
      </c>
      <c r="IB37" s="285">
        <f>SUM(IB30:IB36)</f>
        <v>0</v>
      </c>
      <c r="IC37" s="285">
        <f>SUM(IC30:IC36)</f>
        <v>0</v>
      </c>
      <c r="ID37" s="957">
        <f t="shared" si="9"/>
        <v>382520661</v>
      </c>
      <c r="IE37" s="957">
        <f t="shared" si="1"/>
        <v>547872300</v>
      </c>
      <c r="IF37" s="258">
        <f t="shared" si="2"/>
        <v>70728677</v>
      </c>
      <c r="IG37" s="258">
        <f t="shared" si="3"/>
        <v>359909709</v>
      </c>
    </row>
    <row r="38" spans="1:241" s="260" customFormat="1" ht="21.75" customHeight="1" x14ac:dyDescent="0.3">
      <c r="A38" s="253" t="s">
        <v>270</v>
      </c>
      <c r="B38" s="266" t="s">
        <v>240</v>
      </c>
      <c r="C38" s="255" t="s">
        <v>218</v>
      </c>
      <c r="D38" s="274">
        <f t="shared" ref="D38:K38" si="94">SUM(D40:D44)</f>
        <v>0</v>
      </c>
      <c r="E38" s="274">
        <f t="shared" si="94"/>
        <v>0</v>
      </c>
      <c r="F38" s="274">
        <f t="shared" si="94"/>
        <v>0</v>
      </c>
      <c r="G38" s="274">
        <f t="shared" si="94"/>
        <v>0</v>
      </c>
      <c r="H38" s="274">
        <f t="shared" si="94"/>
        <v>0</v>
      </c>
      <c r="I38" s="274">
        <f t="shared" si="94"/>
        <v>0</v>
      </c>
      <c r="J38" s="274">
        <f t="shared" si="94"/>
        <v>0</v>
      </c>
      <c r="K38" s="274">
        <f t="shared" si="94"/>
        <v>0</v>
      </c>
      <c r="L38" s="274">
        <f t="shared" ref="L38:Q38" si="95">SUM(L40:L44)</f>
        <v>0</v>
      </c>
      <c r="M38" s="274">
        <f t="shared" si="95"/>
        <v>0</v>
      </c>
      <c r="N38" s="274">
        <f t="shared" si="95"/>
        <v>0</v>
      </c>
      <c r="O38" s="274">
        <f t="shared" si="95"/>
        <v>0</v>
      </c>
      <c r="P38" s="274">
        <f t="shared" si="95"/>
        <v>0</v>
      </c>
      <c r="Q38" s="274">
        <f t="shared" si="95"/>
        <v>0</v>
      </c>
      <c r="R38" s="274">
        <f t="shared" ref="R38:AW38" si="96">SUM(R40:R44)</f>
        <v>0</v>
      </c>
      <c r="S38" s="274">
        <f t="shared" si="96"/>
        <v>0</v>
      </c>
      <c r="T38" s="274">
        <f t="shared" si="96"/>
        <v>0</v>
      </c>
      <c r="U38" s="274">
        <f t="shared" si="96"/>
        <v>0</v>
      </c>
      <c r="V38" s="274">
        <f t="shared" si="96"/>
        <v>0</v>
      </c>
      <c r="W38" s="274">
        <f t="shared" si="96"/>
        <v>0</v>
      </c>
      <c r="X38" s="274">
        <f t="shared" si="96"/>
        <v>0</v>
      </c>
      <c r="Y38" s="274">
        <f t="shared" si="96"/>
        <v>0</v>
      </c>
      <c r="Z38" s="274">
        <f t="shared" si="96"/>
        <v>0</v>
      </c>
      <c r="AA38" s="274">
        <f t="shared" si="96"/>
        <v>0</v>
      </c>
      <c r="AB38" s="274">
        <f t="shared" si="96"/>
        <v>3451968343</v>
      </c>
      <c r="AC38" s="274">
        <f>SUM(AC40:AC44)</f>
        <v>3904284986</v>
      </c>
      <c r="AD38" s="274">
        <f t="shared" si="96"/>
        <v>0</v>
      </c>
      <c r="AE38" s="274">
        <f t="shared" si="96"/>
        <v>0</v>
      </c>
      <c r="AF38" s="274">
        <f t="shared" si="96"/>
        <v>0</v>
      </c>
      <c r="AG38" s="274">
        <f t="shared" si="96"/>
        <v>0</v>
      </c>
      <c r="AH38" s="274">
        <f t="shared" si="96"/>
        <v>0</v>
      </c>
      <c r="AI38" s="274">
        <f t="shared" si="96"/>
        <v>0</v>
      </c>
      <c r="AJ38" s="274">
        <f t="shared" si="96"/>
        <v>0</v>
      </c>
      <c r="AK38" s="274">
        <f t="shared" si="96"/>
        <v>0</v>
      </c>
      <c r="AL38" s="274">
        <f t="shared" si="96"/>
        <v>0</v>
      </c>
      <c r="AM38" s="274">
        <f t="shared" si="96"/>
        <v>0</v>
      </c>
      <c r="AN38" s="274">
        <f t="shared" si="96"/>
        <v>0</v>
      </c>
      <c r="AO38" s="274">
        <f t="shared" si="96"/>
        <v>0</v>
      </c>
      <c r="AP38" s="274">
        <f t="shared" si="96"/>
        <v>0</v>
      </c>
      <c r="AQ38" s="274">
        <f t="shared" si="96"/>
        <v>0</v>
      </c>
      <c r="AR38" s="274">
        <f t="shared" si="96"/>
        <v>0</v>
      </c>
      <c r="AS38" s="274">
        <f t="shared" si="96"/>
        <v>0</v>
      </c>
      <c r="AT38" s="274">
        <f t="shared" si="96"/>
        <v>0</v>
      </c>
      <c r="AU38" s="274">
        <f t="shared" si="96"/>
        <v>0</v>
      </c>
      <c r="AV38" s="274">
        <f t="shared" si="96"/>
        <v>0</v>
      </c>
      <c r="AW38" s="274">
        <f t="shared" si="96"/>
        <v>0</v>
      </c>
      <c r="AX38" s="274">
        <f t="shared" ref="AX38:CC38" si="97">SUM(AX40:AX44)</f>
        <v>0</v>
      </c>
      <c r="AY38" s="274">
        <f t="shared" si="97"/>
        <v>0</v>
      </c>
      <c r="AZ38" s="274">
        <f t="shared" si="97"/>
        <v>0</v>
      </c>
      <c r="BA38" s="274">
        <f t="shared" si="97"/>
        <v>0</v>
      </c>
      <c r="BB38" s="274">
        <f t="shared" si="97"/>
        <v>0</v>
      </c>
      <c r="BC38" s="274">
        <f t="shared" si="97"/>
        <v>0</v>
      </c>
      <c r="BD38" s="274">
        <f t="shared" si="97"/>
        <v>0</v>
      </c>
      <c r="BE38" s="274">
        <f t="shared" si="97"/>
        <v>0</v>
      </c>
      <c r="BF38" s="274">
        <f t="shared" si="97"/>
        <v>0</v>
      </c>
      <c r="BG38" s="274">
        <f t="shared" si="97"/>
        <v>0</v>
      </c>
      <c r="BH38" s="274">
        <f t="shared" si="97"/>
        <v>0</v>
      </c>
      <c r="BI38" s="274">
        <f t="shared" si="97"/>
        <v>0</v>
      </c>
      <c r="BJ38" s="274">
        <f t="shared" si="97"/>
        <v>0</v>
      </c>
      <c r="BK38" s="274">
        <f t="shared" si="97"/>
        <v>0</v>
      </c>
      <c r="BL38" s="274">
        <f t="shared" si="97"/>
        <v>0</v>
      </c>
      <c r="BM38" s="274">
        <f t="shared" si="97"/>
        <v>0</v>
      </c>
      <c r="BN38" s="274">
        <f t="shared" si="97"/>
        <v>0</v>
      </c>
      <c r="BO38" s="274">
        <f t="shared" si="97"/>
        <v>0</v>
      </c>
      <c r="BP38" s="274">
        <f t="shared" si="97"/>
        <v>0</v>
      </c>
      <c r="BQ38" s="274">
        <f t="shared" si="97"/>
        <v>0</v>
      </c>
      <c r="BR38" s="274">
        <f t="shared" si="97"/>
        <v>0</v>
      </c>
      <c r="BS38" s="274">
        <f t="shared" si="97"/>
        <v>0</v>
      </c>
      <c r="BT38" s="274">
        <f t="shared" si="97"/>
        <v>0</v>
      </c>
      <c r="BU38" s="274">
        <f t="shared" si="97"/>
        <v>0</v>
      </c>
      <c r="BV38" s="274">
        <f t="shared" si="97"/>
        <v>0</v>
      </c>
      <c r="BW38" s="274">
        <f t="shared" si="97"/>
        <v>0</v>
      </c>
      <c r="BX38" s="274">
        <f t="shared" si="97"/>
        <v>0</v>
      </c>
      <c r="BY38" s="274">
        <f t="shared" si="97"/>
        <v>0</v>
      </c>
      <c r="BZ38" s="274">
        <f t="shared" si="97"/>
        <v>0</v>
      </c>
      <c r="CA38" s="274">
        <f t="shared" si="97"/>
        <v>0</v>
      </c>
      <c r="CB38" s="274">
        <f t="shared" si="97"/>
        <v>0</v>
      </c>
      <c r="CC38" s="274">
        <f t="shared" si="97"/>
        <v>0</v>
      </c>
      <c r="CD38" s="274">
        <f t="shared" ref="CD38:DK38" si="98">SUM(CD40:CD44)</f>
        <v>0</v>
      </c>
      <c r="CE38" s="274">
        <f t="shared" si="98"/>
        <v>0</v>
      </c>
      <c r="CF38" s="274">
        <f t="shared" si="98"/>
        <v>0</v>
      </c>
      <c r="CG38" s="274">
        <f t="shared" si="98"/>
        <v>0</v>
      </c>
      <c r="CH38" s="274">
        <f t="shared" si="98"/>
        <v>0</v>
      </c>
      <c r="CI38" s="274">
        <f t="shared" si="98"/>
        <v>0</v>
      </c>
      <c r="CJ38" s="274">
        <f t="shared" si="98"/>
        <v>0</v>
      </c>
      <c r="CK38" s="274">
        <f t="shared" si="98"/>
        <v>0</v>
      </c>
      <c r="CL38" s="274">
        <f t="shared" si="98"/>
        <v>0</v>
      </c>
      <c r="CM38" s="274">
        <f t="shared" si="98"/>
        <v>0</v>
      </c>
      <c r="CN38" s="274">
        <f t="shared" si="98"/>
        <v>0</v>
      </c>
      <c r="CO38" s="274">
        <f t="shared" si="98"/>
        <v>0</v>
      </c>
      <c r="CP38" s="274">
        <f t="shared" si="98"/>
        <v>0</v>
      </c>
      <c r="CQ38" s="274">
        <f t="shared" si="98"/>
        <v>0</v>
      </c>
      <c r="CR38" s="274">
        <f t="shared" si="98"/>
        <v>0</v>
      </c>
      <c r="CS38" s="274">
        <f t="shared" si="98"/>
        <v>0</v>
      </c>
      <c r="CT38" s="274">
        <f t="shared" si="98"/>
        <v>0</v>
      </c>
      <c r="CU38" s="274">
        <f t="shared" si="98"/>
        <v>0</v>
      </c>
      <c r="CV38" s="274">
        <f t="shared" si="98"/>
        <v>0</v>
      </c>
      <c r="CW38" s="274">
        <f t="shared" si="98"/>
        <v>0</v>
      </c>
      <c r="CX38" s="274">
        <f t="shared" ref="CX38:CY38" si="99">SUM(CX40:CX44)</f>
        <v>0</v>
      </c>
      <c r="CY38" s="274">
        <f t="shared" si="99"/>
        <v>0</v>
      </c>
      <c r="CZ38" s="274">
        <f t="shared" si="98"/>
        <v>0</v>
      </c>
      <c r="DA38" s="274">
        <f t="shared" si="98"/>
        <v>0</v>
      </c>
      <c r="DB38" s="274">
        <f t="shared" si="98"/>
        <v>0</v>
      </c>
      <c r="DC38" s="274">
        <f t="shared" si="98"/>
        <v>0</v>
      </c>
      <c r="DD38" s="274">
        <f t="shared" si="98"/>
        <v>0</v>
      </c>
      <c r="DE38" s="274">
        <f t="shared" si="98"/>
        <v>0</v>
      </c>
      <c r="DF38" s="274">
        <f t="shared" si="98"/>
        <v>0</v>
      </c>
      <c r="DG38" s="274">
        <f t="shared" si="98"/>
        <v>0</v>
      </c>
      <c r="DH38" s="274">
        <f t="shared" si="98"/>
        <v>0</v>
      </c>
      <c r="DI38" s="274">
        <f t="shared" si="98"/>
        <v>0</v>
      </c>
      <c r="DJ38" s="274">
        <f t="shared" si="98"/>
        <v>0</v>
      </c>
      <c r="DK38" s="274">
        <f t="shared" si="98"/>
        <v>0</v>
      </c>
      <c r="DL38" s="274">
        <f t="shared" ref="DL38:EU38" si="100">SUM(DL40:DL44)</f>
        <v>0</v>
      </c>
      <c r="DM38" s="274">
        <f t="shared" si="100"/>
        <v>0</v>
      </c>
      <c r="DN38" s="274">
        <f t="shared" si="100"/>
        <v>0</v>
      </c>
      <c r="DO38" s="274">
        <f t="shared" si="100"/>
        <v>0</v>
      </c>
      <c r="DP38" s="274">
        <f t="shared" si="100"/>
        <v>0</v>
      </c>
      <c r="DQ38" s="274">
        <f t="shared" si="100"/>
        <v>0</v>
      </c>
      <c r="DR38" s="274">
        <f t="shared" si="100"/>
        <v>0</v>
      </c>
      <c r="DS38" s="274">
        <f t="shared" si="100"/>
        <v>0</v>
      </c>
      <c r="DT38" s="274">
        <f t="shared" si="100"/>
        <v>0</v>
      </c>
      <c r="DU38" s="274">
        <f t="shared" si="100"/>
        <v>0</v>
      </c>
      <c r="DV38" s="274">
        <f t="shared" si="100"/>
        <v>0</v>
      </c>
      <c r="DW38" s="274">
        <f t="shared" si="100"/>
        <v>0</v>
      </c>
      <c r="DX38" s="274">
        <f t="shared" si="100"/>
        <v>0</v>
      </c>
      <c r="DY38" s="274">
        <f t="shared" si="100"/>
        <v>0</v>
      </c>
      <c r="DZ38" s="274">
        <f t="shared" si="100"/>
        <v>0</v>
      </c>
      <c r="EA38" s="274">
        <f t="shared" si="100"/>
        <v>0</v>
      </c>
      <c r="EB38" s="274">
        <f t="shared" si="100"/>
        <v>0</v>
      </c>
      <c r="EC38" s="274">
        <f t="shared" si="100"/>
        <v>0</v>
      </c>
      <c r="ED38" s="274">
        <f t="shared" ref="ED38:EE38" si="101">SUM(ED40:ED44)</f>
        <v>0</v>
      </c>
      <c r="EE38" s="274">
        <f t="shared" si="101"/>
        <v>0</v>
      </c>
      <c r="EF38" s="274">
        <f t="shared" si="100"/>
        <v>0</v>
      </c>
      <c r="EG38" s="274">
        <f t="shared" si="100"/>
        <v>0</v>
      </c>
      <c r="EH38" s="274">
        <f t="shared" si="100"/>
        <v>0</v>
      </c>
      <c r="EI38" s="274">
        <f t="shared" si="100"/>
        <v>0</v>
      </c>
      <c r="EJ38" s="274">
        <f t="shared" ref="EJ38:EK38" si="102">SUM(EJ40:EJ44)</f>
        <v>0</v>
      </c>
      <c r="EK38" s="274">
        <f t="shared" si="102"/>
        <v>0</v>
      </c>
      <c r="EL38" s="274">
        <f t="shared" si="100"/>
        <v>0</v>
      </c>
      <c r="EM38" s="274">
        <f t="shared" si="100"/>
        <v>0</v>
      </c>
      <c r="EN38" s="274">
        <f t="shared" si="100"/>
        <v>0</v>
      </c>
      <c r="EO38" s="274">
        <f t="shared" si="100"/>
        <v>0</v>
      </c>
      <c r="EP38" s="274">
        <f t="shared" si="100"/>
        <v>0</v>
      </c>
      <c r="EQ38" s="274">
        <f t="shared" si="100"/>
        <v>0</v>
      </c>
      <c r="ER38" s="274">
        <f t="shared" si="100"/>
        <v>0</v>
      </c>
      <c r="ES38" s="274">
        <f t="shared" si="100"/>
        <v>0</v>
      </c>
      <c r="ET38" s="274">
        <f t="shared" si="100"/>
        <v>0</v>
      </c>
      <c r="EU38" s="274">
        <f t="shared" si="100"/>
        <v>0</v>
      </c>
      <c r="EV38" s="274">
        <f t="shared" ref="EV38:GA38" si="103">SUM(EV40:EV44)</f>
        <v>0</v>
      </c>
      <c r="EW38" s="274">
        <f t="shared" si="103"/>
        <v>0</v>
      </c>
      <c r="EX38" s="274">
        <f t="shared" si="103"/>
        <v>0</v>
      </c>
      <c r="EY38" s="274">
        <f t="shared" si="103"/>
        <v>0</v>
      </c>
      <c r="EZ38" s="274">
        <f t="shared" si="103"/>
        <v>0</v>
      </c>
      <c r="FA38" s="274">
        <f t="shared" si="103"/>
        <v>0</v>
      </c>
      <c r="FB38" s="274">
        <f t="shared" si="103"/>
        <v>0</v>
      </c>
      <c r="FC38" s="274">
        <f t="shared" si="103"/>
        <v>0</v>
      </c>
      <c r="FD38" s="274">
        <f t="shared" si="103"/>
        <v>0</v>
      </c>
      <c r="FE38" s="274">
        <f t="shared" si="103"/>
        <v>0</v>
      </c>
      <c r="FF38" s="274">
        <f t="shared" si="103"/>
        <v>0</v>
      </c>
      <c r="FG38" s="274">
        <f t="shared" si="103"/>
        <v>0</v>
      </c>
      <c r="FH38" s="274">
        <f t="shared" si="103"/>
        <v>0</v>
      </c>
      <c r="FI38" s="274">
        <f t="shared" si="103"/>
        <v>0</v>
      </c>
      <c r="FJ38" s="274">
        <f t="shared" si="103"/>
        <v>0</v>
      </c>
      <c r="FK38" s="274">
        <f t="shared" si="103"/>
        <v>0</v>
      </c>
      <c r="FL38" s="274">
        <f t="shared" si="103"/>
        <v>0</v>
      </c>
      <c r="FM38" s="274">
        <f t="shared" si="103"/>
        <v>0</v>
      </c>
      <c r="FN38" s="274">
        <f t="shared" si="103"/>
        <v>0</v>
      </c>
      <c r="FO38" s="274">
        <f t="shared" si="103"/>
        <v>0</v>
      </c>
      <c r="FP38" s="274">
        <f t="shared" si="103"/>
        <v>0</v>
      </c>
      <c r="FQ38" s="274">
        <f t="shared" si="103"/>
        <v>0</v>
      </c>
      <c r="FR38" s="274">
        <f t="shared" si="103"/>
        <v>0</v>
      </c>
      <c r="FS38" s="274">
        <f t="shared" si="103"/>
        <v>0</v>
      </c>
      <c r="FT38" s="274">
        <f t="shared" si="103"/>
        <v>0</v>
      </c>
      <c r="FU38" s="274">
        <f t="shared" si="103"/>
        <v>0</v>
      </c>
      <c r="FV38" s="274">
        <f t="shared" si="103"/>
        <v>0</v>
      </c>
      <c r="FW38" s="274">
        <f t="shared" si="103"/>
        <v>0</v>
      </c>
      <c r="FX38" s="274">
        <f t="shared" si="103"/>
        <v>0</v>
      </c>
      <c r="FY38" s="274">
        <f t="shared" si="103"/>
        <v>0</v>
      </c>
      <c r="FZ38" s="274">
        <f t="shared" si="103"/>
        <v>0</v>
      </c>
      <c r="GA38" s="274">
        <f t="shared" si="103"/>
        <v>0</v>
      </c>
      <c r="GB38" s="274">
        <f t="shared" ref="GB38:GK38" si="104">SUM(GB40:GB44)</f>
        <v>0</v>
      </c>
      <c r="GC38" s="274">
        <f t="shared" si="104"/>
        <v>0</v>
      </c>
      <c r="GD38" s="274">
        <f t="shared" si="104"/>
        <v>0</v>
      </c>
      <c r="GE38" s="274">
        <f t="shared" si="104"/>
        <v>0</v>
      </c>
      <c r="GF38" s="274">
        <f t="shared" si="104"/>
        <v>0</v>
      </c>
      <c r="GG38" s="274">
        <f t="shared" si="104"/>
        <v>0</v>
      </c>
      <c r="GH38" s="274">
        <f t="shared" si="104"/>
        <v>0</v>
      </c>
      <c r="GI38" s="274">
        <f t="shared" si="104"/>
        <v>0</v>
      </c>
      <c r="GJ38" s="274">
        <f t="shared" si="104"/>
        <v>0</v>
      </c>
      <c r="GK38" s="274">
        <f t="shared" si="104"/>
        <v>0</v>
      </c>
      <c r="GL38" s="274">
        <f t="shared" ref="GL38:GV38" si="105">SUM(GL40:GL44)</f>
        <v>0</v>
      </c>
      <c r="GM38" s="274">
        <f>SUM(GM40:GM44)</f>
        <v>0</v>
      </c>
      <c r="GN38" s="274">
        <f t="shared" si="105"/>
        <v>0</v>
      </c>
      <c r="GO38" s="274">
        <f>SUM(GO40:GO44)</f>
        <v>0</v>
      </c>
      <c r="GP38" s="274">
        <f t="shared" si="105"/>
        <v>0</v>
      </c>
      <c r="GQ38" s="274">
        <f>SUM(GQ40:GQ44)</f>
        <v>0</v>
      </c>
      <c r="GR38" s="274">
        <f t="shared" si="105"/>
        <v>0</v>
      </c>
      <c r="GS38" s="274">
        <f>SUM(GS40:GS44)</f>
        <v>0</v>
      </c>
      <c r="GT38" s="274">
        <f t="shared" si="105"/>
        <v>0</v>
      </c>
      <c r="GU38" s="274">
        <f>SUM(GU40:GU44)</f>
        <v>0</v>
      </c>
      <c r="GV38" s="274">
        <f t="shared" si="105"/>
        <v>0</v>
      </c>
      <c r="GW38" s="274">
        <f t="shared" ref="GW38:HG38" si="106">SUM(GW40:GW44)</f>
        <v>0</v>
      </c>
      <c r="GX38" s="274">
        <f t="shared" si="106"/>
        <v>0</v>
      </c>
      <c r="GY38" s="274">
        <f t="shared" si="106"/>
        <v>0</v>
      </c>
      <c r="GZ38" s="274">
        <f t="shared" si="106"/>
        <v>0</v>
      </c>
      <c r="HA38" s="274">
        <f t="shared" si="106"/>
        <v>0</v>
      </c>
      <c r="HB38" s="274">
        <f t="shared" si="106"/>
        <v>0</v>
      </c>
      <c r="HC38" s="274">
        <f t="shared" si="106"/>
        <v>0</v>
      </c>
      <c r="HD38" s="274">
        <f t="shared" si="106"/>
        <v>0</v>
      </c>
      <c r="HE38" s="274">
        <f t="shared" si="106"/>
        <v>0</v>
      </c>
      <c r="HF38" s="274">
        <f t="shared" si="106"/>
        <v>0</v>
      </c>
      <c r="HG38" s="274">
        <f t="shared" si="106"/>
        <v>0</v>
      </c>
      <c r="HH38" s="274">
        <f t="shared" ref="HH38:HV38" si="107">SUM(HH40:HH44)</f>
        <v>0</v>
      </c>
      <c r="HI38" s="274">
        <f>SUM(HI40:HI44)</f>
        <v>0</v>
      </c>
      <c r="HJ38" s="274">
        <f t="shared" si="107"/>
        <v>0</v>
      </c>
      <c r="HK38" s="274">
        <f>SUM(HK40:HK44)</f>
        <v>0</v>
      </c>
      <c r="HL38" s="274">
        <f t="shared" si="107"/>
        <v>0</v>
      </c>
      <c r="HM38" s="274">
        <f>SUM(HM40:HM44)</f>
        <v>0</v>
      </c>
      <c r="HN38" s="274">
        <f t="shared" si="107"/>
        <v>0</v>
      </c>
      <c r="HO38" s="274">
        <f>SUM(HO40:HO44)</f>
        <v>0</v>
      </c>
      <c r="HP38" s="274">
        <f t="shared" si="107"/>
        <v>0</v>
      </c>
      <c r="HQ38" s="274">
        <f>SUM(HQ40:HQ44)</f>
        <v>0</v>
      </c>
      <c r="HR38" s="274">
        <f>SUM(HR40:HR44)</f>
        <v>0</v>
      </c>
      <c r="HS38" s="274">
        <f>SUM(HS40:HS44)</f>
        <v>0</v>
      </c>
      <c r="HT38" s="274">
        <f t="shared" si="107"/>
        <v>0</v>
      </c>
      <c r="HU38" s="274">
        <f>SUM(HU40:HU44)</f>
        <v>0</v>
      </c>
      <c r="HV38" s="274">
        <f t="shared" si="107"/>
        <v>0</v>
      </c>
      <c r="HW38" s="274">
        <f>SUM(HW40:HW44)</f>
        <v>0</v>
      </c>
      <c r="HX38" s="274">
        <f t="shared" ref="HX38:HY38" si="108">SUM(HX40:HX44)</f>
        <v>0</v>
      </c>
      <c r="HY38" s="274">
        <f t="shared" si="108"/>
        <v>0</v>
      </c>
      <c r="HZ38" s="274">
        <f t="shared" ref="HZ38:IA38" si="109">SUM(HZ40:HZ44)</f>
        <v>0</v>
      </c>
      <c r="IA38" s="274">
        <f t="shared" si="109"/>
        <v>0</v>
      </c>
      <c r="IB38" s="274">
        <f>SUM(IB40:IB44)</f>
        <v>0</v>
      </c>
      <c r="IC38" s="274">
        <f>SUM(IC40:IC44)</f>
        <v>0</v>
      </c>
      <c r="ID38" s="957">
        <f t="shared" si="9"/>
        <v>3451968343</v>
      </c>
      <c r="IE38" s="957">
        <f t="shared" si="1"/>
        <v>3904284986</v>
      </c>
      <c r="IF38" s="258">
        <f t="shared" si="2"/>
        <v>0</v>
      </c>
      <c r="IG38" s="258">
        <f t="shared" si="3"/>
        <v>0</v>
      </c>
    </row>
    <row r="39" spans="1:241" s="260" customFormat="1" ht="21.75" customHeight="1" x14ac:dyDescent="0.3">
      <c r="A39" s="253" t="s">
        <v>271</v>
      </c>
      <c r="B39" s="267" t="s">
        <v>566</v>
      </c>
      <c r="C39" s="255"/>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BV39" s="274"/>
      <c r="BW39" s="274"/>
      <c r="BX39" s="274"/>
      <c r="BY39" s="274"/>
      <c r="BZ39" s="274"/>
      <c r="CA39" s="274"/>
      <c r="CB39" s="274"/>
      <c r="CC39" s="274"/>
      <c r="CD39" s="274"/>
      <c r="CE39" s="274"/>
      <c r="CF39" s="274"/>
      <c r="CG39" s="274"/>
      <c r="CH39" s="274"/>
      <c r="CI39" s="274"/>
      <c r="CJ39" s="274"/>
      <c r="CK39" s="274"/>
      <c r="CL39" s="274"/>
      <c r="CM39" s="274"/>
      <c r="CN39" s="274"/>
      <c r="CO39" s="274"/>
      <c r="CP39" s="274"/>
      <c r="CQ39" s="274"/>
      <c r="CR39" s="274"/>
      <c r="CS39" s="274"/>
      <c r="CT39" s="274"/>
      <c r="CU39" s="274"/>
      <c r="CV39" s="274"/>
      <c r="CW39" s="274"/>
      <c r="CX39" s="274"/>
      <c r="CY39" s="274"/>
      <c r="CZ39" s="274"/>
      <c r="DA39" s="274"/>
      <c r="DB39" s="274"/>
      <c r="DC39" s="274"/>
      <c r="DD39" s="274"/>
      <c r="DE39" s="274"/>
      <c r="DF39" s="274"/>
      <c r="DG39" s="274"/>
      <c r="DH39" s="274"/>
      <c r="DI39" s="274"/>
      <c r="DJ39" s="274"/>
      <c r="DK39" s="274"/>
      <c r="DL39" s="274"/>
      <c r="DM39" s="274"/>
      <c r="DN39" s="274"/>
      <c r="DO39" s="274"/>
      <c r="DP39" s="274"/>
      <c r="DQ39" s="274"/>
      <c r="DR39" s="274"/>
      <c r="DS39" s="274"/>
      <c r="DT39" s="274"/>
      <c r="DU39" s="274"/>
      <c r="DV39" s="274"/>
      <c r="DW39" s="274"/>
      <c r="DX39" s="274"/>
      <c r="DY39" s="274"/>
      <c r="DZ39" s="274"/>
      <c r="EA39" s="274"/>
      <c r="EB39" s="274"/>
      <c r="EC39" s="274"/>
      <c r="ED39" s="274"/>
      <c r="EE39" s="274"/>
      <c r="EF39" s="274"/>
      <c r="EG39" s="274"/>
      <c r="EH39" s="274"/>
      <c r="EI39" s="274"/>
      <c r="EJ39" s="274"/>
      <c r="EK39" s="274"/>
      <c r="EL39" s="274"/>
      <c r="EM39" s="274"/>
      <c r="EN39" s="274"/>
      <c r="EO39" s="274"/>
      <c r="EP39" s="274"/>
      <c r="EQ39" s="274"/>
      <c r="ER39" s="274"/>
      <c r="ES39" s="274"/>
      <c r="ET39" s="274"/>
      <c r="EU39" s="274"/>
      <c r="EV39" s="274"/>
      <c r="EW39" s="274"/>
      <c r="EX39" s="274"/>
      <c r="EY39" s="274"/>
      <c r="EZ39" s="274"/>
      <c r="FA39" s="274"/>
      <c r="FB39" s="274"/>
      <c r="FC39" s="274"/>
      <c r="FD39" s="274"/>
      <c r="FE39" s="274"/>
      <c r="FF39" s="274"/>
      <c r="FG39" s="274"/>
      <c r="FH39" s="274"/>
      <c r="FI39" s="274"/>
      <c r="FJ39" s="274"/>
      <c r="FK39" s="274"/>
      <c r="FL39" s="274"/>
      <c r="FM39" s="274"/>
      <c r="FN39" s="274"/>
      <c r="FO39" s="274"/>
      <c r="FP39" s="274"/>
      <c r="FQ39" s="274"/>
      <c r="FR39" s="274"/>
      <c r="FS39" s="274"/>
      <c r="FT39" s="274"/>
      <c r="FU39" s="274"/>
      <c r="FV39" s="274"/>
      <c r="FW39" s="274"/>
      <c r="FX39" s="274"/>
      <c r="FY39" s="274"/>
      <c r="FZ39" s="274"/>
      <c r="GA39" s="274"/>
      <c r="GB39" s="274"/>
      <c r="GC39" s="274"/>
      <c r="GD39" s="274"/>
      <c r="GE39" s="274"/>
      <c r="GF39" s="274"/>
      <c r="GG39" s="274"/>
      <c r="GH39" s="274"/>
      <c r="GI39" s="274"/>
      <c r="GJ39" s="274"/>
      <c r="GK39" s="274"/>
      <c r="GL39" s="274"/>
      <c r="GM39" s="274"/>
      <c r="GN39" s="274"/>
      <c r="GO39" s="274"/>
      <c r="GP39" s="274"/>
      <c r="GQ39" s="274"/>
      <c r="GR39" s="274"/>
      <c r="GS39" s="274"/>
      <c r="GT39" s="274"/>
      <c r="GU39" s="274"/>
      <c r="GV39" s="274"/>
      <c r="GW39" s="274"/>
      <c r="GX39" s="274"/>
      <c r="GY39" s="274"/>
      <c r="GZ39" s="274"/>
      <c r="HA39" s="274"/>
      <c r="HB39" s="274"/>
      <c r="HC39" s="274"/>
      <c r="HD39" s="274"/>
      <c r="HE39" s="274"/>
      <c r="HF39" s="274"/>
      <c r="HG39" s="274"/>
      <c r="HH39" s="274"/>
      <c r="HI39" s="274"/>
      <c r="HJ39" s="274"/>
      <c r="HK39" s="274"/>
      <c r="HL39" s="274"/>
      <c r="HM39" s="274"/>
      <c r="HN39" s="274"/>
      <c r="HO39" s="274"/>
      <c r="HP39" s="274"/>
      <c r="HQ39" s="274"/>
      <c r="HR39" s="274"/>
      <c r="HS39" s="274"/>
      <c r="HT39" s="274"/>
      <c r="HU39" s="274"/>
      <c r="HV39" s="274"/>
      <c r="HW39" s="274"/>
      <c r="HX39" s="274"/>
      <c r="HY39" s="274"/>
      <c r="HZ39" s="274"/>
      <c r="IA39" s="274"/>
      <c r="IB39" s="274"/>
      <c r="IC39" s="274"/>
      <c r="ID39" s="957">
        <f t="shared" si="9"/>
        <v>0</v>
      </c>
      <c r="IE39" s="957">
        <f t="shared" si="1"/>
        <v>0</v>
      </c>
      <c r="IF39" s="258">
        <f t="shared" si="2"/>
        <v>0</v>
      </c>
      <c r="IG39" s="258">
        <f t="shared" si="3"/>
        <v>0</v>
      </c>
    </row>
    <row r="40" spans="1:241" s="268" customFormat="1" ht="21.75" customHeight="1" x14ac:dyDescent="0.3">
      <c r="A40" s="253" t="s">
        <v>272</v>
      </c>
      <c r="B40" s="267" t="s">
        <v>846</v>
      </c>
      <c r="C40" s="264"/>
      <c r="D40" s="284"/>
      <c r="E40" s="284"/>
      <c r="F40" s="284"/>
      <c r="G40" s="284"/>
      <c r="H40" s="284"/>
      <c r="I40" s="284"/>
      <c r="J40" s="284"/>
      <c r="K40" s="284"/>
      <c r="L40" s="284"/>
      <c r="M40" s="284"/>
      <c r="N40" s="284"/>
      <c r="O40" s="284"/>
      <c r="P40" s="284"/>
      <c r="Q40" s="284"/>
      <c r="R40" s="284"/>
      <c r="S40" s="284"/>
      <c r="T40" s="296"/>
      <c r="U40" s="296"/>
      <c r="V40" s="296"/>
      <c r="W40" s="296"/>
      <c r="X40" s="296"/>
      <c r="Y40" s="296"/>
      <c r="Z40" s="296"/>
      <c r="AA40" s="296"/>
      <c r="AB40" s="296">
        <f>2229750000+72036518+8014810+83831325</f>
        <v>2393632653</v>
      </c>
      <c r="AC40" s="296">
        <f>+AB40+208476643</f>
        <v>2602109296</v>
      </c>
      <c r="AD40" s="296"/>
      <c r="AE40" s="296"/>
      <c r="AF40" s="296"/>
      <c r="AG40" s="296"/>
      <c r="AH40" s="296"/>
      <c r="AI40" s="296"/>
      <c r="AJ40" s="296"/>
      <c r="AK40" s="296"/>
      <c r="AL40" s="296"/>
      <c r="AM40" s="296"/>
      <c r="AN40" s="296"/>
      <c r="AO40" s="296"/>
      <c r="AP40" s="296"/>
      <c r="AQ40" s="296"/>
      <c r="AR40" s="296"/>
      <c r="AS40" s="296"/>
      <c r="AT40" s="296"/>
      <c r="AU40" s="296"/>
      <c r="AV40" s="296"/>
      <c r="AW40" s="296"/>
      <c r="AX40" s="296"/>
      <c r="AY40" s="296"/>
      <c r="AZ40" s="296"/>
      <c r="BA40" s="296"/>
      <c r="BB40" s="296"/>
      <c r="BC40" s="296"/>
      <c r="BD40" s="296"/>
      <c r="BE40" s="296"/>
      <c r="BF40" s="296"/>
      <c r="BG40" s="296"/>
      <c r="BH40" s="296"/>
      <c r="BI40" s="296"/>
      <c r="BJ40" s="296"/>
      <c r="BK40" s="296"/>
      <c r="BL40" s="296"/>
      <c r="BM40" s="296"/>
      <c r="BN40" s="296"/>
      <c r="BO40" s="296"/>
      <c r="BP40" s="296"/>
      <c r="BQ40" s="296"/>
      <c r="BR40" s="296"/>
      <c r="BS40" s="296"/>
      <c r="BT40" s="296"/>
      <c r="BU40" s="296"/>
      <c r="BV40" s="296"/>
      <c r="BW40" s="296"/>
      <c r="BX40" s="296"/>
      <c r="BY40" s="296"/>
      <c r="BZ40" s="296"/>
      <c r="CA40" s="296"/>
      <c r="CB40" s="296"/>
      <c r="CC40" s="296"/>
      <c r="CD40" s="296"/>
      <c r="CE40" s="296"/>
      <c r="CF40" s="296"/>
      <c r="CG40" s="296"/>
      <c r="CH40" s="296"/>
      <c r="CI40" s="296"/>
      <c r="CJ40" s="296"/>
      <c r="CK40" s="296"/>
      <c r="CL40" s="296"/>
      <c r="CM40" s="296"/>
      <c r="CN40" s="296"/>
      <c r="CO40" s="296"/>
      <c r="CP40" s="296"/>
      <c r="CQ40" s="296"/>
      <c r="CR40" s="296"/>
      <c r="CS40" s="296"/>
      <c r="CT40" s="296"/>
      <c r="CU40" s="296"/>
      <c r="CV40" s="296"/>
      <c r="CW40" s="296"/>
      <c r="CX40" s="296"/>
      <c r="CY40" s="296"/>
      <c r="CZ40" s="296"/>
      <c r="DA40" s="296"/>
      <c r="DB40" s="296"/>
      <c r="DC40" s="296"/>
      <c r="DD40" s="296"/>
      <c r="DE40" s="296"/>
      <c r="DF40" s="296"/>
      <c r="DG40" s="296"/>
      <c r="DH40" s="296"/>
      <c r="DI40" s="296"/>
      <c r="DJ40" s="296"/>
      <c r="DK40" s="296"/>
      <c r="DL40" s="296"/>
      <c r="DM40" s="296"/>
      <c r="DN40" s="296"/>
      <c r="DO40" s="296"/>
      <c r="DP40" s="296"/>
      <c r="DQ40" s="296"/>
      <c r="DR40" s="296"/>
      <c r="DS40" s="296"/>
      <c r="DT40" s="296"/>
      <c r="DU40" s="296"/>
      <c r="DV40" s="296"/>
      <c r="DW40" s="296"/>
      <c r="DX40" s="296"/>
      <c r="DY40" s="296"/>
      <c r="DZ40" s="296"/>
      <c r="EA40" s="296"/>
      <c r="EB40" s="296"/>
      <c r="EC40" s="296"/>
      <c r="ED40" s="296"/>
      <c r="EE40" s="296"/>
      <c r="EF40" s="296"/>
      <c r="EG40" s="296"/>
      <c r="EH40" s="296"/>
      <c r="EI40" s="296"/>
      <c r="EJ40" s="296"/>
      <c r="EK40" s="296"/>
      <c r="EL40" s="296"/>
      <c r="EM40" s="296"/>
      <c r="EN40" s="296"/>
      <c r="EO40" s="296"/>
      <c r="EP40" s="296"/>
      <c r="EQ40" s="296"/>
      <c r="ER40" s="296"/>
      <c r="ES40" s="296"/>
      <c r="ET40" s="296"/>
      <c r="EU40" s="296"/>
      <c r="EV40" s="296"/>
      <c r="EW40" s="296"/>
      <c r="EX40" s="296"/>
      <c r="EY40" s="296"/>
      <c r="EZ40" s="296"/>
      <c r="FA40" s="296"/>
      <c r="FB40" s="296"/>
      <c r="FC40" s="296"/>
      <c r="FD40" s="296"/>
      <c r="FE40" s="296"/>
      <c r="FF40" s="296"/>
      <c r="FG40" s="296"/>
      <c r="FH40" s="296"/>
      <c r="FI40" s="296"/>
      <c r="FJ40" s="296"/>
      <c r="FK40" s="296"/>
      <c r="FL40" s="296"/>
      <c r="FM40" s="296"/>
      <c r="FN40" s="296"/>
      <c r="FO40" s="296"/>
      <c r="FP40" s="296"/>
      <c r="FQ40" s="296"/>
      <c r="FR40" s="296"/>
      <c r="FS40" s="296"/>
      <c r="FT40" s="296"/>
      <c r="FU40" s="296"/>
      <c r="FV40" s="296"/>
      <c r="FW40" s="296"/>
      <c r="FX40" s="296"/>
      <c r="FY40" s="296"/>
      <c r="FZ40" s="296"/>
      <c r="GA40" s="296"/>
      <c r="GB40" s="296"/>
      <c r="GC40" s="296"/>
      <c r="GD40" s="296"/>
      <c r="GE40" s="296"/>
      <c r="GF40" s="296"/>
      <c r="GG40" s="296"/>
      <c r="GH40" s="296"/>
      <c r="GI40" s="296"/>
      <c r="GJ40" s="296"/>
      <c r="GK40" s="296"/>
      <c r="GL40" s="296"/>
      <c r="GM40" s="296"/>
      <c r="GN40" s="296"/>
      <c r="GO40" s="296"/>
      <c r="GP40" s="296"/>
      <c r="GQ40" s="296"/>
      <c r="GR40" s="296"/>
      <c r="GS40" s="296"/>
      <c r="GT40" s="296"/>
      <c r="GU40" s="296"/>
      <c r="GV40" s="296"/>
      <c r="GW40" s="296"/>
      <c r="GX40" s="296"/>
      <c r="GY40" s="296"/>
      <c r="GZ40" s="296"/>
      <c r="HA40" s="296"/>
      <c r="HB40" s="296"/>
      <c r="HC40" s="296"/>
      <c r="HD40" s="296"/>
      <c r="HE40" s="296"/>
      <c r="HF40" s="296"/>
      <c r="HG40" s="296"/>
      <c r="HH40" s="296"/>
      <c r="HI40" s="296"/>
      <c r="HJ40" s="296"/>
      <c r="HK40" s="296"/>
      <c r="HL40" s="296"/>
      <c r="HM40" s="296"/>
      <c r="HN40" s="296"/>
      <c r="HO40" s="296"/>
      <c r="HP40" s="296"/>
      <c r="HQ40" s="296"/>
      <c r="HR40" s="296"/>
      <c r="HS40" s="296"/>
      <c r="HT40" s="296"/>
      <c r="HU40" s="296"/>
      <c r="HV40" s="296"/>
      <c r="HW40" s="296"/>
      <c r="HX40" s="296"/>
      <c r="HY40" s="296"/>
      <c r="HZ40" s="296"/>
      <c r="IA40" s="296"/>
      <c r="IB40" s="296"/>
      <c r="IC40" s="296"/>
      <c r="ID40" s="957">
        <f t="shared" si="9"/>
        <v>2393632653</v>
      </c>
      <c r="IE40" s="957">
        <f t="shared" si="1"/>
        <v>2602109296</v>
      </c>
      <c r="IF40" s="258">
        <f t="shared" si="2"/>
        <v>0</v>
      </c>
      <c r="IG40" s="258">
        <f t="shared" si="3"/>
        <v>0</v>
      </c>
    </row>
    <row r="41" spans="1:241" s="268" customFormat="1" ht="21.75" customHeight="1" x14ac:dyDescent="0.3">
      <c r="A41" s="253" t="s">
        <v>276</v>
      </c>
      <c r="B41" s="267" t="s">
        <v>847</v>
      </c>
      <c r="C41" s="264"/>
      <c r="D41" s="284"/>
      <c r="E41" s="284"/>
      <c r="F41" s="284"/>
      <c r="G41" s="284"/>
      <c r="H41" s="284"/>
      <c r="I41" s="284"/>
      <c r="J41" s="284"/>
      <c r="K41" s="284"/>
      <c r="L41" s="284"/>
      <c r="M41" s="284"/>
      <c r="N41" s="284"/>
      <c r="O41" s="284"/>
      <c r="P41" s="284"/>
      <c r="Q41" s="284"/>
      <c r="R41" s="284"/>
      <c r="S41" s="284"/>
      <c r="T41" s="296"/>
      <c r="U41" s="296"/>
      <c r="V41" s="296"/>
      <c r="W41" s="296"/>
      <c r="X41" s="296"/>
      <c r="Y41" s="296"/>
      <c r="Z41" s="296"/>
      <c r="AA41" s="296"/>
      <c r="AB41" s="296">
        <f>170250000+(568054018+78406823)+73076431+168548418</f>
        <v>1058335690</v>
      </c>
      <c r="AC41" s="296">
        <f>+AB41+243840000</f>
        <v>1302175690</v>
      </c>
      <c r="AD41" s="296"/>
      <c r="AE41" s="296"/>
      <c r="AF41" s="296"/>
      <c r="AG41" s="296"/>
      <c r="AH41" s="296"/>
      <c r="AI41" s="296"/>
      <c r="AJ41" s="296"/>
      <c r="AK41" s="296"/>
      <c r="AL41" s="296"/>
      <c r="AM41" s="296"/>
      <c r="AN41" s="296"/>
      <c r="AO41" s="296"/>
      <c r="AP41" s="296"/>
      <c r="AQ41" s="296"/>
      <c r="AR41" s="296"/>
      <c r="AS41" s="296"/>
      <c r="AT41" s="296"/>
      <c r="AU41" s="296"/>
      <c r="AV41" s="296"/>
      <c r="AW41" s="296"/>
      <c r="AX41" s="296"/>
      <c r="AY41" s="296"/>
      <c r="AZ41" s="296"/>
      <c r="BA41" s="296"/>
      <c r="BB41" s="296"/>
      <c r="BC41" s="296"/>
      <c r="BD41" s="296"/>
      <c r="BE41" s="296"/>
      <c r="BF41" s="296"/>
      <c r="BG41" s="296"/>
      <c r="BH41" s="296"/>
      <c r="BI41" s="296"/>
      <c r="BJ41" s="296"/>
      <c r="BK41" s="296"/>
      <c r="BL41" s="296"/>
      <c r="BM41" s="296"/>
      <c r="BN41" s="296"/>
      <c r="BO41" s="296"/>
      <c r="BP41" s="296"/>
      <c r="BQ41" s="296"/>
      <c r="BR41" s="296"/>
      <c r="BS41" s="296"/>
      <c r="BT41" s="296"/>
      <c r="BU41" s="296"/>
      <c r="BV41" s="296"/>
      <c r="BW41" s="296"/>
      <c r="BX41" s="296"/>
      <c r="BY41" s="296"/>
      <c r="BZ41" s="296"/>
      <c r="CA41" s="296"/>
      <c r="CB41" s="296"/>
      <c r="CC41" s="296"/>
      <c r="CD41" s="296"/>
      <c r="CE41" s="296"/>
      <c r="CF41" s="296"/>
      <c r="CG41" s="296"/>
      <c r="CH41" s="296"/>
      <c r="CI41" s="296"/>
      <c r="CJ41" s="296"/>
      <c r="CK41" s="296"/>
      <c r="CL41" s="296"/>
      <c r="CM41" s="296"/>
      <c r="CN41" s="296"/>
      <c r="CO41" s="296"/>
      <c r="CP41" s="296"/>
      <c r="CQ41" s="296"/>
      <c r="CR41" s="296"/>
      <c r="CS41" s="296"/>
      <c r="CT41" s="296"/>
      <c r="CU41" s="296"/>
      <c r="CV41" s="296"/>
      <c r="CW41" s="296"/>
      <c r="CX41" s="296"/>
      <c r="CY41" s="296"/>
      <c r="CZ41" s="296"/>
      <c r="DA41" s="296"/>
      <c r="DB41" s="296"/>
      <c r="DC41" s="296"/>
      <c r="DD41" s="296"/>
      <c r="DE41" s="296"/>
      <c r="DF41" s="296"/>
      <c r="DG41" s="296"/>
      <c r="DH41" s="296"/>
      <c r="DI41" s="296"/>
      <c r="DJ41" s="296"/>
      <c r="DK41" s="296"/>
      <c r="DL41" s="296"/>
      <c r="DM41" s="296"/>
      <c r="DN41" s="296"/>
      <c r="DO41" s="296"/>
      <c r="DP41" s="296"/>
      <c r="DQ41" s="296"/>
      <c r="DR41" s="296"/>
      <c r="DS41" s="296"/>
      <c r="DT41" s="296"/>
      <c r="DU41" s="296"/>
      <c r="DV41" s="296"/>
      <c r="DW41" s="296"/>
      <c r="DX41" s="296"/>
      <c r="DY41" s="296"/>
      <c r="DZ41" s="296"/>
      <c r="EA41" s="296"/>
      <c r="EB41" s="296"/>
      <c r="EC41" s="296"/>
      <c r="ED41" s="296"/>
      <c r="EE41" s="296"/>
      <c r="EF41" s="296"/>
      <c r="EG41" s="296"/>
      <c r="EH41" s="296"/>
      <c r="EI41" s="296"/>
      <c r="EJ41" s="296"/>
      <c r="EK41" s="296"/>
      <c r="EL41" s="296"/>
      <c r="EM41" s="296"/>
      <c r="EN41" s="296"/>
      <c r="EO41" s="296"/>
      <c r="EP41" s="296"/>
      <c r="EQ41" s="296"/>
      <c r="ER41" s="296"/>
      <c r="ES41" s="296"/>
      <c r="ET41" s="296"/>
      <c r="EU41" s="296"/>
      <c r="EV41" s="296"/>
      <c r="EW41" s="296"/>
      <c r="EX41" s="296"/>
      <c r="EY41" s="296"/>
      <c r="EZ41" s="296"/>
      <c r="FA41" s="296"/>
      <c r="FB41" s="296"/>
      <c r="FC41" s="296"/>
      <c r="FD41" s="296"/>
      <c r="FE41" s="296"/>
      <c r="FF41" s="296"/>
      <c r="FG41" s="296"/>
      <c r="FH41" s="296"/>
      <c r="FI41" s="296"/>
      <c r="FJ41" s="296"/>
      <c r="FK41" s="296"/>
      <c r="FL41" s="296"/>
      <c r="FM41" s="296"/>
      <c r="FN41" s="296"/>
      <c r="FO41" s="296"/>
      <c r="FP41" s="296"/>
      <c r="FQ41" s="296"/>
      <c r="FR41" s="296"/>
      <c r="FS41" s="296"/>
      <c r="FT41" s="296"/>
      <c r="FU41" s="296"/>
      <c r="FV41" s="296"/>
      <c r="FW41" s="296"/>
      <c r="FX41" s="296"/>
      <c r="FY41" s="296"/>
      <c r="FZ41" s="296"/>
      <c r="GA41" s="296"/>
      <c r="GB41" s="296"/>
      <c r="GC41" s="296"/>
      <c r="GD41" s="296"/>
      <c r="GE41" s="296"/>
      <c r="GF41" s="296"/>
      <c r="GG41" s="296"/>
      <c r="GH41" s="296"/>
      <c r="GI41" s="296"/>
      <c r="GJ41" s="296"/>
      <c r="GK41" s="296"/>
      <c r="GL41" s="296"/>
      <c r="GM41" s="296"/>
      <c r="GN41" s="296"/>
      <c r="GO41" s="296"/>
      <c r="GP41" s="296"/>
      <c r="GQ41" s="296"/>
      <c r="GR41" s="296"/>
      <c r="GS41" s="296"/>
      <c r="GT41" s="296"/>
      <c r="GU41" s="296"/>
      <c r="GV41" s="296"/>
      <c r="GW41" s="296"/>
      <c r="GX41" s="296"/>
      <c r="GY41" s="296"/>
      <c r="GZ41" s="296"/>
      <c r="HA41" s="296"/>
      <c r="HB41" s="296"/>
      <c r="HC41" s="296"/>
      <c r="HD41" s="296"/>
      <c r="HE41" s="296"/>
      <c r="HF41" s="296"/>
      <c r="HG41" s="296"/>
      <c r="HH41" s="296"/>
      <c r="HI41" s="296"/>
      <c r="HJ41" s="296"/>
      <c r="HK41" s="296"/>
      <c r="HL41" s="296"/>
      <c r="HM41" s="296"/>
      <c r="HN41" s="296"/>
      <c r="HO41" s="296"/>
      <c r="HP41" s="296"/>
      <c r="HQ41" s="296"/>
      <c r="HR41" s="296"/>
      <c r="HS41" s="296"/>
      <c r="HT41" s="296"/>
      <c r="HU41" s="296"/>
      <c r="HV41" s="296"/>
      <c r="HW41" s="296"/>
      <c r="HX41" s="296"/>
      <c r="HY41" s="296"/>
      <c r="HZ41" s="296"/>
      <c r="IA41" s="296"/>
      <c r="IB41" s="296"/>
      <c r="IC41" s="296"/>
      <c r="ID41" s="957">
        <f t="shared" si="9"/>
        <v>1058335690</v>
      </c>
      <c r="IE41" s="957">
        <f t="shared" si="1"/>
        <v>1302175690</v>
      </c>
      <c r="IF41" s="258">
        <f t="shared" si="2"/>
        <v>0</v>
      </c>
      <c r="IG41" s="258">
        <f t="shared" si="3"/>
        <v>0</v>
      </c>
    </row>
    <row r="42" spans="1:241" s="268" customFormat="1" ht="21.75" customHeight="1" x14ac:dyDescent="0.3">
      <c r="A42" s="253" t="s">
        <v>277</v>
      </c>
      <c r="B42" s="267" t="s">
        <v>539</v>
      </c>
      <c r="C42" s="264"/>
      <c r="D42" s="284"/>
      <c r="E42" s="284"/>
      <c r="F42" s="284"/>
      <c r="G42" s="284"/>
      <c r="H42" s="284"/>
      <c r="I42" s="284"/>
      <c r="J42" s="284"/>
      <c r="K42" s="284"/>
      <c r="L42" s="284"/>
      <c r="M42" s="284"/>
      <c r="N42" s="284"/>
      <c r="O42" s="284"/>
      <c r="P42" s="284"/>
      <c r="Q42" s="284"/>
      <c r="R42" s="284"/>
      <c r="S42" s="284"/>
      <c r="T42" s="296"/>
      <c r="U42" s="296"/>
      <c r="V42" s="296"/>
      <c r="W42" s="296"/>
      <c r="X42" s="296"/>
      <c r="Y42" s="296"/>
      <c r="Z42" s="296"/>
      <c r="AA42" s="296"/>
      <c r="AB42" s="296"/>
      <c r="AC42" s="296"/>
      <c r="AD42" s="296"/>
      <c r="AE42" s="296"/>
      <c r="AF42" s="296"/>
      <c r="AG42" s="296"/>
      <c r="AH42" s="296"/>
      <c r="AI42" s="296"/>
      <c r="AJ42" s="296"/>
      <c r="AK42" s="296"/>
      <c r="AL42" s="296"/>
      <c r="AM42" s="296"/>
      <c r="AN42" s="296"/>
      <c r="AO42" s="296"/>
      <c r="AP42" s="296"/>
      <c r="AQ42" s="296"/>
      <c r="AR42" s="296"/>
      <c r="AS42" s="296"/>
      <c r="AT42" s="296"/>
      <c r="AU42" s="296"/>
      <c r="AV42" s="296"/>
      <c r="AW42" s="296"/>
      <c r="AX42" s="296"/>
      <c r="AY42" s="296"/>
      <c r="AZ42" s="296"/>
      <c r="BA42" s="296"/>
      <c r="BB42" s="296"/>
      <c r="BC42" s="296"/>
      <c r="BD42" s="296"/>
      <c r="BE42" s="296"/>
      <c r="BF42" s="296"/>
      <c r="BG42" s="296"/>
      <c r="BH42" s="296"/>
      <c r="BI42" s="296"/>
      <c r="BJ42" s="296"/>
      <c r="BK42" s="296"/>
      <c r="BL42" s="296"/>
      <c r="BM42" s="296"/>
      <c r="BN42" s="296"/>
      <c r="BO42" s="296"/>
      <c r="BP42" s="296"/>
      <c r="BQ42" s="296"/>
      <c r="BR42" s="296"/>
      <c r="BS42" s="296"/>
      <c r="BT42" s="296"/>
      <c r="BU42" s="296"/>
      <c r="BV42" s="296"/>
      <c r="BW42" s="296"/>
      <c r="BX42" s="296"/>
      <c r="BY42" s="296"/>
      <c r="BZ42" s="296"/>
      <c r="CA42" s="296"/>
      <c r="CB42" s="296"/>
      <c r="CC42" s="296"/>
      <c r="CD42" s="296"/>
      <c r="CE42" s="296"/>
      <c r="CF42" s="296"/>
      <c r="CG42" s="296"/>
      <c r="CH42" s="296"/>
      <c r="CI42" s="296"/>
      <c r="CJ42" s="296"/>
      <c r="CK42" s="296"/>
      <c r="CL42" s="296"/>
      <c r="CM42" s="296"/>
      <c r="CN42" s="296"/>
      <c r="CO42" s="296"/>
      <c r="CP42" s="296"/>
      <c r="CQ42" s="296"/>
      <c r="CR42" s="296"/>
      <c r="CS42" s="296"/>
      <c r="CT42" s="296"/>
      <c r="CU42" s="296"/>
      <c r="CV42" s="296"/>
      <c r="CW42" s="296"/>
      <c r="CX42" s="296"/>
      <c r="CY42" s="296"/>
      <c r="CZ42" s="296"/>
      <c r="DA42" s="296"/>
      <c r="DB42" s="296"/>
      <c r="DC42" s="296"/>
      <c r="DD42" s="296"/>
      <c r="DE42" s="296"/>
      <c r="DF42" s="296"/>
      <c r="DG42" s="296"/>
      <c r="DH42" s="296"/>
      <c r="DI42" s="296"/>
      <c r="DJ42" s="296"/>
      <c r="DK42" s="296"/>
      <c r="DL42" s="296"/>
      <c r="DM42" s="296"/>
      <c r="DN42" s="296"/>
      <c r="DO42" s="296"/>
      <c r="DP42" s="296"/>
      <c r="DQ42" s="296"/>
      <c r="DR42" s="296"/>
      <c r="DS42" s="296"/>
      <c r="DT42" s="296"/>
      <c r="DU42" s="296"/>
      <c r="DV42" s="296"/>
      <c r="DW42" s="296"/>
      <c r="DX42" s="296"/>
      <c r="DY42" s="296"/>
      <c r="DZ42" s="296"/>
      <c r="EA42" s="296"/>
      <c r="EB42" s="296"/>
      <c r="EC42" s="296"/>
      <c r="ED42" s="296"/>
      <c r="EE42" s="296"/>
      <c r="EF42" s="296"/>
      <c r="EG42" s="296"/>
      <c r="EH42" s="296"/>
      <c r="EI42" s="296"/>
      <c r="EJ42" s="296"/>
      <c r="EK42" s="296"/>
      <c r="EL42" s="296"/>
      <c r="EM42" s="296"/>
      <c r="EN42" s="296"/>
      <c r="EO42" s="296"/>
      <c r="EP42" s="296"/>
      <c r="EQ42" s="296"/>
      <c r="ER42" s="296"/>
      <c r="ES42" s="296"/>
      <c r="ET42" s="296"/>
      <c r="EU42" s="296"/>
      <c r="EV42" s="296"/>
      <c r="EW42" s="296"/>
      <c r="EX42" s="296"/>
      <c r="EY42" s="296"/>
      <c r="EZ42" s="296"/>
      <c r="FA42" s="296"/>
      <c r="FB42" s="296"/>
      <c r="FC42" s="296"/>
      <c r="FD42" s="296"/>
      <c r="FE42" s="296"/>
      <c r="FF42" s="296"/>
      <c r="FG42" s="296"/>
      <c r="FH42" s="296"/>
      <c r="FI42" s="296"/>
      <c r="FJ42" s="296"/>
      <c r="FK42" s="296"/>
      <c r="FL42" s="296"/>
      <c r="FM42" s="296"/>
      <c r="FN42" s="296"/>
      <c r="FO42" s="296"/>
      <c r="FP42" s="296"/>
      <c r="FQ42" s="296"/>
      <c r="FR42" s="296"/>
      <c r="FS42" s="296"/>
      <c r="FT42" s="296"/>
      <c r="FU42" s="296"/>
      <c r="FV42" s="296"/>
      <c r="FW42" s="296"/>
      <c r="FX42" s="296"/>
      <c r="FY42" s="296"/>
      <c r="FZ42" s="296"/>
      <c r="GA42" s="296"/>
      <c r="GB42" s="296"/>
      <c r="GC42" s="296"/>
      <c r="GD42" s="296"/>
      <c r="GE42" s="296"/>
      <c r="GF42" s="296"/>
      <c r="GG42" s="296"/>
      <c r="GH42" s="296"/>
      <c r="GI42" s="296"/>
      <c r="GJ42" s="296"/>
      <c r="GK42" s="296"/>
      <c r="GL42" s="296"/>
      <c r="GM42" s="296"/>
      <c r="GN42" s="296"/>
      <c r="GO42" s="296"/>
      <c r="GP42" s="296"/>
      <c r="GQ42" s="296"/>
      <c r="GR42" s="296"/>
      <c r="GS42" s="296"/>
      <c r="GT42" s="296"/>
      <c r="GU42" s="296"/>
      <c r="GV42" s="296"/>
      <c r="GW42" s="296"/>
      <c r="GX42" s="296"/>
      <c r="GY42" s="296"/>
      <c r="GZ42" s="296"/>
      <c r="HA42" s="296"/>
      <c r="HB42" s="296"/>
      <c r="HC42" s="296"/>
      <c r="HD42" s="296"/>
      <c r="HE42" s="296"/>
      <c r="HF42" s="296"/>
      <c r="HG42" s="296"/>
      <c r="HH42" s="296"/>
      <c r="HI42" s="296"/>
      <c r="HJ42" s="296"/>
      <c r="HK42" s="296"/>
      <c r="HL42" s="296"/>
      <c r="HM42" s="296"/>
      <c r="HN42" s="296"/>
      <c r="HO42" s="296"/>
      <c r="HP42" s="296"/>
      <c r="HQ42" s="296"/>
      <c r="HR42" s="296"/>
      <c r="HS42" s="296"/>
      <c r="HT42" s="296"/>
      <c r="HU42" s="296"/>
      <c r="HV42" s="296"/>
      <c r="HW42" s="296"/>
      <c r="HX42" s="296"/>
      <c r="HY42" s="296"/>
      <c r="HZ42" s="296"/>
      <c r="IA42" s="296"/>
      <c r="IB42" s="296"/>
      <c r="IC42" s="296"/>
      <c r="ID42" s="957">
        <f t="shared" si="9"/>
        <v>0</v>
      </c>
      <c r="IE42" s="957">
        <f t="shared" si="1"/>
        <v>0</v>
      </c>
      <c r="IF42" s="258">
        <f t="shared" si="2"/>
        <v>0</v>
      </c>
      <c r="IG42" s="258">
        <f t="shared" si="3"/>
        <v>0</v>
      </c>
    </row>
    <row r="43" spans="1:241" s="268" customFormat="1" ht="21.75" customHeight="1" x14ac:dyDescent="0.3">
      <c r="A43" s="253" t="s">
        <v>278</v>
      </c>
      <c r="B43" s="267" t="s">
        <v>540</v>
      </c>
      <c r="C43" s="264"/>
      <c r="D43" s="284"/>
      <c r="E43" s="284"/>
      <c r="F43" s="284"/>
      <c r="G43" s="284"/>
      <c r="H43" s="284"/>
      <c r="I43" s="284"/>
      <c r="J43" s="284"/>
      <c r="K43" s="284"/>
      <c r="L43" s="284"/>
      <c r="M43" s="284"/>
      <c r="N43" s="284"/>
      <c r="O43" s="284"/>
      <c r="P43" s="284"/>
      <c r="Q43" s="284"/>
      <c r="R43" s="284"/>
      <c r="S43" s="284"/>
      <c r="T43" s="296"/>
      <c r="U43" s="296"/>
      <c r="V43" s="296"/>
      <c r="W43" s="296"/>
      <c r="X43" s="296"/>
      <c r="Y43" s="296"/>
      <c r="Z43" s="296"/>
      <c r="AA43" s="296"/>
      <c r="AB43" s="296"/>
      <c r="AC43" s="296"/>
      <c r="AD43" s="296"/>
      <c r="AE43" s="296"/>
      <c r="AF43" s="296"/>
      <c r="AG43" s="296"/>
      <c r="AH43" s="296"/>
      <c r="AI43" s="296"/>
      <c r="AJ43" s="296"/>
      <c r="AK43" s="296"/>
      <c r="AL43" s="296"/>
      <c r="AM43" s="296"/>
      <c r="AN43" s="296"/>
      <c r="AO43" s="296"/>
      <c r="AP43" s="296"/>
      <c r="AQ43" s="296"/>
      <c r="AR43" s="296"/>
      <c r="AS43" s="296"/>
      <c r="AT43" s="296"/>
      <c r="AU43" s="296"/>
      <c r="AV43" s="296"/>
      <c r="AW43" s="296"/>
      <c r="AX43" s="296"/>
      <c r="AY43" s="296"/>
      <c r="AZ43" s="296"/>
      <c r="BA43" s="296"/>
      <c r="BB43" s="296"/>
      <c r="BC43" s="296"/>
      <c r="BD43" s="296"/>
      <c r="BE43" s="296"/>
      <c r="BF43" s="296"/>
      <c r="BG43" s="296"/>
      <c r="BH43" s="296"/>
      <c r="BI43" s="296"/>
      <c r="BJ43" s="296"/>
      <c r="BK43" s="296"/>
      <c r="BL43" s="296"/>
      <c r="BM43" s="296"/>
      <c r="BN43" s="296"/>
      <c r="BO43" s="296"/>
      <c r="BP43" s="296"/>
      <c r="BQ43" s="296"/>
      <c r="BR43" s="296"/>
      <c r="BS43" s="296"/>
      <c r="BT43" s="296"/>
      <c r="BU43" s="296"/>
      <c r="BV43" s="296"/>
      <c r="BW43" s="296"/>
      <c r="BX43" s="296"/>
      <c r="BY43" s="296"/>
      <c r="BZ43" s="296"/>
      <c r="CA43" s="296"/>
      <c r="CB43" s="296"/>
      <c r="CC43" s="296"/>
      <c r="CD43" s="296"/>
      <c r="CE43" s="296"/>
      <c r="CF43" s="296"/>
      <c r="CG43" s="296"/>
      <c r="CH43" s="296"/>
      <c r="CI43" s="296"/>
      <c r="CJ43" s="296"/>
      <c r="CK43" s="296"/>
      <c r="CL43" s="296"/>
      <c r="CM43" s="296"/>
      <c r="CN43" s="296"/>
      <c r="CO43" s="296"/>
      <c r="CP43" s="296"/>
      <c r="CQ43" s="296"/>
      <c r="CR43" s="296"/>
      <c r="CS43" s="296"/>
      <c r="CT43" s="296"/>
      <c r="CU43" s="296"/>
      <c r="CV43" s="296"/>
      <c r="CW43" s="296"/>
      <c r="CX43" s="296"/>
      <c r="CY43" s="296"/>
      <c r="CZ43" s="296"/>
      <c r="DA43" s="296"/>
      <c r="DB43" s="296"/>
      <c r="DC43" s="296"/>
      <c r="DD43" s="296"/>
      <c r="DE43" s="296"/>
      <c r="DF43" s="296"/>
      <c r="DG43" s="296"/>
      <c r="DH43" s="296"/>
      <c r="DI43" s="296"/>
      <c r="DJ43" s="296"/>
      <c r="DK43" s="296"/>
      <c r="DL43" s="296"/>
      <c r="DM43" s="296"/>
      <c r="DN43" s="296"/>
      <c r="DO43" s="296"/>
      <c r="DP43" s="296"/>
      <c r="DQ43" s="296"/>
      <c r="DR43" s="296"/>
      <c r="DS43" s="296"/>
      <c r="DT43" s="296"/>
      <c r="DU43" s="296"/>
      <c r="DV43" s="296"/>
      <c r="DW43" s="296"/>
      <c r="DX43" s="296"/>
      <c r="DY43" s="296"/>
      <c r="DZ43" s="296"/>
      <c r="EA43" s="296"/>
      <c r="EB43" s="296"/>
      <c r="EC43" s="296"/>
      <c r="ED43" s="296"/>
      <c r="EE43" s="296"/>
      <c r="EF43" s="296"/>
      <c r="EG43" s="296"/>
      <c r="EH43" s="296"/>
      <c r="EI43" s="296"/>
      <c r="EJ43" s="296"/>
      <c r="EK43" s="296"/>
      <c r="EL43" s="296"/>
      <c r="EM43" s="296"/>
      <c r="EN43" s="296"/>
      <c r="EO43" s="296"/>
      <c r="EP43" s="296"/>
      <c r="EQ43" s="296"/>
      <c r="ER43" s="296"/>
      <c r="ES43" s="296"/>
      <c r="ET43" s="296"/>
      <c r="EU43" s="296"/>
      <c r="EV43" s="296"/>
      <c r="EW43" s="296"/>
      <c r="EX43" s="296"/>
      <c r="EY43" s="296"/>
      <c r="EZ43" s="296"/>
      <c r="FA43" s="296"/>
      <c r="FB43" s="296"/>
      <c r="FC43" s="296"/>
      <c r="FD43" s="296"/>
      <c r="FE43" s="296"/>
      <c r="FF43" s="296"/>
      <c r="FG43" s="296"/>
      <c r="FH43" s="296"/>
      <c r="FI43" s="296"/>
      <c r="FJ43" s="296"/>
      <c r="FK43" s="296"/>
      <c r="FL43" s="296"/>
      <c r="FM43" s="296"/>
      <c r="FN43" s="296"/>
      <c r="FO43" s="296"/>
      <c r="FP43" s="296"/>
      <c r="FQ43" s="296"/>
      <c r="FR43" s="296"/>
      <c r="FS43" s="296"/>
      <c r="FT43" s="296"/>
      <c r="FU43" s="296"/>
      <c r="FV43" s="296"/>
      <c r="FW43" s="296"/>
      <c r="FX43" s="296"/>
      <c r="FY43" s="296"/>
      <c r="FZ43" s="296"/>
      <c r="GA43" s="296"/>
      <c r="GB43" s="296"/>
      <c r="GC43" s="296"/>
      <c r="GD43" s="296"/>
      <c r="GE43" s="296"/>
      <c r="GF43" s="296"/>
      <c r="GG43" s="296"/>
      <c r="GH43" s="296"/>
      <c r="GI43" s="296"/>
      <c r="GJ43" s="296"/>
      <c r="GK43" s="296"/>
      <c r="GL43" s="296"/>
      <c r="GM43" s="296"/>
      <c r="GN43" s="296"/>
      <c r="GO43" s="296"/>
      <c r="GP43" s="296"/>
      <c r="GQ43" s="296"/>
      <c r="GR43" s="296"/>
      <c r="GS43" s="296"/>
      <c r="GT43" s="296"/>
      <c r="GU43" s="296"/>
      <c r="GV43" s="296"/>
      <c r="GW43" s="296"/>
      <c r="GX43" s="296"/>
      <c r="GY43" s="296"/>
      <c r="GZ43" s="296"/>
      <c r="HA43" s="296"/>
      <c r="HB43" s="296"/>
      <c r="HC43" s="296"/>
      <c r="HD43" s="296"/>
      <c r="HE43" s="296"/>
      <c r="HF43" s="296"/>
      <c r="HG43" s="296"/>
      <c r="HH43" s="296"/>
      <c r="HI43" s="296"/>
      <c r="HJ43" s="296"/>
      <c r="HK43" s="296"/>
      <c r="HL43" s="296"/>
      <c r="HM43" s="296"/>
      <c r="HN43" s="296"/>
      <c r="HO43" s="296"/>
      <c r="HP43" s="296"/>
      <c r="HQ43" s="296"/>
      <c r="HR43" s="296"/>
      <c r="HS43" s="296"/>
      <c r="HT43" s="296"/>
      <c r="HU43" s="296"/>
      <c r="HV43" s="296"/>
      <c r="HW43" s="296"/>
      <c r="HX43" s="296"/>
      <c r="HY43" s="296"/>
      <c r="HZ43" s="296"/>
      <c r="IA43" s="296"/>
      <c r="IB43" s="296"/>
      <c r="IC43" s="296"/>
      <c r="ID43" s="957">
        <f t="shared" si="9"/>
        <v>0</v>
      </c>
      <c r="IE43" s="957">
        <f t="shared" si="1"/>
        <v>0</v>
      </c>
      <c r="IF43" s="258">
        <f t="shared" si="2"/>
        <v>0</v>
      </c>
      <c r="IG43" s="258">
        <f t="shared" si="3"/>
        <v>0</v>
      </c>
    </row>
    <row r="44" spans="1:241" s="268" customFormat="1" ht="21.75" customHeight="1" x14ac:dyDescent="0.3">
      <c r="A44" s="253" t="s">
        <v>279</v>
      </c>
      <c r="B44" s="267" t="s">
        <v>574</v>
      </c>
      <c r="C44" s="264"/>
      <c r="D44" s="284"/>
      <c r="E44" s="284"/>
      <c r="F44" s="284"/>
      <c r="G44" s="284"/>
      <c r="H44" s="284"/>
      <c r="I44" s="284"/>
      <c r="J44" s="284"/>
      <c r="K44" s="284"/>
      <c r="L44" s="284"/>
      <c r="M44" s="284"/>
      <c r="N44" s="284"/>
      <c r="O44" s="284"/>
      <c r="P44" s="284"/>
      <c r="Q44" s="284"/>
      <c r="R44" s="284"/>
      <c r="S44" s="284"/>
      <c r="T44" s="296"/>
      <c r="U44" s="296"/>
      <c r="V44" s="296"/>
      <c r="W44" s="296"/>
      <c r="X44" s="296"/>
      <c r="Y44" s="296"/>
      <c r="Z44" s="296"/>
      <c r="AA44" s="296"/>
      <c r="AB44" s="296"/>
      <c r="AC44" s="296"/>
      <c r="AD44" s="296"/>
      <c r="AE44" s="296"/>
      <c r="AF44" s="296"/>
      <c r="AG44" s="296"/>
      <c r="AH44" s="296"/>
      <c r="AI44" s="296"/>
      <c r="AJ44" s="296"/>
      <c r="AK44" s="296"/>
      <c r="AL44" s="296"/>
      <c r="AM44" s="296"/>
      <c r="AN44" s="296"/>
      <c r="AO44" s="296"/>
      <c r="AP44" s="296"/>
      <c r="AQ44" s="296"/>
      <c r="AR44" s="296"/>
      <c r="AS44" s="296"/>
      <c r="AT44" s="296"/>
      <c r="AU44" s="296"/>
      <c r="AV44" s="296"/>
      <c r="AW44" s="296"/>
      <c r="AX44" s="296"/>
      <c r="AY44" s="296"/>
      <c r="AZ44" s="296"/>
      <c r="BA44" s="296"/>
      <c r="BB44" s="296"/>
      <c r="BC44" s="296"/>
      <c r="BD44" s="296"/>
      <c r="BE44" s="296"/>
      <c r="BF44" s="296"/>
      <c r="BG44" s="296"/>
      <c r="BH44" s="296"/>
      <c r="BI44" s="296"/>
      <c r="BJ44" s="296"/>
      <c r="BK44" s="296"/>
      <c r="BL44" s="296"/>
      <c r="BM44" s="296"/>
      <c r="BN44" s="296"/>
      <c r="BO44" s="296"/>
      <c r="BP44" s="296"/>
      <c r="BQ44" s="296"/>
      <c r="BR44" s="296"/>
      <c r="BS44" s="296"/>
      <c r="BT44" s="296"/>
      <c r="BU44" s="296"/>
      <c r="BV44" s="296"/>
      <c r="BW44" s="296"/>
      <c r="BX44" s="296"/>
      <c r="BY44" s="296"/>
      <c r="BZ44" s="296"/>
      <c r="CA44" s="296"/>
      <c r="CB44" s="296"/>
      <c r="CC44" s="296"/>
      <c r="CD44" s="296"/>
      <c r="CE44" s="296"/>
      <c r="CF44" s="296"/>
      <c r="CG44" s="296"/>
      <c r="CH44" s="296"/>
      <c r="CI44" s="296"/>
      <c r="CJ44" s="296"/>
      <c r="CK44" s="296"/>
      <c r="CL44" s="296"/>
      <c r="CM44" s="296"/>
      <c r="CN44" s="296"/>
      <c r="CO44" s="296"/>
      <c r="CP44" s="296"/>
      <c r="CQ44" s="296"/>
      <c r="CR44" s="296"/>
      <c r="CS44" s="296"/>
      <c r="CT44" s="296"/>
      <c r="CU44" s="296"/>
      <c r="CV44" s="296"/>
      <c r="CW44" s="296"/>
      <c r="CX44" s="296"/>
      <c r="CY44" s="296"/>
      <c r="CZ44" s="296"/>
      <c r="DA44" s="296"/>
      <c r="DB44" s="296"/>
      <c r="DC44" s="296"/>
      <c r="DD44" s="296"/>
      <c r="DE44" s="296"/>
      <c r="DF44" s="296"/>
      <c r="DG44" s="296"/>
      <c r="DH44" s="296"/>
      <c r="DI44" s="296"/>
      <c r="DJ44" s="296"/>
      <c r="DK44" s="296"/>
      <c r="DL44" s="296"/>
      <c r="DM44" s="296"/>
      <c r="DN44" s="296"/>
      <c r="DO44" s="296"/>
      <c r="DP44" s="296"/>
      <c r="DQ44" s="296"/>
      <c r="DR44" s="296"/>
      <c r="DS44" s="296"/>
      <c r="DT44" s="296"/>
      <c r="DU44" s="296"/>
      <c r="DV44" s="296"/>
      <c r="DW44" s="296"/>
      <c r="DX44" s="296"/>
      <c r="DY44" s="296"/>
      <c r="DZ44" s="296"/>
      <c r="EA44" s="296"/>
      <c r="EB44" s="296"/>
      <c r="EC44" s="296"/>
      <c r="ED44" s="296"/>
      <c r="EE44" s="296"/>
      <c r="EF44" s="296"/>
      <c r="EG44" s="296"/>
      <c r="EH44" s="296"/>
      <c r="EI44" s="296"/>
      <c r="EJ44" s="296"/>
      <c r="EK44" s="296"/>
      <c r="EL44" s="296"/>
      <c r="EM44" s="296"/>
      <c r="EN44" s="296"/>
      <c r="EO44" s="296"/>
      <c r="EP44" s="296"/>
      <c r="EQ44" s="296"/>
      <c r="ER44" s="296"/>
      <c r="ES44" s="296"/>
      <c r="ET44" s="296"/>
      <c r="EU44" s="296"/>
      <c r="EV44" s="296"/>
      <c r="EW44" s="296"/>
      <c r="EX44" s="296"/>
      <c r="EY44" s="296"/>
      <c r="EZ44" s="296"/>
      <c r="FA44" s="296"/>
      <c r="FB44" s="296"/>
      <c r="FC44" s="296"/>
      <c r="FD44" s="296"/>
      <c r="FE44" s="296"/>
      <c r="FF44" s="296"/>
      <c r="FG44" s="296"/>
      <c r="FH44" s="296"/>
      <c r="FI44" s="296"/>
      <c r="FJ44" s="296"/>
      <c r="FK44" s="296"/>
      <c r="FL44" s="296"/>
      <c r="FM44" s="296"/>
      <c r="FN44" s="296"/>
      <c r="FO44" s="296"/>
      <c r="FP44" s="296"/>
      <c r="FQ44" s="296"/>
      <c r="FR44" s="296"/>
      <c r="FS44" s="296"/>
      <c r="FT44" s="296"/>
      <c r="FU44" s="296"/>
      <c r="FV44" s="296"/>
      <c r="FW44" s="296"/>
      <c r="FX44" s="296"/>
      <c r="FY44" s="296"/>
      <c r="FZ44" s="296"/>
      <c r="GA44" s="296"/>
      <c r="GB44" s="296"/>
      <c r="GC44" s="296"/>
      <c r="GD44" s="296"/>
      <c r="GE44" s="296"/>
      <c r="GF44" s="296"/>
      <c r="GG44" s="296"/>
      <c r="GH44" s="296"/>
      <c r="GI44" s="296"/>
      <c r="GJ44" s="296"/>
      <c r="GK44" s="296"/>
      <c r="GL44" s="296"/>
      <c r="GM44" s="296"/>
      <c r="GN44" s="296"/>
      <c r="GO44" s="296"/>
      <c r="GP44" s="296"/>
      <c r="GQ44" s="296"/>
      <c r="GR44" s="296"/>
      <c r="GS44" s="296"/>
      <c r="GT44" s="296"/>
      <c r="GU44" s="296"/>
      <c r="GV44" s="296"/>
      <c r="GW44" s="296"/>
      <c r="GX44" s="296"/>
      <c r="GY44" s="296"/>
      <c r="GZ44" s="296"/>
      <c r="HA44" s="296"/>
      <c r="HB44" s="296"/>
      <c r="HC44" s="296"/>
      <c r="HD44" s="296"/>
      <c r="HE44" s="296"/>
      <c r="HF44" s="296"/>
      <c r="HG44" s="296"/>
      <c r="HH44" s="296"/>
      <c r="HI44" s="296"/>
      <c r="HJ44" s="296"/>
      <c r="HK44" s="296"/>
      <c r="HL44" s="296"/>
      <c r="HM44" s="296"/>
      <c r="HN44" s="296"/>
      <c r="HO44" s="296"/>
      <c r="HP44" s="296"/>
      <c r="HQ44" s="296"/>
      <c r="HR44" s="296"/>
      <c r="HS44" s="296"/>
      <c r="HT44" s="296"/>
      <c r="HU44" s="296"/>
      <c r="HV44" s="296"/>
      <c r="HW44" s="296"/>
      <c r="HX44" s="296"/>
      <c r="HY44" s="296"/>
      <c r="HZ44" s="296"/>
      <c r="IA44" s="296"/>
      <c r="IB44" s="296"/>
      <c r="IC44" s="296"/>
      <c r="ID44" s="957">
        <f t="shared" si="9"/>
        <v>0</v>
      </c>
      <c r="IE44" s="957">
        <f t="shared" si="1"/>
        <v>0</v>
      </c>
      <c r="IF44" s="258">
        <f t="shared" si="2"/>
        <v>0</v>
      </c>
      <c r="IG44" s="258">
        <f t="shared" si="3"/>
        <v>0</v>
      </c>
    </row>
    <row r="45" spans="1:241" s="268" customFormat="1" ht="21.75" customHeight="1" x14ac:dyDescent="0.3">
      <c r="A45" s="253" t="s">
        <v>280</v>
      </c>
      <c r="B45" s="267" t="s">
        <v>815</v>
      </c>
      <c r="C45" s="264"/>
      <c r="D45" s="284"/>
      <c r="E45" s="284"/>
      <c r="F45" s="284"/>
      <c r="G45" s="284"/>
      <c r="H45" s="284"/>
      <c r="I45" s="284"/>
      <c r="J45" s="284"/>
      <c r="K45" s="284"/>
      <c r="L45" s="284"/>
      <c r="M45" s="284"/>
      <c r="N45" s="284"/>
      <c r="O45" s="284"/>
      <c r="P45" s="284"/>
      <c r="Q45" s="284"/>
      <c r="R45" s="284"/>
      <c r="S45" s="284"/>
      <c r="T45" s="296"/>
      <c r="U45" s="296"/>
      <c r="V45" s="296"/>
      <c r="W45" s="296"/>
      <c r="X45" s="296"/>
      <c r="Y45" s="296"/>
      <c r="Z45" s="296"/>
      <c r="AA45" s="296"/>
      <c r="AB45" s="296"/>
      <c r="AC45" s="296"/>
      <c r="AD45" s="296"/>
      <c r="AE45" s="296"/>
      <c r="AF45" s="296"/>
      <c r="AG45" s="296"/>
      <c r="AH45" s="296"/>
      <c r="AI45" s="296"/>
      <c r="AJ45" s="296"/>
      <c r="AK45" s="296"/>
      <c r="AL45" s="296"/>
      <c r="AM45" s="296"/>
      <c r="AN45" s="296"/>
      <c r="AO45" s="296"/>
      <c r="AP45" s="296"/>
      <c r="AQ45" s="296"/>
      <c r="AR45" s="296"/>
      <c r="AS45" s="296"/>
      <c r="AT45" s="296"/>
      <c r="AU45" s="296"/>
      <c r="AV45" s="296"/>
      <c r="AW45" s="296"/>
      <c r="AX45" s="296"/>
      <c r="AY45" s="296"/>
      <c r="AZ45" s="296"/>
      <c r="BA45" s="296"/>
      <c r="BB45" s="296"/>
      <c r="BC45" s="296"/>
      <c r="BD45" s="296"/>
      <c r="BE45" s="296"/>
      <c r="BF45" s="296"/>
      <c r="BG45" s="296"/>
      <c r="BH45" s="296"/>
      <c r="BI45" s="296"/>
      <c r="BJ45" s="296"/>
      <c r="BK45" s="296"/>
      <c r="BL45" s="296"/>
      <c r="BM45" s="296"/>
      <c r="BN45" s="296"/>
      <c r="BO45" s="296"/>
      <c r="BP45" s="296"/>
      <c r="BQ45" s="296"/>
      <c r="BR45" s="296"/>
      <c r="BS45" s="296"/>
      <c r="BT45" s="296"/>
      <c r="BU45" s="296"/>
      <c r="BV45" s="296"/>
      <c r="BW45" s="296"/>
      <c r="BX45" s="296"/>
      <c r="BY45" s="296"/>
      <c r="BZ45" s="296"/>
      <c r="CA45" s="296"/>
      <c r="CB45" s="296"/>
      <c r="CC45" s="296"/>
      <c r="CD45" s="296"/>
      <c r="CE45" s="296"/>
      <c r="CF45" s="296"/>
      <c r="CG45" s="296"/>
      <c r="CH45" s="296"/>
      <c r="CI45" s="296"/>
      <c r="CJ45" s="296"/>
      <c r="CK45" s="296"/>
      <c r="CL45" s="296"/>
      <c r="CM45" s="296"/>
      <c r="CN45" s="296"/>
      <c r="CO45" s="296"/>
      <c r="CP45" s="296"/>
      <c r="CQ45" s="296"/>
      <c r="CR45" s="296"/>
      <c r="CS45" s="296"/>
      <c r="CT45" s="296"/>
      <c r="CU45" s="296"/>
      <c r="CV45" s="296"/>
      <c r="CW45" s="296"/>
      <c r="CX45" s="296"/>
      <c r="CY45" s="296"/>
      <c r="CZ45" s="296"/>
      <c r="DA45" s="296"/>
      <c r="DB45" s="296"/>
      <c r="DC45" s="296"/>
      <c r="DD45" s="296"/>
      <c r="DE45" s="296"/>
      <c r="DF45" s="296"/>
      <c r="DG45" s="296"/>
      <c r="DH45" s="296"/>
      <c r="DI45" s="296"/>
      <c r="DJ45" s="296"/>
      <c r="DK45" s="296"/>
      <c r="DL45" s="296"/>
      <c r="DM45" s="296"/>
      <c r="DN45" s="296"/>
      <c r="DO45" s="296"/>
      <c r="DP45" s="296"/>
      <c r="DQ45" s="296"/>
      <c r="DR45" s="296"/>
      <c r="DS45" s="296"/>
      <c r="DT45" s="296"/>
      <c r="DU45" s="296"/>
      <c r="DV45" s="296"/>
      <c r="DW45" s="296"/>
      <c r="DX45" s="296"/>
      <c r="DY45" s="296"/>
      <c r="DZ45" s="296"/>
      <c r="EA45" s="296"/>
      <c r="EB45" s="296"/>
      <c r="EC45" s="296"/>
      <c r="ED45" s="296"/>
      <c r="EE45" s="296"/>
      <c r="EF45" s="296"/>
      <c r="EG45" s="296"/>
      <c r="EH45" s="296"/>
      <c r="EI45" s="296"/>
      <c r="EJ45" s="296"/>
      <c r="EK45" s="296"/>
      <c r="EL45" s="296"/>
      <c r="EM45" s="296"/>
      <c r="EN45" s="296"/>
      <c r="EO45" s="296"/>
      <c r="EP45" s="296"/>
      <c r="EQ45" s="296"/>
      <c r="ER45" s="296"/>
      <c r="ES45" s="296"/>
      <c r="ET45" s="296"/>
      <c r="EU45" s="296"/>
      <c r="EV45" s="296"/>
      <c r="EW45" s="296"/>
      <c r="EX45" s="296"/>
      <c r="EY45" s="296"/>
      <c r="EZ45" s="296"/>
      <c r="FA45" s="296"/>
      <c r="FB45" s="296"/>
      <c r="FC45" s="296"/>
      <c r="FD45" s="296"/>
      <c r="FE45" s="296"/>
      <c r="FF45" s="296"/>
      <c r="FG45" s="296"/>
      <c r="FH45" s="296"/>
      <c r="FI45" s="296"/>
      <c r="FJ45" s="296"/>
      <c r="FK45" s="296"/>
      <c r="FL45" s="296"/>
      <c r="FM45" s="296"/>
      <c r="FN45" s="296"/>
      <c r="FO45" s="296"/>
      <c r="FP45" s="296"/>
      <c r="FQ45" s="296"/>
      <c r="FR45" s="296"/>
      <c r="FS45" s="296"/>
      <c r="FT45" s="296"/>
      <c r="FU45" s="296"/>
      <c r="FV45" s="296"/>
      <c r="FW45" s="296"/>
      <c r="FX45" s="296"/>
      <c r="FY45" s="296"/>
      <c r="FZ45" s="296"/>
      <c r="GA45" s="296"/>
      <c r="GB45" s="296"/>
      <c r="GC45" s="296"/>
      <c r="GD45" s="296"/>
      <c r="GE45" s="296"/>
      <c r="GF45" s="296"/>
      <c r="GG45" s="296"/>
      <c r="GH45" s="296"/>
      <c r="GI45" s="296"/>
      <c r="GJ45" s="296"/>
      <c r="GK45" s="296"/>
      <c r="GL45" s="296"/>
      <c r="GM45" s="296"/>
      <c r="GN45" s="296"/>
      <c r="GO45" s="296"/>
      <c r="GP45" s="296"/>
      <c r="GQ45" s="296"/>
      <c r="GR45" s="296"/>
      <c r="GS45" s="296"/>
      <c r="GT45" s="296"/>
      <c r="GU45" s="296"/>
      <c r="GV45" s="296"/>
      <c r="GW45" s="296"/>
      <c r="GX45" s="296"/>
      <c r="GY45" s="296"/>
      <c r="GZ45" s="296"/>
      <c r="HA45" s="296"/>
      <c r="HB45" s="296"/>
      <c r="HC45" s="296"/>
      <c r="HD45" s="296"/>
      <c r="HE45" s="296"/>
      <c r="HF45" s="296"/>
      <c r="HG45" s="296"/>
      <c r="HH45" s="296"/>
      <c r="HI45" s="296"/>
      <c r="HJ45" s="296"/>
      <c r="HK45" s="296"/>
      <c r="HL45" s="296"/>
      <c r="HM45" s="296"/>
      <c r="HN45" s="296"/>
      <c r="HO45" s="296"/>
      <c r="HP45" s="296"/>
      <c r="HQ45" s="296"/>
      <c r="HR45" s="296"/>
      <c r="HS45" s="296"/>
      <c r="HT45" s="296"/>
      <c r="HU45" s="296"/>
      <c r="HV45" s="296"/>
      <c r="HW45" s="296"/>
      <c r="HX45" s="296"/>
      <c r="HY45" s="296"/>
      <c r="HZ45" s="296"/>
      <c r="IA45" s="296"/>
      <c r="IB45" s="296"/>
      <c r="IC45" s="296"/>
      <c r="ID45" s="957">
        <f t="shared" si="9"/>
        <v>0</v>
      </c>
      <c r="IE45" s="957">
        <f t="shared" si="1"/>
        <v>0</v>
      </c>
      <c r="IF45" s="258">
        <f t="shared" si="2"/>
        <v>0</v>
      </c>
      <c r="IG45" s="258">
        <f t="shared" si="3"/>
        <v>0</v>
      </c>
    </row>
    <row r="46" spans="1:241" s="260" customFormat="1" ht="21.75" customHeight="1" x14ac:dyDescent="0.3">
      <c r="A46" s="253" t="s">
        <v>281</v>
      </c>
      <c r="B46" s="269" t="s">
        <v>113</v>
      </c>
      <c r="C46" s="255"/>
      <c r="D46" s="274">
        <f t="shared" ref="D46:AI46" si="110">+D30+D32+D33+D35+D40+D42+D45</f>
        <v>0</v>
      </c>
      <c r="E46" s="274">
        <f t="shared" si="110"/>
        <v>0</v>
      </c>
      <c r="F46" s="274">
        <f t="shared" si="110"/>
        <v>0</v>
      </c>
      <c r="G46" s="274">
        <f t="shared" si="110"/>
        <v>0</v>
      </c>
      <c r="H46" s="274">
        <f t="shared" si="110"/>
        <v>0</v>
      </c>
      <c r="I46" s="274">
        <f t="shared" si="110"/>
        <v>0</v>
      </c>
      <c r="J46" s="274">
        <f t="shared" si="110"/>
        <v>0</v>
      </c>
      <c r="K46" s="274">
        <f t="shared" si="110"/>
        <v>0</v>
      </c>
      <c r="L46" s="274">
        <f t="shared" si="110"/>
        <v>0</v>
      </c>
      <c r="M46" s="274">
        <f t="shared" si="110"/>
        <v>0</v>
      </c>
      <c r="N46" s="274">
        <f t="shared" si="110"/>
        <v>0</v>
      </c>
      <c r="O46" s="274">
        <f t="shared" si="110"/>
        <v>0</v>
      </c>
      <c r="P46" s="274">
        <f t="shared" si="110"/>
        <v>0</v>
      </c>
      <c r="Q46" s="274">
        <f t="shared" si="110"/>
        <v>0</v>
      </c>
      <c r="R46" s="274">
        <f t="shared" si="110"/>
        <v>0</v>
      </c>
      <c r="S46" s="274">
        <f t="shared" si="110"/>
        <v>0</v>
      </c>
      <c r="T46" s="274">
        <f t="shared" si="110"/>
        <v>0</v>
      </c>
      <c r="U46" s="274">
        <f t="shared" si="110"/>
        <v>0</v>
      </c>
      <c r="V46" s="274">
        <f t="shared" si="110"/>
        <v>10000000</v>
      </c>
      <c r="W46" s="274">
        <f t="shared" si="110"/>
        <v>40124317</v>
      </c>
      <c r="X46" s="274">
        <f t="shared" si="110"/>
        <v>0</v>
      </c>
      <c r="Y46" s="274">
        <f t="shared" si="110"/>
        <v>0</v>
      </c>
      <c r="Z46" s="274">
        <f t="shared" si="110"/>
        <v>0</v>
      </c>
      <c r="AA46" s="274">
        <f t="shared" si="110"/>
        <v>1274609</v>
      </c>
      <c r="AB46" s="274">
        <f t="shared" si="110"/>
        <v>2393632653</v>
      </c>
      <c r="AC46" s="274">
        <f t="shared" si="110"/>
        <v>2721771937</v>
      </c>
      <c r="AD46" s="274">
        <f t="shared" si="110"/>
        <v>0</v>
      </c>
      <c r="AE46" s="274">
        <f t="shared" si="110"/>
        <v>0</v>
      </c>
      <c r="AF46" s="274">
        <f t="shared" si="110"/>
        <v>0</v>
      </c>
      <c r="AG46" s="274">
        <f t="shared" si="110"/>
        <v>0</v>
      </c>
      <c r="AH46" s="274">
        <f t="shared" si="110"/>
        <v>0</v>
      </c>
      <c r="AI46" s="274">
        <f t="shared" si="110"/>
        <v>0</v>
      </c>
      <c r="AJ46" s="274">
        <f t="shared" ref="AJ46:BO46" si="111">+AJ30+AJ32+AJ33+AJ35+AJ40+AJ42+AJ45</f>
        <v>0</v>
      </c>
      <c r="AK46" s="274">
        <f t="shared" si="111"/>
        <v>0</v>
      </c>
      <c r="AL46" s="274">
        <f t="shared" si="111"/>
        <v>0</v>
      </c>
      <c r="AM46" s="274">
        <f t="shared" si="111"/>
        <v>0</v>
      </c>
      <c r="AN46" s="274">
        <f t="shared" si="111"/>
        <v>0</v>
      </c>
      <c r="AO46" s="274">
        <f t="shared" si="111"/>
        <v>0</v>
      </c>
      <c r="AP46" s="274">
        <f t="shared" si="111"/>
        <v>0</v>
      </c>
      <c r="AQ46" s="274">
        <f t="shared" si="111"/>
        <v>0</v>
      </c>
      <c r="AR46" s="274">
        <f t="shared" si="111"/>
        <v>0</v>
      </c>
      <c r="AS46" s="274">
        <f t="shared" si="111"/>
        <v>0</v>
      </c>
      <c r="AT46" s="274">
        <f t="shared" si="111"/>
        <v>0</v>
      </c>
      <c r="AU46" s="274">
        <f t="shared" si="111"/>
        <v>0</v>
      </c>
      <c r="AV46" s="274">
        <f t="shared" si="111"/>
        <v>0</v>
      </c>
      <c r="AW46" s="274">
        <f t="shared" si="111"/>
        <v>0</v>
      </c>
      <c r="AX46" s="274">
        <f t="shared" si="111"/>
        <v>0</v>
      </c>
      <c r="AY46" s="274">
        <f t="shared" si="111"/>
        <v>0</v>
      </c>
      <c r="AZ46" s="274">
        <f t="shared" si="111"/>
        <v>0</v>
      </c>
      <c r="BA46" s="274">
        <f t="shared" si="111"/>
        <v>0</v>
      </c>
      <c r="BB46" s="274">
        <f t="shared" si="111"/>
        <v>0</v>
      </c>
      <c r="BC46" s="274">
        <f t="shared" si="111"/>
        <v>0</v>
      </c>
      <c r="BD46" s="274">
        <f t="shared" si="111"/>
        <v>0</v>
      </c>
      <c r="BE46" s="274">
        <f t="shared" si="111"/>
        <v>0</v>
      </c>
      <c r="BF46" s="274">
        <f t="shared" si="111"/>
        <v>0</v>
      </c>
      <c r="BG46" s="274">
        <f t="shared" si="111"/>
        <v>0</v>
      </c>
      <c r="BH46" s="274">
        <f t="shared" si="111"/>
        <v>0</v>
      </c>
      <c r="BI46" s="274">
        <f t="shared" si="111"/>
        <v>0</v>
      </c>
      <c r="BJ46" s="274">
        <f t="shared" si="111"/>
        <v>0</v>
      </c>
      <c r="BK46" s="274">
        <f t="shared" si="111"/>
        <v>0</v>
      </c>
      <c r="BL46" s="274">
        <f t="shared" si="111"/>
        <v>0</v>
      </c>
      <c r="BM46" s="274">
        <f t="shared" si="111"/>
        <v>0</v>
      </c>
      <c r="BN46" s="274">
        <f t="shared" si="111"/>
        <v>0</v>
      </c>
      <c r="BO46" s="274">
        <f t="shared" si="111"/>
        <v>0</v>
      </c>
      <c r="BP46" s="274">
        <f t="shared" ref="BP46:CU46" si="112">+BP30+BP32+BP33+BP35+BP40+BP42+BP45</f>
        <v>0</v>
      </c>
      <c r="BQ46" s="274">
        <f t="shared" si="112"/>
        <v>0</v>
      </c>
      <c r="BR46" s="274">
        <f t="shared" si="112"/>
        <v>0</v>
      </c>
      <c r="BS46" s="274">
        <f t="shared" si="112"/>
        <v>0</v>
      </c>
      <c r="BT46" s="274">
        <f t="shared" si="112"/>
        <v>0</v>
      </c>
      <c r="BU46" s="274">
        <f t="shared" si="112"/>
        <v>0</v>
      </c>
      <c r="BV46" s="274">
        <f t="shared" si="112"/>
        <v>0</v>
      </c>
      <c r="BW46" s="274">
        <f t="shared" si="112"/>
        <v>0</v>
      </c>
      <c r="BX46" s="274">
        <f t="shared" si="112"/>
        <v>0</v>
      </c>
      <c r="BY46" s="274">
        <f t="shared" si="112"/>
        <v>0</v>
      </c>
      <c r="BZ46" s="274">
        <f t="shared" si="112"/>
        <v>42800000</v>
      </c>
      <c r="CA46" s="274">
        <f t="shared" si="112"/>
        <v>53747040</v>
      </c>
      <c r="CB46" s="274">
        <f t="shared" si="112"/>
        <v>2034400</v>
      </c>
      <c r="CC46" s="274">
        <f t="shared" si="112"/>
        <v>6276663</v>
      </c>
      <c r="CD46" s="274">
        <f t="shared" si="112"/>
        <v>0</v>
      </c>
      <c r="CE46" s="274">
        <f t="shared" si="112"/>
        <v>0</v>
      </c>
      <c r="CF46" s="274">
        <f t="shared" si="112"/>
        <v>0</v>
      </c>
      <c r="CG46" s="274">
        <f t="shared" si="112"/>
        <v>0</v>
      </c>
      <c r="CH46" s="274">
        <f t="shared" si="112"/>
        <v>0</v>
      </c>
      <c r="CI46" s="274">
        <f t="shared" si="112"/>
        <v>0</v>
      </c>
      <c r="CJ46" s="274">
        <f t="shared" si="112"/>
        <v>0</v>
      </c>
      <c r="CK46" s="274">
        <f t="shared" si="112"/>
        <v>0</v>
      </c>
      <c r="CL46" s="274">
        <f t="shared" si="112"/>
        <v>0</v>
      </c>
      <c r="CM46" s="274">
        <f t="shared" si="112"/>
        <v>0</v>
      </c>
      <c r="CN46" s="274">
        <f t="shared" si="112"/>
        <v>0</v>
      </c>
      <c r="CO46" s="274">
        <f t="shared" si="112"/>
        <v>0</v>
      </c>
      <c r="CP46" s="274">
        <f t="shared" si="112"/>
        <v>0</v>
      </c>
      <c r="CQ46" s="274">
        <f t="shared" si="112"/>
        <v>0</v>
      </c>
      <c r="CR46" s="274">
        <f t="shared" si="112"/>
        <v>0</v>
      </c>
      <c r="CS46" s="274">
        <f t="shared" si="112"/>
        <v>0</v>
      </c>
      <c r="CT46" s="274">
        <f t="shared" si="112"/>
        <v>14738681</v>
      </c>
      <c r="CU46" s="274">
        <f t="shared" si="112"/>
        <v>24804169</v>
      </c>
      <c r="CV46" s="274">
        <f t="shared" ref="CV46:EC46" si="113">+CV30+CV32+CV33+CV35+CV40+CV42+CV45</f>
        <v>677580</v>
      </c>
      <c r="CW46" s="274">
        <f t="shared" si="113"/>
        <v>2516636</v>
      </c>
      <c r="CX46" s="274">
        <f t="shared" ref="CX46:CY46" si="114">+CX30+CX32+CX33+CX35+CX40+CX42+CX45</f>
        <v>0</v>
      </c>
      <c r="CY46" s="274">
        <f t="shared" si="114"/>
        <v>0</v>
      </c>
      <c r="CZ46" s="274">
        <f t="shared" si="113"/>
        <v>5280000</v>
      </c>
      <c r="DA46" s="274">
        <f t="shared" si="113"/>
        <v>7327862</v>
      </c>
      <c r="DB46" s="274">
        <f t="shared" si="113"/>
        <v>46990000</v>
      </c>
      <c r="DC46" s="274">
        <f t="shared" si="113"/>
        <v>59168843</v>
      </c>
      <c r="DD46" s="274">
        <f t="shared" si="113"/>
        <v>0</v>
      </c>
      <c r="DE46" s="274">
        <f t="shared" si="113"/>
        <v>0</v>
      </c>
      <c r="DF46" s="274">
        <f t="shared" si="113"/>
        <v>7000000</v>
      </c>
      <c r="DG46" s="274">
        <f t="shared" si="113"/>
        <v>8693145</v>
      </c>
      <c r="DH46" s="274">
        <f t="shared" si="113"/>
        <v>0</v>
      </c>
      <c r="DI46" s="274">
        <f t="shared" si="113"/>
        <v>1090000</v>
      </c>
      <c r="DJ46" s="274">
        <f t="shared" si="113"/>
        <v>0</v>
      </c>
      <c r="DK46" s="274">
        <f t="shared" si="113"/>
        <v>0</v>
      </c>
      <c r="DL46" s="274">
        <f t="shared" si="113"/>
        <v>10000000</v>
      </c>
      <c r="DM46" s="274">
        <f t="shared" si="113"/>
        <v>29198179</v>
      </c>
      <c r="DN46" s="274">
        <f t="shared" si="113"/>
        <v>0</v>
      </c>
      <c r="DO46" s="274">
        <f t="shared" si="113"/>
        <v>0</v>
      </c>
      <c r="DP46" s="274">
        <f t="shared" si="113"/>
        <v>0</v>
      </c>
      <c r="DQ46" s="274">
        <f t="shared" si="113"/>
        <v>0</v>
      </c>
      <c r="DR46" s="274">
        <f t="shared" si="113"/>
        <v>0</v>
      </c>
      <c r="DS46" s="274">
        <f t="shared" si="113"/>
        <v>0</v>
      </c>
      <c r="DT46" s="274">
        <f t="shared" si="113"/>
        <v>0</v>
      </c>
      <c r="DU46" s="274">
        <f t="shared" si="113"/>
        <v>0</v>
      </c>
      <c r="DV46" s="274">
        <f t="shared" si="113"/>
        <v>0</v>
      </c>
      <c r="DW46" s="274">
        <f t="shared" si="113"/>
        <v>0</v>
      </c>
      <c r="DX46" s="274">
        <f t="shared" si="113"/>
        <v>0</v>
      </c>
      <c r="DY46" s="274">
        <f t="shared" si="113"/>
        <v>0</v>
      </c>
      <c r="DZ46" s="274">
        <f t="shared" si="113"/>
        <v>0</v>
      </c>
      <c r="EA46" s="274">
        <f t="shared" si="113"/>
        <v>0</v>
      </c>
      <c r="EB46" s="274">
        <f t="shared" si="113"/>
        <v>65000000</v>
      </c>
      <c r="EC46" s="274">
        <f t="shared" si="113"/>
        <v>65000000</v>
      </c>
      <c r="ED46" s="274">
        <f t="shared" ref="ED46:EE46" si="115">+ED30+ED32+ED33+ED35+ED40+ED42+ED45</f>
        <v>0</v>
      </c>
      <c r="EE46" s="274">
        <f t="shared" si="115"/>
        <v>3174760</v>
      </c>
      <c r="EF46" s="274">
        <f t="shared" ref="EF46:FM46" si="116">+EF30+EF32+EF33+EF35+EF40+EF42+EF45</f>
        <v>65000000</v>
      </c>
      <c r="EG46" s="274">
        <f t="shared" si="116"/>
        <v>0</v>
      </c>
      <c r="EH46" s="274">
        <f t="shared" si="116"/>
        <v>65000000</v>
      </c>
      <c r="EI46" s="274">
        <f t="shared" si="116"/>
        <v>65000000</v>
      </c>
      <c r="EJ46" s="274">
        <f t="shared" ref="EJ46:EK46" si="117">+EJ30+EJ32+EJ33+EJ35+EJ40+EJ42+EJ45</f>
        <v>0</v>
      </c>
      <c r="EK46" s="274">
        <f t="shared" si="117"/>
        <v>43969369</v>
      </c>
      <c r="EL46" s="274">
        <f t="shared" si="116"/>
        <v>65000000</v>
      </c>
      <c r="EM46" s="274">
        <f t="shared" si="116"/>
        <v>0</v>
      </c>
      <c r="EN46" s="274">
        <f t="shared" si="116"/>
        <v>0</v>
      </c>
      <c r="EO46" s="274">
        <f t="shared" si="116"/>
        <v>0</v>
      </c>
      <c r="EP46" s="274">
        <f t="shared" si="116"/>
        <v>0</v>
      </c>
      <c r="EQ46" s="274">
        <f t="shared" si="116"/>
        <v>0</v>
      </c>
      <c r="ER46" s="274">
        <f t="shared" si="116"/>
        <v>0</v>
      </c>
      <c r="ES46" s="274">
        <f t="shared" si="116"/>
        <v>0</v>
      </c>
      <c r="ET46" s="274">
        <f t="shared" si="116"/>
        <v>0</v>
      </c>
      <c r="EU46" s="274">
        <f t="shared" si="116"/>
        <v>0</v>
      </c>
      <c r="EV46" s="274">
        <f t="shared" si="116"/>
        <v>0</v>
      </c>
      <c r="EW46" s="274">
        <f t="shared" si="116"/>
        <v>0</v>
      </c>
      <c r="EX46" s="274">
        <f t="shared" si="116"/>
        <v>0</v>
      </c>
      <c r="EY46" s="274">
        <f t="shared" si="116"/>
        <v>0</v>
      </c>
      <c r="EZ46" s="274">
        <f t="shared" si="116"/>
        <v>0</v>
      </c>
      <c r="FA46" s="274">
        <f t="shared" si="116"/>
        <v>0</v>
      </c>
      <c r="FB46" s="274">
        <f t="shared" si="116"/>
        <v>0</v>
      </c>
      <c r="FC46" s="274">
        <f t="shared" si="116"/>
        <v>0</v>
      </c>
      <c r="FD46" s="274">
        <f t="shared" si="116"/>
        <v>0</v>
      </c>
      <c r="FE46" s="274">
        <f t="shared" si="116"/>
        <v>0</v>
      </c>
      <c r="FF46" s="274">
        <f t="shared" si="116"/>
        <v>0</v>
      </c>
      <c r="FG46" s="274">
        <f t="shared" si="116"/>
        <v>0</v>
      </c>
      <c r="FH46" s="274">
        <f t="shared" si="116"/>
        <v>0</v>
      </c>
      <c r="FI46" s="274">
        <f t="shared" si="116"/>
        <v>0</v>
      </c>
      <c r="FJ46" s="274">
        <f t="shared" si="116"/>
        <v>0</v>
      </c>
      <c r="FK46" s="274">
        <f t="shared" si="116"/>
        <v>0</v>
      </c>
      <c r="FL46" s="274">
        <f t="shared" si="116"/>
        <v>0</v>
      </c>
      <c r="FM46" s="274">
        <f t="shared" si="116"/>
        <v>0</v>
      </c>
      <c r="FN46" s="274">
        <f t="shared" ref="FN46:GK46" si="118">+FN30+FN32+FN33+FN35+FN40+FN42+FN45</f>
        <v>0</v>
      </c>
      <c r="FO46" s="274">
        <f t="shared" si="118"/>
        <v>0</v>
      </c>
      <c r="FP46" s="274">
        <f t="shared" si="118"/>
        <v>0</v>
      </c>
      <c r="FQ46" s="274">
        <f t="shared" si="118"/>
        <v>0</v>
      </c>
      <c r="FR46" s="274">
        <f t="shared" si="118"/>
        <v>0</v>
      </c>
      <c r="FS46" s="274">
        <f t="shared" si="118"/>
        <v>0</v>
      </c>
      <c r="FT46" s="274">
        <f t="shared" si="118"/>
        <v>0</v>
      </c>
      <c r="FU46" s="274">
        <f t="shared" si="118"/>
        <v>0</v>
      </c>
      <c r="FV46" s="274">
        <f t="shared" si="118"/>
        <v>0</v>
      </c>
      <c r="FW46" s="274">
        <f t="shared" si="118"/>
        <v>0</v>
      </c>
      <c r="FX46" s="274">
        <f t="shared" si="118"/>
        <v>0</v>
      </c>
      <c r="FY46" s="274">
        <f t="shared" si="118"/>
        <v>0</v>
      </c>
      <c r="FZ46" s="274">
        <f t="shared" si="118"/>
        <v>0</v>
      </c>
      <c r="GA46" s="274">
        <f t="shared" si="118"/>
        <v>0</v>
      </c>
      <c r="GB46" s="274">
        <f t="shared" si="118"/>
        <v>0</v>
      </c>
      <c r="GC46" s="274">
        <f t="shared" si="118"/>
        <v>0</v>
      </c>
      <c r="GD46" s="274">
        <f t="shared" si="118"/>
        <v>0</v>
      </c>
      <c r="GE46" s="274">
        <f t="shared" si="118"/>
        <v>0</v>
      </c>
      <c r="GF46" s="274">
        <f t="shared" si="118"/>
        <v>0</v>
      </c>
      <c r="GG46" s="274">
        <f t="shared" si="118"/>
        <v>0</v>
      </c>
      <c r="GH46" s="274">
        <f t="shared" si="118"/>
        <v>0</v>
      </c>
      <c r="GI46" s="274">
        <f t="shared" si="118"/>
        <v>0</v>
      </c>
      <c r="GJ46" s="274">
        <f t="shared" si="118"/>
        <v>0</v>
      </c>
      <c r="GK46" s="274">
        <f t="shared" si="118"/>
        <v>0</v>
      </c>
      <c r="GL46" s="274">
        <f t="shared" ref="GL46:GV46" si="119">+GL30+GL32+GL33+GL35+GL40+GL42+GL45</f>
        <v>0</v>
      </c>
      <c r="GM46" s="274">
        <f>+GM30+GM32+GM33+GM35+GM40+GM42+GM45</f>
        <v>0</v>
      </c>
      <c r="GN46" s="274">
        <f t="shared" si="119"/>
        <v>0</v>
      </c>
      <c r="GO46" s="274">
        <f>+GO30+GO32+GO33+GO35+GO40+GO42+GO45</f>
        <v>0</v>
      </c>
      <c r="GP46" s="274">
        <f t="shared" si="119"/>
        <v>0</v>
      </c>
      <c r="GQ46" s="274">
        <f>+GQ30+GQ32+GQ33+GQ35+GQ40+GQ42+GQ45</f>
        <v>0</v>
      </c>
      <c r="GR46" s="274">
        <f t="shared" si="119"/>
        <v>0</v>
      </c>
      <c r="GS46" s="274">
        <f>+GS30+GS32+GS33+GS35+GS40+GS42+GS45</f>
        <v>0</v>
      </c>
      <c r="GT46" s="274">
        <f t="shared" si="119"/>
        <v>0</v>
      </c>
      <c r="GU46" s="274">
        <f>+GU30+GU32+GU33+GU35+GU40+GU42+GU45</f>
        <v>0</v>
      </c>
      <c r="GV46" s="274">
        <f t="shared" si="119"/>
        <v>0</v>
      </c>
      <c r="GW46" s="274">
        <f t="shared" ref="GW46:HG46" si="120">+GW30+GW32+GW33+GW35+GW40+GW42+GW45</f>
        <v>0</v>
      </c>
      <c r="GX46" s="274">
        <f t="shared" si="120"/>
        <v>0</v>
      </c>
      <c r="GY46" s="274">
        <f t="shared" si="120"/>
        <v>0</v>
      </c>
      <c r="GZ46" s="274">
        <f t="shared" si="120"/>
        <v>0</v>
      </c>
      <c r="HA46" s="274">
        <f t="shared" si="120"/>
        <v>0</v>
      </c>
      <c r="HB46" s="274">
        <f t="shared" si="120"/>
        <v>0</v>
      </c>
      <c r="HC46" s="274">
        <f t="shared" si="120"/>
        <v>0</v>
      </c>
      <c r="HD46" s="274">
        <f t="shared" si="120"/>
        <v>0</v>
      </c>
      <c r="HE46" s="274">
        <f t="shared" si="120"/>
        <v>0</v>
      </c>
      <c r="HF46" s="274">
        <f t="shared" si="120"/>
        <v>0</v>
      </c>
      <c r="HG46" s="274">
        <f t="shared" si="120"/>
        <v>0</v>
      </c>
      <c r="HH46" s="274">
        <f t="shared" ref="HH46:HV46" si="121">+HH30+HH32+HH33+HH35+HH40+HH42+HH45</f>
        <v>0</v>
      </c>
      <c r="HI46" s="274">
        <f>+HI30+HI32+HI33+HI35+HI40+HI42+HI45</f>
        <v>0</v>
      </c>
      <c r="HJ46" s="274">
        <f t="shared" si="121"/>
        <v>0</v>
      </c>
      <c r="HK46" s="274">
        <f>+HK30+HK32+HK33+HK35+HK40+HK42+HK45</f>
        <v>0</v>
      </c>
      <c r="HL46" s="274">
        <f t="shared" si="121"/>
        <v>0</v>
      </c>
      <c r="HM46" s="274">
        <f>+HM30+HM32+HM33+HM35+HM40+HM42+HM45</f>
        <v>0</v>
      </c>
      <c r="HN46" s="274">
        <f t="shared" si="121"/>
        <v>0</v>
      </c>
      <c r="HO46" s="274">
        <f>+HO30+HO32+HO33+HO35+HO40+HO42+HO45</f>
        <v>0</v>
      </c>
      <c r="HP46" s="274">
        <f t="shared" si="121"/>
        <v>0</v>
      </c>
      <c r="HQ46" s="274">
        <f>+HQ30+HQ32+HQ33+HQ35+HQ40+HQ42+HQ45</f>
        <v>0</v>
      </c>
      <c r="HR46" s="274">
        <f t="shared" si="121"/>
        <v>0</v>
      </c>
      <c r="HS46" s="274">
        <f>+HS30+HS32+HS33+HS35+HS40+HS42+HS45</f>
        <v>0</v>
      </c>
      <c r="HT46" s="274">
        <f t="shared" si="121"/>
        <v>0</v>
      </c>
      <c r="HU46" s="274">
        <f>+HU30+HU32+HU33+HU35+HU40+HU42+HU45</f>
        <v>0</v>
      </c>
      <c r="HV46" s="274">
        <f t="shared" si="121"/>
        <v>0</v>
      </c>
      <c r="HW46" s="274">
        <f>+HW30+HW32+HW33+HW35+HW40+HW42+HW45</f>
        <v>0</v>
      </c>
      <c r="HX46" s="274">
        <f t="shared" ref="HX46:HY46" si="122">+HX30+HX32+HX33+HX35+HX40+HX42+HX45</f>
        <v>0</v>
      </c>
      <c r="HY46" s="274">
        <f t="shared" si="122"/>
        <v>0</v>
      </c>
      <c r="HZ46" s="274">
        <f t="shared" ref="HZ46:IA46" si="123">+HZ30+HZ32+HZ33+HZ35+HZ40+HZ42+HZ45</f>
        <v>0</v>
      </c>
      <c r="IA46" s="274">
        <f t="shared" si="123"/>
        <v>0</v>
      </c>
      <c r="IB46" s="274">
        <f>+IB30+IB32+IB33+IB35+IB40+IB42+IB45</f>
        <v>0</v>
      </c>
      <c r="IC46" s="274">
        <f>+IC30+IC32+IC33+IC35+IC40+IC42+IC45</f>
        <v>0</v>
      </c>
      <c r="ID46" s="957">
        <f t="shared" si="9"/>
        <v>2776153314</v>
      </c>
      <c r="IE46" s="957">
        <f t="shared" si="1"/>
        <v>3092881596</v>
      </c>
      <c r="IF46" s="258">
        <f t="shared" si="2"/>
        <v>17000000</v>
      </c>
      <c r="IG46" s="258">
        <f t="shared" si="3"/>
        <v>40255933</v>
      </c>
    </row>
    <row r="47" spans="1:241" s="260" customFormat="1" ht="21.75" customHeight="1" x14ac:dyDescent="0.3">
      <c r="A47" s="253" t="s">
        <v>282</v>
      </c>
      <c r="B47" s="269" t="s">
        <v>114</v>
      </c>
      <c r="C47" s="255"/>
      <c r="D47" s="274">
        <f t="shared" ref="D47:AI47" si="124">+D31+D34+D36+D41+D43+D44</f>
        <v>0</v>
      </c>
      <c r="E47" s="274">
        <f t="shared" si="124"/>
        <v>0</v>
      </c>
      <c r="F47" s="274">
        <f t="shared" si="124"/>
        <v>0</v>
      </c>
      <c r="G47" s="274">
        <f t="shared" si="124"/>
        <v>0</v>
      </c>
      <c r="H47" s="274">
        <f t="shared" si="124"/>
        <v>0</v>
      </c>
      <c r="I47" s="274">
        <f t="shared" si="124"/>
        <v>0</v>
      </c>
      <c r="J47" s="274">
        <f t="shared" si="124"/>
        <v>0</v>
      </c>
      <c r="K47" s="274">
        <f t="shared" si="124"/>
        <v>0</v>
      </c>
      <c r="L47" s="274">
        <f t="shared" si="124"/>
        <v>0</v>
      </c>
      <c r="M47" s="274">
        <f t="shared" si="124"/>
        <v>0</v>
      </c>
      <c r="N47" s="274">
        <f t="shared" si="124"/>
        <v>0</v>
      </c>
      <c r="O47" s="274">
        <f t="shared" si="124"/>
        <v>0</v>
      </c>
      <c r="P47" s="274">
        <f t="shared" si="124"/>
        <v>0</v>
      </c>
      <c r="Q47" s="274">
        <f t="shared" si="124"/>
        <v>0</v>
      </c>
      <c r="R47" s="274">
        <f t="shared" si="124"/>
        <v>0</v>
      </c>
      <c r="S47" s="274">
        <f t="shared" si="124"/>
        <v>0</v>
      </c>
      <c r="T47" s="274">
        <f t="shared" si="124"/>
        <v>0</v>
      </c>
      <c r="U47" s="274">
        <f t="shared" si="124"/>
        <v>0</v>
      </c>
      <c r="V47" s="274">
        <f t="shared" si="124"/>
        <v>0</v>
      </c>
      <c r="W47" s="274">
        <f t="shared" si="124"/>
        <v>0</v>
      </c>
      <c r="X47" s="274">
        <f t="shared" si="124"/>
        <v>1873800</v>
      </c>
      <c r="Y47" s="274">
        <f t="shared" si="124"/>
        <v>2842550</v>
      </c>
      <c r="Z47" s="274">
        <f t="shared" si="124"/>
        <v>51854877</v>
      </c>
      <c r="AA47" s="274">
        <f t="shared" si="124"/>
        <v>1850596</v>
      </c>
      <c r="AB47" s="274">
        <f t="shared" si="124"/>
        <v>1058335690</v>
      </c>
      <c r="AC47" s="274">
        <f t="shared" si="124"/>
        <v>1302175690</v>
      </c>
      <c r="AD47" s="274">
        <f t="shared" si="124"/>
        <v>0</v>
      </c>
      <c r="AE47" s="274">
        <f t="shared" si="124"/>
        <v>0</v>
      </c>
      <c r="AF47" s="274">
        <f t="shared" si="124"/>
        <v>0</v>
      </c>
      <c r="AG47" s="274">
        <f t="shared" si="124"/>
        <v>0</v>
      </c>
      <c r="AH47" s="274">
        <f t="shared" si="124"/>
        <v>0</v>
      </c>
      <c r="AI47" s="274">
        <f t="shared" si="124"/>
        <v>0</v>
      </c>
      <c r="AJ47" s="274">
        <f t="shared" ref="AJ47:BO47" si="125">+AJ31+AJ34+AJ36+AJ41+AJ43+AJ44</f>
        <v>0</v>
      </c>
      <c r="AK47" s="274">
        <f t="shared" si="125"/>
        <v>0</v>
      </c>
      <c r="AL47" s="274">
        <f t="shared" si="125"/>
        <v>0</v>
      </c>
      <c r="AM47" s="274">
        <f t="shared" si="125"/>
        <v>0</v>
      </c>
      <c r="AN47" s="274">
        <f t="shared" si="125"/>
        <v>0</v>
      </c>
      <c r="AO47" s="274">
        <f t="shared" si="125"/>
        <v>0</v>
      </c>
      <c r="AP47" s="274">
        <f t="shared" si="125"/>
        <v>0</v>
      </c>
      <c r="AQ47" s="274">
        <f t="shared" si="125"/>
        <v>0</v>
      </c>
      <c r="AR47" s="274">
        <f t="shared" si="125"/>
        <v>0</v>
      </c>
      <c r="AS47" s="274">
        <f t="shared" si="125"/>
        <v>0</v>
      </c>
      <c r="AT47" s="274">
        <f t="shared" si="125"/>
        <v>0</v>
      </c>
      <c r="AU47" s="274">
        <f t="shared" si="125"/>
        <v>0</v>
      </c>
      <c r="AV47" s="274">
        <f t="shared" si="125"/>
        <v>0</v>
      </c>
      <c r="AW47" s="274">
        <f t="shared" si="125"/>
        <v>0</v>
      </c>
      <c r="AX47" s="274">
        <f t="shared" si="125"/>
        <v>0</v>
      </c>
      <c r="AY47" s="274">
        <f t="shared" si="125"/>
        <v>0</v>
      </c>
      <c r="AZ47" s="274">
        <f t="shared" si="125"/>
        <v>0</v>
      </c>
      <c r="BA47" s="274">
        <f t="shared" si="125"/>
        <v>0</v>
      </c>
      <c r="BB47" s="274">
        <f t="shared" si="125"/>
        <v>0</v>
      </c>
      <c r="BC47" s="274">
        <f t="shared" si="125"/>
        <v>0</v>
      </c>
      <c r="BD47" s="274">
        <f t="shared" si="125"/>
        <v>0</v>
      </c>
      <c r="BE47" s="274">
        <f t="shared" si="125"/>
        <v>0</v>
      </c>
      <c r="BF47" s="274">
        <f t="shared" si="125"/>
        <v>0</v>
      </c>
      <c r="BG47" s="274">
        <f t="shared" si="125"/>
        <v>0</v>
      </c>
      <c r="BH47" s="274">
        <f t="shared" si="125"/>
        <v>0</v>
      </c>
      <c r="BI47" s="274">
        <f t="shared" si="125"/>
        <v>0</v>
      </c>
      <c r="BJ47" s="274">
        <f t="shared" si="125"/>
        <v>0</v>
      </c>
      <c r="BK47" s="274">
        <f t="shared" si="125"/>
        <v>0</v>
      </c>
      <c r="BL47" s="274">
        <f t="shared" si="125"/>
        <v>0</v>
      </c>
      <c r="BM47" s="274">
        <f t="shared" si="125"/>
        <v>0</v>
      </c>
      <c r="BN47" s="274">
        <f t="shared" si="125"/>
        <v>0</v>
      </c>
      <c r="BO47" s="274">
        <f t="shared" si="125"/>
        <v>0</v>
      </c>
      <c r="BP47" s="274">
        <f t="shared" ref="BP47:CU47" si="126">+BP31+BP34+BP36+BP41+BP43+BP44</f>
        <v>0</v>
      </c>
      <c r="BQ47" s="274">
        <f t="shared" si="126"/>
        <v>0</v>
      </c>
      <c r="BR47" s="274">
        <f t="shared" si="126"/>
        <v>0</v>
      </c>
      <c r="BS47" s="274">
        <f t="shared" si="126"/>
        <v>0</v>
      </c>
      <c r="BT47" s="274">
        <f t="shared" si="126"/>
        <v>0</v>
      </c>
      <c r="BU47" s="274">
        <f t="shared" si="126"/>
        <v>0</v>
      </c>
      <c r="BV47" s="274">
        <f t="shared" si="126"/>
        <v>0</v>
      </c>
      <c r="BW47" s="274">
        <f t="shared" si="126"/>
        <v>0</v>
      </c>
      <c r="BX47" s="274">
        <f t="shared" si="126"/>
        <v>0</v>
      </c>
      <c r="BY47" s="274">
        <f t="shared" si="126"/>
        <v>0</v>
      </c>
      <c r="BZ47" s="274">
        <f t="shared" si="126"/>
        <v>0</v>
      </c>
      <c r="CA47" s="274">
        <f t="shared" si="126"/>
        <v>0</v>
      </c>
      <c r="CB47" s="274">
        <f t="shared" si="126"/>
        <v>0</v>
      </c>
      <c r="CC47" s="274">
        <f t="shared" si="126"/>
        <v>0</v>
      </c>
      <c r="CD47" s="274">
        <f t="shared" si="126"/>
        <v>0</v>
      </c>
      <c r="CE47" s="274">
        <f t="shared" si="126"/>
        <v>0</v>
      </c>
      <c r="CF47" s="274">
        <f t="shared" si="126"/>
        <v>0</v>
      </c>
      <c r="CG47" s="274">
        <f t="shared" si="126"/>
        <v>0</v>
      </c>
      <c r="CH47" s="274">
        <f t="shared" si="126"/>
        <v>0</v>
      </c>
      <c r="CI47" s="274">
        <f t="shared" si="126"/>
        <v>0</v>
      </c>
      <c r="CJ47" s="274">
        <f t="shared" si="126"/>
        <v>0</v>
      </c>
      <c r="CK47" s="274">
        <f t="shared" si="126"/>
        <v>0</v>
      </c>
      <c r="CL47" s="274">
        <f t="shared" si="126"/>
        <v>0</v>
      </c>
      <c r="CM47" s="274">
        <f t="shared" si="126"/>
        <v>0</v>
      </c>
      <c r="CN47" s="274">
        <f t="shared" si="126"/>
        <v>0</v>
      </c>
      <c r="CO47" s="274">
        <f t="shared" si="126"/>
        <v>0</v>
      </c>
      <c r="CP47" s="274">
        <f t="shared" si="126"/>
        <v>0</v>
      </c>
      <c r="CQ47" s="274">
        <f t="shared" si="126"/>
        <v>0</v>
      </c>
      <c r="CR47" s="274">
        <f t="shared" si="126"/>
        <v>0</v>
      </c>
      <c r="CS47" s="274">
        <f t="shared" si="126"/>
        <v>0</v>
      </c>
      <c r="CT47" s="274">
        <f t="shared" si="126"/>
        <v>0</v>
      </c>
      <c r="CU47" s="274">
        <f t="shared" si="126"/>
        <v>0</v>
      </c>
      <c r="CV47" s="274">
        <f t="shared" ref="CV47:EC47" si="127">+CV31+CV34+CV36+CV41+CV43+CV44</f>
        <v>0</v>
      </c>
      <c r="CW47" s="274">
        <f t="shared" si="127"/>
        <v>0</v>
      </c>
      <c r="CX47" s="274">
        <f t="shared" ref="CX47:CY47" si="128">+CX31+CX34+CX36+CX41+CX43+CX44</f>
        <v>0</v>
      </c>
      <c r="CY47" s="274">
        <f t="shared" si="128"/>
        <v>0</v>
      </c>
      <c r="CZ47" s="274">
        <f t="shared" si="127"/>
        <v>0</v>
      </c>
      <c r="DA47" s="274">
        <f t="shared" si="127"/>
        <v>0</v>
      </c>
      <c r="DB47" s="274">
        <f t="shared" si="127"/>
        <v>0</v>
      </c>
      <c r="DC47" s="274">
        <f t="shared" si="127"/>
        <v>0</v>
      </c>
      <c r="DD47" s="274">
        <f t="shared" si="127"/>
        <v>0</v>
      </c>
      <c r="DE47" s="274">
        <f t="shared" si="127"/>
        <v>0</v>
      </c>
      <c r="DF47" s="274">
        <f t="shared" si="127"/>
        <v>0</v>
      </c>
      <c r="DG47" s="274">
        <f t="shared" si="127"/>
        <v>0</v>
      </c>
      <c r="DH47" s="274">
        <f t="shared" si="127"/>
        <v>0</v>
      </c>
      <c r="DI47" s="274">
        <f t="shared" si="127"/>
        <v>0</v>
      </c>
      <c r="DJ47" s="274">
        <f t="shared" si="127"/>
        <v>0</v>
      </c>
      <c r="DK47" s="274">
        <f t="shared" si="127"/>
        <v>0</v>
      </c>
      <c r="DL47" s="274">
        <f t="shared" si="127"/>
        <v>0</v>
      </c>
      <c r="DM47" s="274">
        <f t="shared" si="127"/>
        <v>0</v>
      </c>
      <c r="DN47" s="274">
        <f t="shared" si="127"/>
        <v>0</v>
      </c>
      <c r="DO47" s="274">
        <f t="shared" si="127"/>
        <v>0</v>
      </c>
      <c r="DP47" s="274">
        <f t="shared" si="127"/>
        <v>0</v>
      </c>
      <c r="DQ47" s="274">
        <f t="shared" si="127"/>
        <v>0</v>
      </c>
      <c r="DR47" s="274">
        <f t="shared" si="127"/>
        <v>0</v>
      </c>
      <c r="DS47" s="274">
        <f t="shared" si="127"/>
        <v>0</v>
      </c>
      <c r="DT47" s="274">
        <f t="shared" si="127"/>
        <v>0</v>
      </c>
      <c r="DU47" s="274">
        <f t="shared" si="127"/>
        <v>0</v>
      </c>
      <c r="DV47" s="274">
        <f t="shared" si="127"/>
        <v>0</v>
      </c>
      <c r="DW47" s="274">
        <f t="shared" si="127"/>
        <v>0</v>
      </c>
      <c r="DX47" s="274">
        <f t="shared" si="127"/>
        <v>0</v>
      </c>
      <c r="DY47" s="274">
        <f t="shared" si="127"/>
        <v>0</v>
      </c>
      <c r="DZ47" s="274">
        <f t="shared" si="127"/>
        <v>0</v>
      </c>
      <c r="EA47" s="274">
        <f t="shared" si="127"/>
        <v>2380000</v>
      </c>
      <c r="EB47" s="274">
        <f t="shared" si="127"/>
        <v>0</v>
      </c>
      <c r="EC47" s="274">
        <f t="shared" si="127"/>
        <v>0</v>
      </c>
      <c r="ED47" s="274">
        <f t="shared" ref="ED47:EE47" si="129">+ED31+ED34+ED36+ED41+ED43+ED44</f>
        <v>0</v>
      </c>
      <c r="EE47" s="274">
        <f t="shared" si="129"/>
        <v>0</v>
      </c>
      <c r="EF47" s="274">
        <f t="shared" ref="EF47:FM47" si="130">+EF31+EF34+EF36+EF41+EF43+EF44</f>
        <v>0</v>
      </c>
      <c r="EG47" s="274">
        <f t="shared" si="130"/>
        <v>0</v>
      </c>
      <c r="EH47" s="274">
        <f t="shared" si="130"/>
        <v>0</v>
      </c>
      <c r="EI47" s="274">
        <f t="shared" si="130"/>
        <v>0</v>
      </c>
      <c r="EJ47" s="274">
        <f t="shared" ref="EJ47:EK47" si="131">+EJ31+EJ34+EJ36+EJ41+EJ43+EJ44</f>
        <v>0</v>
      </c>
      <c r="EK47" s="274">
        <f t="shared" si="131"/>
        <v>0</v>
      </c>
      <c r="EL47" s="274">
        <f t="shared" si="130"/>
        <v>0</v>
      </c>
      <c r="EM47" s="274">
        <f t="shared" si="130"/>
        <v>0</v>
      </c>
      <c r="EN47" s="274">
        <f t="shared" si="130"/>
        <v>0</v>
      </c>
      <c r="EO47" s="274">
        <f t="shared" si="130"/>
        <v>0</v>
      </c>
      <c r="EP47" s="274">
        <f t="shared" si="130"/>
        <v>0</v>
      </c>
      <c r="EQ47" s="274">
        <f t="shared" si="130"/>
        <v>0</v>
      </c>
      <c r="ER47" s="274">
        <f t="shared" si="130"/>
        <v>0</v>
      </c>
      <c r="ES47" s="274">
        <f t="shared" si="130"/>
        <v>0</v>
      </c>
      <c r="ET47" s="274">
        <f t="shared" si="130"/>
        <v>0</v>
      </c>
      <c r="EU47" s="274">
        <f t="shared" si="130"/>
        <v>0</v>
      </c>
      <c r="EV47" s="274">
        <f t="shared" si="130"/>
        <v>0</v>
      </c>
      <c r="EW47" s="274">
        <f t="shared" si="130"/>
        <v>0</v>
      </c>
      <c r="EX47" s="274">
        <f t="shared" si="130"/>
        <v>0</v>
      </c>
      <c r="EY47" s="274">
        <f t="shared" si="130"/>
        <v>0</v>
      </c>
      <c r="EZ47" s="274">
        <f t="shared" si="130"/>
        <v>0</v>
      </c>
      <c r="FA47" s="274">
        <f t="shared" si="130"/>
        <v>0</v>
      </c>
      <c r="FB47" s="274">
        <f t="shared" si="130"/>
        <v>0</v>
      </c>
      <c r="FC47" s="274">
        <f t="shared" si="130"/>
        <v>0</v>
      </c>
      <c r="FD47" s="274">
        <f t="shared" si="130"/>
        <v>0</v>
      </c>
      <c r="FE47" s="274">
        <f t="shared" si="130"/>
        <v>0</v>
      </c>
      <c r="FF47" s="274">
        <f t="shared" si="130"/>
        <v>0</v>
      </c>
      <c r="FG47" s="274">
        <f t="shared" si="130"/>
        <v>0</v>
      </c>
      <c r="FH47" s="274">
        <f t="shared" si="130"/>
        <v>0</v>
      </c>
      <c r="FI47" s="274">
        <f t="shared" si="130"/>
        <v>0</v>
      </c>
      <c r="FJ47" s="274">
        <f t="shared" si="130"/>
        <v>0</v>
      </c>
      <c r="FK47" s="274">
        <f t="shared" si="130"/>
        <v>0</v>
      </c>
      <c r="FL47" s="274">
        <f t="shared" si="130"/>
        <v>0</v>
      </c>
      <c r="FM47" s="274">
        <f t="shared" si="130"/>
        <v>0</v>
      </c>
      <c r="FN47" s="274">
        <f t="shared" ref="FN47:GK47" si="132">+FN31+FN34+FN36+FN41+FN43+FN44</f>
        <v>0</v>
      </c>
      <c r="FO47" s="274">
        <f t="shared" si="132"/>
        <v>0</v>
      </c>
      <c r="FP47" s="274">
        <f t="shared" si="132"/>
        <v>0</v>
      </c>
      <c r="FQ47" s="274">
        <f t="shared" si="132"/>
        <v>0</v>
      </c>
      <c r="FR47" s="274">
        <f t="shared" si="132"/>
        <v>0</v>
      </c>
      <c r="FS47" s="274">
        <f t="shared" si="132"/>
        <v>0</v>
      </c>
      <c r="FT47" s="274">
        <f t="shared" si="132"/>
        <v>0</v>
      </c>
      <c r="FU47" s="274">
        <f t="shared" si="132"/>
        <v>0</v>
      </c>
      <c r="FV47" s="274">
        <f t="shared" si="132"/>
        <v>0</v>
      </c>
      <c r="FW47" s="274">
        <f t="shared" si="132"/>
        <v>0</v>
      </c>
      <c r="FX47" s="274">
        <f t="shared" si="132"/>
        <v>0</v>
      </c>
      <c r="FY47" s="274">
        <f t="shared" si="132"/>
        <v>0</v>
      </c>
      <c r="FZ47" s="274">
        <f t="shared" si="132"/>
        <v>0</v>
      </c>
      <c r="GA47" s="274">
        <f t="shared" si="132"/>
        <v>0</v>
      </c>
      <c r="GB47" s="274">
        <f t="shared" si="132"/>
        <v>0</v>
      </c>
      <c r="GC47" s="274">
        <f t="shared" si="132"/>
        <v>0</v>
      </c>
      <c r="GD47" s="274">
        <f t="shared" si="132"/>
        <v>0</v>
      </c>
      <c r="GE47" s="274">
        <f t="shared" si="132"/>
        <v>0</v>
      </c>
      <c r="GF47" s="274">
        <f t="shared" si="132"/>
        <v>0</v>
      </c>
      <c r="GG47" s="274">
        <f t="shared" si="132"/>
        <v>0</v>
      </c>
      <c r="GH47" s="274">
        <f t="shared" si="132"/>
        <v>0</v>
      </c>
      <c r="GI47" s="274">
        <f t="shared" si="132"/>
        <v>0</v>
      </c>
      <c r="GJ47" s="274">
        <f t="shared" si="132"/>
        <v>0</v>
      </c>
      <c r="GK47" s="274">
        <f t="shared" si="132"/>
        <v>0</v>
      </c>
      <c r="GL47" s="274">
        <f t="shared" ref="GL47:GV47" si="133">+GL31+GL34+GL36+GL41+GL43+GL44</f>
        <v>0</v>
      </c>
      <c r="GM47" s="274">
        <f>+GM31+GM34+GM36+GM41+GM43+GM44</f>
        <v>0</v>
      </c>
      <c r="GN47" s="274">
        <f t="shared" si="133"/>
        <v>0</v>
      </c>
      <c r="GO47" s="274">
        <f>+GO31+GO34+GO36+GO41+GO43+GO44</f>
        <v>54720000</v>
      </c>
      <c r="GP47" s="274">
        <f t="shared" si="133"/>
        <v>0</v>
      </c>
      <c r="GQ47" s="274">
        <f>+GQ31+GQ34+GQ36+GQ41+GQ43+GQ44</f>
        <v>0</v>
      </c>
      <c r="GR47" s="274">
        <f t="shared" si="133"/>
        <v>0</v>
      </c>
      <c r="GS47" s="274">
        <f>+GS31+GS34+GS36+GS41+GS43+GS44</f>
        <v>0</v>
      </c>
      <c r="GT47" s="274">
        <f t="shared" si="133"/>
        <v>0</v>
      </c>
      <c r="GU47" s="274">
        <f>+GU31+GU34+GU36+GU41+GU43+GU44</f>
        <v>0</v>
      </c>
      <c r="GV47" s="274">
        <f t="shared" si="133"/>
        <v>0</v>
      </c>
      <c r="GW47" s="274">
        <f t="shared" ref="GW47:HG47" si="134">+GW31+GW34+GW36+GW41+GW43+GW44</f>
        <v>0</v>
      </c>
      <c r="GX47" s="274">
        <f t="shared" si="134"/>
        <v>0</v>
      </c>
      <c r="GY47" s="274">
        <f t="shared" si="134"/>
        <v>0</v>
      </c>
      <c r="GZ47" s="274">
        <f t="shared" si="134"/>
        <v>0</v>
      </c>
      <c r="HA47" s="274">
        <f t="shared" si="134"/>
        <v>0</v>
      </c>
      <c r="HB47" s="274">
        <f t="shared" si="134"/>
        <v>0</v>
      </c>
      <c r="HC47" s="274">
        <f t="shared" si="134"/>
        <v>0</v>
      </c>
      <c r="HD47" s="274">
        <f t="shared" si="134"/>
        <v>0</v>
      </c>
      <c r="HE47" s="274">
        <f t="shared" si="134"/>
        <v>0</v>
      </c>
      <c r="HF47" s="274">
        <f t="shared" si="134"/>
        <v>0</v>
      </c>
      <c r="HG47" s="274">
        <f t="shared" si="134"/>
        <v>0</v>
      </c>
      <c r="HH47" s="274">
        <f t="shared" ref="HH47:HV47" si="135">+HH31+HH34+HH36+HH41+HH43+HH44</f>
        <v>0</v>
      </c>
      <c r="HI47" s="274">
        <f>+HI31+HI34+HI36+HI41+HI43+HI44</f>
        <v>0</v>
      </c>
      <c r="HJ47" s="274">
        <f t="shared" si="135"/>
        <v>0</v>
      </c>
      <c r="HK47" s="274">
        <f>+HK31+HK34+HK36+HK41+HK43+HK44</f>
        <v>0</v>
      </c>
      <c r="HL47" s="274">
        <f t="shared" si="135"/>
        <v>0</v>
      </c>
      <c r="HM47" s="274">
        <f>+HM31+HM34+HM36+HM41+HM43+HM44</f>
        <v>0</v>
      </c>
      <c r="HN47" s="274">
        <f t="shared" si="135"/>
        <v>0</v>
      </c>
      <c r="HO47" s="274">
        <f>+HO31+HO34+HO36+HO41+HO43+HO44</f>
        <v>0</v>
      </c>
      <c r="HP47" s="274">
        <f t="shared" si="135"/>
        <v>0</v>
      </c>
      <c r="HQ47" s="274">
        <f>+HQ31+HQ34+HQ36+HQ41+HQ43+HQ44</f>
        <v>0</v>
      </c>
      <c r="HR47" s="274">
        <f t="shared" si="135"/>
        <v>0</v>
      </c>
      <c r="HS47" s="274">
        <f>+HS31+HS34+HS36+HS41+HS43+HS44</f>
        <v>0</v>
      </c>
      <c r="HT47" s="274">
        <f t="shared" si="135"/>
        <v>0</v>
      </c>
      <c r="HU47" s="274">
        <f>+HU31+HU34+HU36+HU41+HU43+HU44</f>
        <v>0</v>
      </c>
      <c r="HV47" s="274">
        <f t="shared" si="135"/>
        <v>0</v>
      </c>
      <c r="HW47" s="274">
        <f>+HW31+HW34+HW36+HW41+HW43+HW44</f>
        <v>0</v>
      </c>
      <c r="HX47" s="274">
        <f t="shared" ref="HX47:HY47" si="136">+HX31+HX34+HX36+HX41+HX43+HX44</f>
        <v>0</v>
      </c>
      <c r="HY47" s="274">
        <f t="shared" si="136"/>
        <v>314960630</v>
      </c>
      <c r="HZ47" s="274">
        <f t="shared" ref="HZ47:IA47" si="137">+HZ31+HZ34+HZ36+HZ41+HZ43+HZ44</f>
        <v>0</v>
      </c>
      <c r="IA47" s="274">
        <f t="shared" si="137"/>
        <v>0</v>
      </c>
      <c r="IB47" s="274">
        <f>+IB31+IB34+IB36+IB41+IB43+IB44</f>
        <v>0</v>
      </c>
      <c r="IC47" s="274">
        <f>+IC31+IC34+IC36+IC41+IC43+IC44</f>
        <v>0</v>
      </c>
      <c r="ID47" s="957">
        <f t="shared" si="9"/>
        <v>1058335690</v>
      </c>
      <c r="IE47" s="957">
        <f t="shared" si="1"/>
        <v>1359275690</v>
      </c>
      <c r="IF47" s="258">
        <f t="shared" si="2"/>
        <v>53728677</v>
      </c>
      <c r="IG47" s="258">
        <f t="shared" si="3"/>
        <v>319653776</v>
      </c>
    </row>
    <row r="48" spans="1:241" s="260" customFormat="1" ht="21.75" customHeight="1" x14ac:dyDescent="0.3">
      <c r="A48" s="253" t="s">
        <v>283</v>
      </c>
      <c r="B48" s="269" t="s">
        <v>328</v>
      </c>
      <c r="C48" s="255"/>
      <c r="D48" s="287">
        <f t="shared" ref="D48:AI48" si="138">+D46+D47</f>
        <v>0</v>
      </c>
      <c r="E48" s="287">
        <f t="shared" si="138"/>
        <v>0</v>
      </c>
      <c r="F48" s="287">
        <f t="shared" si="138"/>
        <v>0</v>
      </c>
      <c r="G48" s="287">
        <f t="shared" si="138"/>
        <v>0</v>
      </c>
      <c r="H48" s="287">
        <f t="shared" si="138"/>
        <v>0</v>
      </c>
      <c r="I48" s="287">
        <f t="shared" si="138"/>
        <v>0</v>
      </c>
      <c r="J48" s="287">
        <f t="shared" si="138"/>
        <v>0</v>
      </c>
      <c r="K48" s="287">
        <f t="shared" si="138"/>
        <v>0</v>
      </c>
      <c r="L48" s="287">
        <f t="shared" si="138"/>
        <v>0</v>
      </c>
      <c r="M48" s="287">
        <f t="shared" si="138"/>
        <v>0</v>
      </c>
      <c r="N48" s="287">
        <f t="shared" si="138"/>
        <v>0</v>
      </c>
      <c r="O48" s="287">
        <f t="shared" si="138"/>
        <v>0</v>
      </c>
      <c r="P48" s="287">
        <f t="shared" si="138"/>
        <v>0</v>
      </c>
      <c r="Q48" s="287">
        <f t="shared" si="138"/>
        <v>0</v>
      </c>
      <c r="R48" s="287">
        <f t="shared" si="138"/>
        <v>0</v>
      </c>
      <c r="S48" s="287">
        <f t="shared" si="138"/>
        <v>0</v>
      </c>
      <c r="T48" s="287">
        <f t="shared" si="138"/>
        <v>0</v>
      </c>
      <c r="U48" s="287">
        <f t="shared" si="138"/>
        <v>0</v>
      </c>
      <c r="V48" s="287">
        <f t="shared" si="138"/>
        <v>10000000</v>
      </c>
      <c r="W48" s="287">
        <f t="shared" si="138"/>
        <v>40124317</v>
      </c>
      <c r="X48" s="287">
        <f t="shared" si="138"/>
        <v>1873800</v>
      </c>
      <c r="Y48" s="287">
        <f t="shared" si="138"/>
        <v>2842550</v>
      </c>
      <c r="Z48" s="287">
        <f t="shared" si="138"/>
        <v>51854877</v>
      </c>
      <c r="AA48" s="287">
        <f t="shared" si="138"/>
        <v>3125205</v>
      </c>
      <c r="AB48" s="287">
        <f t="shared" si="138"/>
        <v>3451968343</v>
      </c>
      <c r="AC48" s="287">
        <f t="shared" si="138"/>
        <v>4023947627</v>
      </c>
      <c r="AD48" s="287">
        <f t="shared" si="138"/>
        <v>0</v>
      </c>
      <c r="AE48" s="287">
        <f t="shared" si="138"/>
        <v>0</v>
      </c>
      <c r="AF48" s="287">
        <f t="shared" si="138"/>
        <v>0</v>
      </c>
      <c r="AG48" s="287">
        <f t="shared" si="138"/>
        <v>0</v>
      </c>
      <c r="AH48" s="287">
        <f t="shared" si="138"/>
        <v>0</v>
      </c>
      <c r="AI48" s="287">
        <f t="shared" si="138"/>
        <v>0</v>
      </c>
      <c r="AJ48" s="287">
        <f t="shared" ref="AJ48:BO48" si="139">+AJ46+AJ47</f>
        <v>0</v>
      </c>
      <c r="AK48" s="287">
        <f t="shared" si="139"/>
        <v>0</v>
      </c>
      <c r="AL48" s="287">
        <f t="shared" si="139"/>
        <v>0</v>
      </c>
      <c r="AM48" s="287">
        <f t="shared" si="139"/>
        <v>0</v>
      </c>
      <c r="AN48" s="287">
        <f t="shared" si="139"/>
        <v>0</v>
      </c>
      <c r="AO48" s="287">
        <f t="shared" si="139"/>
        <v>0</v>
      </c>
      <c r="AP48" s="287">
        <f t="shared" si="139"/>
        <v>0</v>
      </c>
      <c r="AQ48" s="287">
        <f t="shared" si="139"/>
        <v>0</v>
      </c>
      <c r="AR48" s="287">
        <f t="shared" si="139"/>
        <v>0</v>
      </c>
      <c r="AS48" s="287">
        <f t="shared" si="139"/>
        <v>0</v>
      </c>
      <c r="AT48" s="287">
        <f t="shared" si="139"/>
        <v>0</v>
      </c>
      <c r="AU48" s="287">
        <f t="shared" si="139"/>
        <v>0</v>
      </c>
      <c r="AV48" s="287">
        <f t="shared" si="139"/>
        <v>0</v>
      </c>
      <c r="AW48" s="287">
        <f t="shared" si="139"/>
        <v>0</v>
      </c>
      <c r="AX48" s="287">
        <f t="shared" si="139"/>
        <v>0</v>
      </c>
      <c r="AY48" s="287">
        <f t="shared" si="139"/>
        <v>0</v>
      </c>
      <c r="AZ48" s="287">
        <f t="shared" si="139"/>
        <v>0</v>
      </c>
      <c r="BA48" s="287">
        <f t="shared" si="139"/>
        <v>0</v>
      </c>
      <c r="BB48" s="287">
        <f t="shared" si="139"/>
        <v>0</v>
      </c>
      <c r="BC48" s="287">
        <f t="shared" si="139"/>
        <v>0</v>
      </c>
      <c r="BD48" s="287">
        <f t="shared" si="139"/>
        <v>0</v>
      </c>
      <c r="BE48" s="287">
        <f t="shared" si="139"/>
        <v>0</v>
      </c>
      <c r="BF48" s="287">
        <f t="shared" si="139"/>
        <v>0</v>
      </c>
      <c r="BG48" s="287">
        <f t="shared" si="139"/>
        <v>0</v>
      </c>
      <c r="BH48" s="287">
        <f t="shared" si="139"/>
        <v>0</v>
      </c>
      <c r="BI48" s="287">
        <f t="shared" si="139"/>
        <v>0</v>
      </c>
      <c r="BJ48" s="287">
        <f t="shared" si="139"/>
        <v>0</v>
      </c>
      <c r="BK48" s="287">
        <f t="shared" si="139"/>
        <v>0</v>
      </c>
      <c r="BL48" s="287">
        <f t="shared" si="139"/>
        <v>0</v>
      </c>
      <c r="BM48" s="287">
        <f t="shared" si="139"/>
        <v>0</v>
      </c>
      <c r="BN48" s="287">
        <f t="shared" si="139"/>
        <v>0</v>
      </c>
      <c r="BO48" s="287">
        <f t="shared" si="139"/>
        <v>0</v>
      </c>
      <c r="BP48" s="287">
        <f t="shared" ref="BP48:CU48" si="140">+BP46+BP47</f>
        <v>0</v>
      </c>
      <c r="BQ48" s="287">
        <f t="shared" si="140"/>
        <v>0</v>
      </c>
      <c r="BR48" s="287">
        <f t="shared" si="140"/>
        <v>0</v>
      </c>
      <c r="BS48" s="287">
        <f t="shared" si="140"/>
        <v>0</v>
      </c>
      <c r="BT48" s="287">
        <f t="shared" si="140"/>
        <v>0</v>
      </c>
      <c r="BU48" s="287">
        <f t="shared" si="140"/>
        <v>0</v>
      </c>
      <c r="BV48" s="287">
        <f t="shared" si="140"/>
        <v>0</v>
      </c>
      <c r="BW48" s="287">
        <f t="shared" si="140"/>
        <v>0</v>
      </c>
      <c r="BX48" s="287">
        <f t="shared" si="140"/>
        <v>0</v>
      </c>
      <c r="BY48" s="287">
        <f t="shared" si="140"/>
        <v>0</v>
      </c>
      <c r="BZ48" s="287">
        <f t="shared" si="140"/>
        <v>42800000</v>
      </c>
      <c r="CA48" s="287">
        <f t="shared" si="140"/>
        <v>53747040</v>
      </c>
      <c r="CB48" s="287">
        <f t="shared" si="140"/>
        <v>2034400</v>
      </c>
      <c r="CC48" s="287">
        <f t="shared" si="140"/>
        <v>6276663</v>
      </c>
      <c r="CD48" s="287">
        <f t="shared" si="140"/>
        <v>0</v>
      </c>
      <c r="CE48" s="287">
        <f t="shared" si="140"/>
        <v>0</v>
      </c>
      <c r="CF48" s="287">
        <f t="shared" si="140"/>
        <v>0</v>
      </c>
      <c r="CG48" s="287">
        <f t="shared" si="140"/>
        <v>0</v>
      </c>
      <c r="CH48" s="287">
        <f t="shared" si="140"/>
        <v>0</v>
      </c>
      <c r="CI48" s="287">
        <f t="shared" si="140"/>
        <v>0</v>
      </c>
      <c r="CJ48" s="287">
        <f t="shared" si="140"/>
        <v>0</v>
      </c>
      <c r="CK48" s="287">
        <f t="shared" si="140"/>
        <v>0</v>
      </c>
      <c r="CL48" s="287">
        <f t="shared" si="140"/>
        <v>0</v>
      </c>
      <c r="CM48" s="287">
        <f t="shared" si="140"/>
        <v>0</v>
      </c>
      <c r="CN48" s="287">
        <f t="shared" si="140"/>
        <v>0</v>
      </c>
      <c r="CO48" s="287">
        <f t="shared" si="140"/>
        <v>0</v>
      </c>
      <c r="CP48" s="287">
        <f t="shared" si="140"/>
        <v>0</v>
      </c>
      <c r="CQ48" s="287">
        <f t="shared" si="140"/>
        <v>0</v>
      </c>
      <c r="CR48" s="287">
        <f t="shared" si="140"/>
        <v>0</v>
      </c>
      <c r="CS48" s="287">
        <f t="shared" si="140"/>
        <v>0</v>
      </c>
      <c r="CT48" s="287">
        <f t="shared" si="140"/>
        <v>14738681</v>
      </c>
      <c r="CU48" s="287">
        <f t="shared" si="140"/>
        <v>24804169</v>
      </c>
      <c r="CV48" s="287">
        <f t="shared" ref="CV48:EC48" si="141">+CV46+CV47</f>
        <v>677580</v>
      </c>
      <c r="CW48" s="287">
        <f t="shared" si="141"/>
        <v>2516636</v>
      </c>
      <c r="CX48" s="287">
        <f t="shared" ref="CX48:CY48" si="142">+CX46+CX47</f>
        <v>0</v>
      </c>
      <c r="CY48" s="287">
        <f t="shared" si="142"/>
        <v>0</v>
      </c>
      <c r="CZ48" s="287">
        <f t="shared" si="141"/>
        <v>5280000</v>
      </c>
      <c r="DA48" s="287">
        <f t="shared" si="141"/>
        <v>7327862</v>
      </c>
      <c r="DB48" s="287">
        <f t="shared" si="141"/>
        <v>46990000</v>
      </c>
      <c r="DC48" s="287">
        <f t="shared" si="141"/>
        <v>59168843</v>
      </c>
      <c r="DD48" s="287">
        <f t="shared" si="141"/>
        <v>0</v>
      </c>
      <c r="DE48" s="287">
        <f t="shared" si="141"/>
        <v>0</v>
      </c>
      <c r="DF48" s="287">
        <f t="shared" si="141"/>
        <v>7000000</v>
      </c>
      <c r="DG48" s="287">
        <f t="shared" si="141"/>
        <v>8693145</v>
      </c>
      <c r="DH48" s="287">
        <f t="shared" si="141"/>
        <v>0</v>
      </c>
      <c r="DI48" s="287">
        <f t="shared" si="141"/>
        <v>1090000</v>
      </c>
      <c r="DJ48" s="287">
        <f t="shared" si="141"/>
        <v>0</v>
      </c>
      <c r="DK48" s="287">
        <f t="shared" si="141"/>
        <v>0</v>
      </c>
      <c r="DL48" s="287">
        <f t="shared" si="141"/>
        <v>10000000</v>
      </c>
      <c r="DM48" s="287">
        <f t="shared" si="141"/>
        <v>29198179</v>
      </c>
      <c r="DN48" s="287">
        <f t="shared" si="141"/>
        <v>0</v>
      </c>
      <c r="DO48" s="287">
        <f t="shared" si="141"/>
        <v>0</v>
      </c>
      <c r="DP48" s="287">
        <f t="shared" si="141"/>
        <v>0</v>
      </c>
      <c r="DQ48" s="287">
        <f t="shared" si="141"/>
        <v>0</v>
      </c>
      <c r="DR48" s="287">
        <f t="shared" si="141"/>
        <v>0</v>
      </c>
      <c r="DS48" s="287">
        <f t="shared" si="141"/>
        <v>0</v>
      </c>
      <c r="DT48" s="287">
        <f t="shared" si="141"/>
        <v>0</v>
      </c>
      <c r="DU48" s="287">
        <f t="shared" si="141"/>
        <v>0</v>
      </c>
      <c r="DV48" s="287">
        <f t="shared" si="141"/>
        <v>0</v>
      </c>
      <c r="DW48" s="287">
        <f t="shared" si="141"/>
        <v>0</v>
      </c>
      <c r="DX48" s="287">
        <f t="shared" si="141"/>
        <v>0</v>
      </c>
      <c r="DY48" s="287">
        <f t="shared" si="141"/>
        <v>0</v>
      </c>
      <c r="DZ48" s="287">
        <f t="shared" si="141"/>
        <v>0</v>
      </c>
      <c r="EA48" s="287">
        <f t="shared" si="141"/>
        <v>2380000</v>
      </c>
      <c r="EB48" s="287">
        <f t="shared" si="141"/>
        <v>65000000</v>
      </c>
      <c r="EC48" s="287">
        <f t="shared" si="141"/>
        <v>65000000</v>
      </c>
      <c r="ED48" s="287">
        <f t="shared" ref="ED48:EE48" si="143">+ED46+ED47</f>
        <v>0</v>
      </c>
      <c r="EE48" s="287">
        <f t="shared" si="143"/>
        <v>3174760</v>
      </c>
      <c r="EF48" s="287">
        <f t="shared" ref="EF48:FM48" si="144">+EF46+EF47</f>
        <v>65000000</v>
      </c>
      <c r="EG48" s="287">
        <f t="shared" si="144"/>
        <v>0</v>
      </c>
      <c r="EH48" s="287">
        <f t="shared" si="144"/>
        <v>65000000</v>
      </c>
      <c r="EI48" s="287">
        <f t="shared" si="144"/>
        <v>65000000</v>
      </c>
      <c r="EJ48" s="287">
        <f t="shared" ref="EJ48:EK48" si="145">+EJ46+EJ47</f>
        <v>0</v>
      </c>
      <c r="EK48" s="287">
        <f t="shared" si="145"/>
        <v>43969369</v>
      </c>
      <c r="EL48" s="287">
        <f t="shared" si="144"/>
        <v>65000000</v>
      </c>
      <c r="EM48" s="287">
        <f t="shared" si="144"/>
        <v>0</v>
      </c>
      <c r="EN48" s="287">
        <f t="shared" si="144"/>
        <v>0</v>
      </c>
      <c r="EO48" s="287">
        <f t="shared" si="144"/>
        <v>0</v>
      </c>
      <c r="EP48" s="287">
        <f t="shared" si="144"/>
        <v>0</v>
      </c>
      <c r="EQ48" s="287">
        <f t="shared" si="144"/>
        <v>0</v>
      </c>
      <c r="ER48" s="287">
        <f t="shared" si="144"/>
        <v>0</v>
      </c>
      <c r="ES48" s="287">
        <f t="shared" si="144"/>
        <v>0</v>
      </c>
      <c r="ET48" s="287">
        <f t="shared" si="144"/>
        <v>0</v>
      </c>
      <c r="EU48" s="287">
        <f t="shared" si="144"/>
        <v>0</v>
      </c>
      <c r="EV48" s="287">
        <f t="shared" si="144"/>
        <v>0</v>
      </c>
      <c r="EW48" s="287">
        <f t="shared" si="144"/>
        <v>0</v>
      </c>
      <c r="EX48" s="287">
        <f t="shared" si="144"/>
        <v>0</v>
      </c>
      <c r="EY48" s="287">
        <f t="shared" si="144"/>
        <v>0</v>
      </c>
      <c r="EZ48" s="287">
        <f t="shared" si="144"/>
        <v>0</v>
      </c>
      <c r="FA48" s="287">
        <f t="shared" si="144"/>
        <v>0</v>
      </c>
      <c r="FB48" s="287">
        <f t="shared" si="144"/>
        <v>0</v>
      </c>
      <c r="FC48" s="287">
        <f t="shared" si="144"/>
        <v>0</v>
      </c>
      <c r="FD48" s="287">
        <f t="shared" si="144"/>
        <v>0</v>
      </c>
      <c r="FE48" s="287">
        <f t="shared" si="144"/>
        <v>0</v>
      </c>
      <c r="FF48" s="287">
        <f t="shared" si="144"/>
        <v>0</v>
      </c>
      <c r="FG48" s="287">
        <f t="shared" si="144"/>
        <v>0</v>
      </c>
      <c r="FH48" s="287">
        <f t="shared" si="144"/>
        <v>0</v>
      </c>
      <c r="FI48" s="287">
        <f t="shared" si="144"/>
        <v>0</v>
      </c>
      <c r="FJ48" s="287">
        <f t="shared" si="144"/>
        <v>0</v>
      </c>
      <c r="FK48" s="287">
        <f t="shared" si="144"/>
        <v>0</v>
      </c>
      <c r="FL48" s="287">
        <f t="shared" si="144"/>
        <v>0</v>
      </c>
      <c r="FM48" s="287">
        <f t="shared" si="144"/>
        <v>0</v>
      </c>
      <c r="FN48" s="287">
        <f t="shared" ref="FN48:GM48" si="146">+FN46+FN47</f>
        <v>0</v>
      </c>
      <c r="FO48" s="287">
        <f t="shared" si="146"/>
        <v>0</v>
      </c>
      <c r="FP48" s="287">
        <f t="shared" si="146"/>
        <v>0</v>
      </c>
      <c r="FQ48" s="287">
        <f t="shared" si="146"/>
        <v>0</v>
      </c>
      <c r="FR48" s="287">
        <f t="shared" si="146"/>
        <v>0</v>
      </c>
      <c r="FS48" s="287">
        <f t="shared" si="146"/>
        <v>0</v>
      </c>
      <c r="FT48" s="287">
        <f t="shared" si="146"/>
        <v>0</v>
      </c>
      <c r="FU48" s="287">
        <f t="shared" si="146"/>
        <v>0</v>
      </c>
      <c r="FV48" s="287">
        <f t="shared" si="146"/>
        <v>0</v>
      </c>
      <c r="FW48" s="287">
        <f t="shared" si="146"/>
        <v>0</v>
      </c>
      <c r="FX48" s="287">
        <f t="shared" si="146"/>
        <v>0</v>
      </c>
      <c r="FY48" s="287">
        <f t="shared" si="146"/>
        <v>0</v>
      </c>
      <c r="FZ48" s="287">
        <f t="shared" si="146"/>
        <v>0</v>
      </c>
      <c r="GA48" s="287">
        <f t="shared" si="146"/>
        <v>0</v>
      </c>
      <c r="GB48" s="287">
        <f t="shared" si="146"/>
        <v>0</v>
      </c>
      <c r="GC48" s="287">
        <f t="shared" si="146"/>
        <v>0</v>
      </c>
      <c r="GD48" s="287">
        <f t="shared" si="146"/>
        <v>0</v>
      </c>
      <c r="GE48" s="287">
        <f t="shared" si="146"/>
        <v>0</v>
      </c>
      <c r="GF48" s="287">
        <f t="shared" si="146"/>
        <v>0</v>
      </c>
      <c r="GG48" s="287">
        <f t="shared" si="146"/>
        <v>0</v>
      </c>
      <c r="GH48" s="287">
        <f t="shared" si="146"/>
        <v>0</v>
      </c>
      <c r="GI48" s="287">
        <f t="shared" si="146"/>
        <v>0</v>
      </c>
      <c r="GJ48" s="287">
        <f t="shared" si="146"/>
        <v>0</v>
      </c>
      <c r="GK48" s="287">
        <f t="shared" si="146"/>
        <v>0</v>
      </c>
      <c r="GL48" s="287">
        <f t="shared" si="146"/>
        <v>0</v>
      </c>
      <c r="GM48" s="287">
        <f t="shared" si="146"/>
        <v>0</v>
      </c>
      <c r="GN48" s="287">
        <f t="shared" ref="GN48:GZ48" si="147">+GN46+GN47</f>
        <v>0</v>
      </c>
      <c r="GO48" s="287">
        <f>+GO46+GO47</f>
        <v>54720000</v>
      </c>
      <c r="GP48" s="287">
        <f t="shared" si="147"/>
        <v>0</v>
      </c>
      <c r="GQ48" s="287">
        <f>+GQ46+GQ47</f>
        <v>0</v>
      </c>
      <c r="GR48" s="287">
        <f t="shared" si="147"/>
        <v>0</v>
      </c>
      <c r="GS48" s="287">
        <f>+GS46+GS47</f>
        <v>0</v>
      </c>
      <c r="GT48" s="287">
        <f t="shared" si="147"/>
        <v>0</v>
      </c>
      <c r="GU48" s="287">
        <f>+GU46+GU47</f>
        <v>0</v>
      </c>
      <c r="GV48" s="287">
        <f t="shared" si="147"/>
        <v>0</v>
      </c>
      <c r="GW48" s="287">
        <f>+GW46+GW47</f>
        <v>0</v>
      </c>
      <c r="GX48" s="287">
        <f t="shared" si="147"/>
        <v>0</v>
      </c>
      <c r="GY48" s="287">
        <f>+GY46+GY47</f>
        <v>0</v>
      </c>
      <c r="GZ48" s="287">
        <f t="shared" si="147"/>
        <v>0</v>
      </c>
      <c r="HA48" s="287">
        <f t="shared" ref="HA48:HG48" si="148">+HA46+HA47</f>
        <v>0</v>
      </c>
      <c r="HB48" s="287">
        <f t="shared" si="148"/>
        <v>0</v>
      </c>
      <c r="HC48" s="287">
        <f t="shared" si="148"/>
        <v>0</v>
      </c>
      <c r="HD48" s="287">
        <f t="shared" si="148"/>
        <v>0</v>
      </c>
      <c r="HE48" s="287">
        <f t="shared" si="148"/>
        <v>0</v>
      </c>
      <c r="HF48" s="287">
        <f t="shared" si="148"/>
        <v>0</v>
      </c>
      <c r="HG48" s="287">
        <f t="shared" si="148"/>
        <v>0</v>
      </c>
      <c r="HH48" s="287">
        <f t="shared" ref="HH48:HV48" si="149">+HH46+HH47</f>
        <v>0</v>
      </c>
      <c r="HI48" s="287">
        <f>+HI46+HI47</f>
        <v>0</v>
      </c>
      <c r="HJ48" s="287">
        <f t="shared" si="149"/>
        <v>0</v>
      </c>
      <c r="HK48" s="287">
        <f>+HK46+HK47</f>
        <v>0</v>
      </c>
      <c r="HL48" s="287">
        <f t="shared" si="149"/>
        <v>0</v>
      </c>
      <c r="HM48" s="287">
        <f>+HM46+HM47</f>
        <v>0</v>
      </c>
      <c r="HN48" s="287">
        <f t="shared" si="149"/>
        <v>0</v>
      </c>
      <c r="HO48" s="287">
        <f>+HO46+HO47</f>
        <v>0</v>
      </c>
      <c r="HP48" s="287">
        <f t="shared" si="149"/>
        <v>0</v>
      </c>
      <c r="HQ48" s="287">
        <f>+HQ46+HQ47</f>
        <v>0</v>
      </c>
      <c r="HR48" s="287">
        <f t="shared" si="149"/>
        <v>0</v>
      </c>
      <c r="HS48" s="287">
        <f>+HS46+HS47</f>
        <v>0</v>
      </c>
      <c r="HT48" s="287">
        <f t="shared" si="149"/>
        <v>0</v>
      </c>
      <c r="HU48" s="287">
        <f>+HU46+HU47</f>
        <v>0</v>
      </c>
      <c r="HV48" s="287">
        <f t="shared" si="149"/>
        <v>0</v>
      </c>
      <c r="HW48" s="287">
        <f>+HW46+HW47</f>
        <v>0</v>
      </c>
      <c r="HX48" s="287">
        <f t="shared" ref="HX48:HY48" si="150">+HX46+HX47</f>
        <v>0</v>
      </c>
      <c r="HY48" s="287">
        <f t="shared" si="150"/>
        <v>314960630</v>
      </c>
      <c r="HZ48" s="287">
        <f t="shared" ref="HZ48:IA48" si="151">+HZ46+HZ47</f>
        <v>0</v>
      </c>
      <c r="IA48" s="287">
        <f t="shared" si="151"/>
        <v>0</v>
      </c>
      <c r="IB48" s="287">
        <f>+IB46+IB47</f>
        <v>0</v>
      </c>
      <c r="IC48" s="287">
        <f>+IC46+IC47</f>
        <v>0</v>
      </c>
      <c r="ID48" s="957">
        <f t="shared" si="9"/>
        <v>3834489004</v>
      </c>
      <c r="IE48" s="957">
        <f t="shared" si="1"/>
        <v>4452157286</v>
      </c>
      <c r="IF48" s="258">
        <f t="shared" si="2"/>
        <v>70728677</v>
      </c>
      <c r="IG48" s="258">
        <f t="shared" si="3"/>
        <v>359909709</v>
      </c>
    </row>
    <row r="49" spans="1:241" s="416" customFormat="1" ht="21.75" customHeight="1" x14ac:dyDescent="0.3">
      <c r="A49" s="413" t="s">
        <v>284</v>
      </c>
      <c r="B49" s="414" t="s">
        <v>437</v>
      </c>
      <c r="C49" s="415"/>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8"/>
      <c r="AH49" s="288"/>
      <c r="AI49" s="288"/>
      <c r="AJ49" s="288">
        <v>1</v>
      </c>
      <c r="AK49" s="288">
        <f>+AJ49</f>
        <v>1</v>
      </c>
      <c r="AL49" s="288">
        <v>2</v>
      </c>
      <c r="AM49" s="288">
        <f>+AL49</f>
        <v>2</v>
      </c>
      <c r="AN49" s="288"/>
      <c r="AO49" s="288"/>
      <c r="AP49" s="288"/>
      <c r="AQ49" s="288"/>
      <c r="AR49" s="288"/>
      <c r="AS49" s="288"/>
      <c r="AT49" s="288"/>
      <c r="AU49" s="288"/>
      <c r="AV49" s="288"/>
      <c r="AW49" s="288"/>
      <c r="AX49" s="288"/>
      <c r="AY49" s="288"/>
      <c r="AZ49" s="288"/>
      <c r="BA49" s="288"/>
      <c r="BB49" s="288"/>
      <c r="BC49" s="288"/>
      <c r="BD49" s="288"/>
      <c r="BE49" s="288"/>
      <c r="BF49" s="288"/>
      <c r="BG49" s="288"/>
      <c r="BH49" s="288"/>
      <c r="BI49" s="288"/>
      <c r="BJ49" s="288"/>
      <c r="BK49" s="288"/>
      <c r="BL49" s="288"/>
      <c r="BM49" s="288"/>
      <c r="BN49" s="288"/>
      <c r="BO49" s="288"/>
      <c r="BP49" s="288"/>
      <c r="BQ49" s="288"/>
      <c r="BR49" s="288"/>
      <c r="BS49" s="288"/>
      <c r="BT49" s="288">
        <v>1</v>
      </c>
      <c r="BU49" s="288">
        <v>0</v>
      </c>
      <c r="BV49" s="288"/>
      <c r="BW49" s="288"/>
      <c r="BX49" s="288"/>
      <c r="BY49" s="288"/>
      <c r="BZ49" s="288">
        <v>2</v>
      </c>
      <c r="CA49" s="288">
        <f>+BZ49</f>
        <v>2</v>
      </c>
      <c r="CB49" s="288"/>
      <c r="CC49" s="288"/>
      <c r="CD49" s="288"/>
      <c r="CE49" s="288"/>
      <c r="CF49" s="288"/>
      <c r="CG49" s="288"/>
      <c r="CH49" s="288"/>
      <c r="CI49" s="288"/>
      <c r="CJ49" s="288"/>
      <c r="CK49" s="288"/>
      <c r="CL49" s="288"/>
      <c r="CM49" s="288"/>
      <c r="CN49" s="288">
        <v>2</v>
      </c>
      <c r="CO49" s="288">
        <f>+CN49</f>
        <v>2</v>
      </c>
      <c r="CP49" s="288">
        <v>3</v>
      </c>
      <c r="CQ49" s="288">
        <f>+CP49</f>
        <v>3</v>
      </c>
      <c r="CR49" s="288"/>
      <c r="CS49" s="288"/>
      <c r="CT49" s="288"/>
      <c r="CU49" s="288"/>
      <c r="CV49" s="288"/>
      <c r="CW49" s="288"/>
      <c r="CX49" s="288"/>
      <c r="CY49" s="288"/>
      <c r="CZ49" s="288">
        <v>2</v>
      </c>
      <c r="DA49" s="288">
        <f>+CZ49</f>
        <v>2</v>
      </c>
      <c r="DB49" s="288">
        <v>5</v>
      </c>
      <c r="DC49" s="288">
        <f>+DB49</f>
        <v>5</v>
      </c>
      <c r="DD49" s="288"/>
      <c r="DE49" s="288"/>
      <c r="DF49" s="288"/>
      <c r="DG49" s="288"/>
      <c r="DH49" s="288"/>
      <c r="DI49" s="288"/>
      <c r="DJ49" s="288"/>
      <c r="DK49" s="288"/>
      <c r="DL49" s="288">
        <v>7</v>
      </c>
      <c r="DM49" s="288">
        <f>+DL49</f>
        <v>7</v>
      </c>
      <c r="DN49" s="288"/>
      <c r="DO49" s="288"/>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c r="FZ49" s="288"/>
      <c r="GA49" s="288"/>
      <c r="GB49" s="288"/>
      <c r="GC49" s="288"/>
      <c r="GD49" s="288"/>
      <c r="GE49" s="288"/>
      <c r="GF49" s="288"/>
      <c r="GG49" s="288"/>
      <c r="GH49" s="288"/>
      <c r="GI49" s="288"/>
      <c r="GJ49" s="288"/>
      <c r="GK49" s="288"/>
      <c r="GL49" s="288"/>
      <c r="GM49" s="288"/>
      <c r="GN49" s="288"/>
      <c r="GO49" s="288"/>
      <c r="GP49" s="288"/>
      <c r="GQ49" s="288"/>
      <c r="GR49" s="288"/>
      <c r="GS49" s="288"/>
      <c r="GT49" s="288"/>
      <c r="GU49" s="288"/>
      <c r="GV49" s="288"/>
      <c r="GW49" s="288"/>
      <c r="GX49" s="288"/>
      <c r="GY49" s="288"/>
      <c r="GZ49" s="288"/>
      <c r="HA49" s="288"/>
      <c r="HB49" s="288"/>
      <c r="HC49" s="288"/>
      <c r="HD49" s="288"/>
      <c r="HE49" s="288"/>
      <c r="HF49" s="288"/>
      <c r="HG49" s="288"/>
      <c r="HH49" s="288"/>
      <c r="HI49" s="288"/>
      <c r="HJ49" s="288"/>
      <c r="HK49" s="288"/>
      <c r="HL49" s="288"/>
      <c r="HM49" s="288"/>
      <c r="HN49" s="288"/>
      <c r="HO49" s="288"/>
      <c r="HP49" s="288"/>
      <c r="HQ49" s="288"/>
      <c r="HR49" s="288"/>
      <c r="HS49" s="288"/>
      <c r="HT49" s="288"/>
      <c r="HU49" s="288"/>
      <c r="HV49" s="288"/>
      <c r="HW49" s="288"/>
      <c r="HX49" s="288"/>
      <c r="HY49" s="288"/>
      <c r="HZ49" s="288"/>
      <c r="IA49" s="288"/>
      <c r="IB49" s="288"/>
      <c r="IC49" s="288"/>
      <c r="ID49" s="957">
        <f t="shared" si="9"/>
        <v>17</v>
      </c>
      <c r="IE49" s="957">
        <f t="shared" si="1"/>
        <v>17</v>
      </c>
      <c r="IF49" s="258">
        <f t="shared" si="2"/>
        <v>8</v>
      </c>
      <c r="IG49" s="258">
        <f t="shared" si="3"/>
        <v>7</v>
      </c>
    </row>
    <row r="50" spans="1:241" s="260" customFormat="1" ht="21.75" customHeight="1" x14ac:dyDescent="0.3">
      <c r="A50" s="253" t="s">
        <v>285</v>
      </c>
      <c r="B50" s="269" t="s">
        <v>1346</v>
      </c>
      <c r="C50" s="255"/>
      <c r="D50" s="288">
        <v>250000000</v>
      </c>
      <c r="E50" s="288">
        <v>148336000</v>
      </c>
      <c r="F50" s="288"/>
      <c r="G50" s="288"/>
      <c r="H50" s="288"/>
      <c r="I50" s="288"/>
      <c r="J50" s="288"/>
      <c r="K50" s="288"/>
      <c r="L50" s="288"/>
      <c r="M50" s="288"/>
      <c r="N50" s="288"/>
      <c r="O50" s="288"/>
      <c r="P50" s="288"/>
      <c r="Q50" s="288"/>
      <c r="R50" s="288">
        <v>20000000</v>
      </c>
      <c r="S50" s="288">
        <f>+R50-749300</f>
        <v>19250700</v>
      </c>
      <c r="T50" s="288"/>
      <c r="U50" s="288"/>
      <c r="V50" s="288"/>
      <c r="W50" s="288"/>
      <c r="X50" s="288"/>
      <c r="Y50" s="288"/>
      <c r="Z50" s="288"/>
      <c r="AA50" s="288"/>
      <c r="AB50" s="288"/>
      <c r="AC50" s="288"/>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c r="BA50" s="288"/>
      <c r="BB50" s="288"/>
      <c r="BC50" s="288"/>
      <c r="BD50" s="288"/>
      <c r="BE50" s="288"/>
      <c r="BF50" s="288"/>
      <c r="BG50" s="288"/>
      <c r="BH50" s="288"/>
      <c r="BI50" s="288"/>
      <c r="BJ50" s="288"/>
      <c r="BK50" s="288"/>
      <c r="BL50" s="288"/>
      <c r="BM50" s="288"/>
      <c r="BN50" s="288"/>
      <c r="BO50" s="288"/>
      <c r="BP50" s="288"/>
      <c r="BQ50" s="288"/>
      <c r="BR50" s="288"/>
      <c r="BS50" s="288"/>
      <c r="BT50" s="288"/>
      <c r="BU50" s="288"/>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74"/>
      <c r="DM50" s="274"/>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v>510000000</v>
      </c>
      <c r="GO50" s="288">
        <f>+GN50</f>
        <v>510000000</v>
      </c>
      <c r="GP50" s="288"/>
      <c r="GQ50" s="288"/>
      <c r="GR50" s="288"/>
      <c r="GS50" s="288"/>
      <c r="GT50" s="288"/>
      <c r="GU50" s="288"/>
      <c r="GV50" s="288"/>
      <c r="GW50" s="288"/>
      <c r="GX50" s="288"/>
      <c r="GY50" s="288"/>
      <c r="GZ50" s="288"/>
      <c r="HA50" s="288"/>
      <c r="HB50" s="288"/>
      <c r="HC50" s="288"/>
      <c r="HD50" s="288"/>
      <c r="HE50" s="288"/>
      <c r="HF50" s="288"/>
      <c r="HG50" s="288"/>
      <c r="HH50" s="288"/>
      <c r="HI50" s="288"/>
      <c r="HJ50" s="288"/>
      <c r="HK50" s="288"/>
      <c r="HL50" s="288"/>
      <c r="HM50" s="288"/>
      <c r="HN50" s="288"/>
      <c r="HO50" s="288"/>
      <c r="HP50" s="288"/>
      <c r="HQ50" s="288"/>
      <c r="HR50" s="288"/>
      <c r="HS50" s="288"/>
      <c r="HT50" s="288"/>
      <c r="HU50" s="288"/>
      <c r="HV50" s="288"/>
      <c r="HW50" s="288"/>
      <c r="HX50" s="288"/>
      <c r="HY50" s="288"/>
      <c r="HZ50" s="288"/>
      <c r="IA50" s="288"/>
      <c r="IB50" s="288">
        <f>+'6.sz. Beruházások'!X25</f>
        <v>50000000</v>
      </c>
      <c r="IC50" s="288">
        <f>+IB50</f>
        <v>50000000</v>
      </c>
      <c r="ID50" s="957">
        <f>+D50+F50+H50+L50+N50+P50+R50+T50+V50+AB50+AD50+AF50+AH50+AJ50+AL50+AN50+AP50+AR50+AZ50+BB50+BD50+BF50+BH50+BJ50+BL50+BN50+BP50+BV50+BX50+BZ50+CB50+CF50+CN50+CP50+CR50+CT50+CV50+CZ50+DB50+DD50+DP50+DT50+DZ50+EB50+EF50+EH50+EL50+EV50+EX50+EZ50+FL50+FN50+FP50+FT50+FV50+FZ50+GB50+GD50+GF50+GJ50+GL50+GN50+GP50+HD50+HF50+HH50+HJ50+HL50+HN50+HP50+HR50+IB50</f>
        <v>830000000</v>
      </c>
      <c r="IE50" s="957">
        <f>+E50+G50+I50+M50+O50+Q50+S50+U50+W50+AC50+AE50+AG50+AI50+AK50+AM50+AO50+AQ50+AS50+BA50+BC50+BE50+BG50+BI50+BK50+BM50+BO50+BQ50+BW50+BY50+CA50+CC50+CG50+CO50+CQ50+CS50+CU50+CW50+DA50+DC50+DE50+DQ50+DU50+EA50+EC50+EG50+EI50+EM50+EW50+EY50+FA50+FM50+FO50+FQ50+FU50+FW50+GA50+GC50+GE50+GG50+GK50+GM50+GO50+GQ50+HE50+HG50+HI50+HK50+HM50+HO50+HQ50+HS50+IC50+EE50+EK50+CY50</f>
        <v>727586700</v>
      </c>
      <c r="IF50" s="258">
        <f t="shared" si="2"/>
        <v>0</v>
      </c>
      <c r="IG50" s="258">
        <f t="shared" si="3"/>
        <v>0</v>
      </c>
    </row>
    <row r="51" spans="1:241" x14ac:dyDescent="0.25">
      <c r="A51" s="248"/>
      <c r="D51" s="258">
        <f>SUM(D50:D50)</f>
        <v>250000000</v>
      </c>
      <c r="E51" s="258"/>
      <c r="F51" s="258">
        <f>SUM(F50:F50)</f>
        <v>0</v>
      </c>
      <c r="G51" s="258"/>
      <c r="H51" s="258"/>
      <c r="I51" s="258"/>
      <c r="J51" s="258"/>
      <c r="K51" s="258"/>
      <c r="L51" s="258"/>
      <c r="M51" s="258"/>
      <c r="N51" s="258"/>
      <c r="O51" s="258"/>
      <c r="P51" s="258">
        <f>SUM(P50:P50)</f>
        <v>0</v>
      </c>
      <c r="Q51" s="258"/>
      <c r="R51" s="258">
        <f>SUM(R50:R50)</f>
        <v>20000000</v>
      </c>
      <c r="S51" s="258"/>
      <c r="T51" s="258">
        <f>SUM(T50:T50)</f>
        <v>0</v>
      </c>
      <c r="U51" s="258"/>
      <c r="V51" s="258"/>
      <c r="W51" s="258"/>
      <c r="X51" s="258"/>
      <c r="Y51" s="258"/>
      <c r="Z51" s="258"/>
      <c r="AA51" s="258"/>
      <c r="AB51" s="258"/>
      <c r="AC51" s="258"/>
      <c r="AD51" s="258"/>
      <c r="AE51" s="258"/>
      <c r="AF51" s="258"/>
      <c r="AG51" s="258"/>
      <c r="AH51" s="289"/>
      <c r="AI51" s="289"/>
      <c r="AJ51" s="258"/>
      <c r="AK51" s="258"/>
      <c r="AL51" s="258"/>
      <c r="AM51" s="258"/>
      <c r="AN51" s="258"/>
      <c r="AO51" s="258"/>
      <c r="AP51" s="258"/>
      <c r="AQ51" s="258"/>
      <c r="AR51" s="258"/>
      <c r="AS51" s="258"/>
      <c r="AT51" s="258"/>
      <c r="AU51" s="258"/>
      <c r="AV51" s="258"/>
      <c r="AW51" s="258"/>
      <c r="AX51" s="258"/>
      <c r="AY51" s="258"/>
      <c r="AZ51" s="258"/>
      <c r="BA51" s="258"/>
      <c r="BB51" s="258"/>
      <c r="BC51" s="258"/>
      <c r="BD51" s="258"/>
      <c r="BE51" s="258"/>
      <c r="BF51" s="258"/>
      <c r="BG51" s="258"/>
      <c r="BH51" s="258"/>
      <c r="BI51" s="258"/>
      <c r="BJ51" s="258"/>
      <c r="BK51" s="258"/>
      <c r="BL51" s="258"/>
      <c r="BM51" s="258"/>
      <c r="BN51" s="258"/>
      <c r="BO51" s="258"/>
      <c r="BP51" s="258"/>
      <c r="BQ51" s="258"/>
      <c r="BR51" s="258"/>
      <c r="BS51" s="258"/>
      <c r="BT51" s="258"/>
      <c r="BU51" s="258"/>
      <c r="BV51" s="258"/>
      <c r="BW51" s="258"/>
      <c r="BX51" s="258"/>
      <c r="BY51" s="258"/>
      <c r="BZ51" s="258"/>
      <c r="CA51" s="258"/>
      <c r="CB51" s="258"/>
      <c r="CC51" s="258"/>
      <c r="CD51" s="258"/>
      <c r="CE51" s="258"/>
      <c r="CF51" s="258"/>
      <c r="CG51" s="258"/>
      <c r="CH51" s="258"/>
      <c r="CI51" s="258"/>
      <c r="CJ51" s="258"/>
      <c r="CK51" s="258"/>
      <c r="CL51" s="258"/>
      <c r="CM51" s="258"/>
      <c r="CN51" s="258"/>
      <c r="CO51" s="258"/>
      <c r="CP51" s="258"/>
      <c r="CQ51" s="258"/>
      <c r="CR51" s="258"/>
      <c r="CS51" s="258"/>
      <c r="CT51" s="258"/>
      <c r="CU51" s="258"/>
      <c r="CV51" s="258"/>
      <c r="CW51" s="258"/>
      <c r="CX51" s="258"/>
      <c r="CY51" s="258"/>
      <c r="CZ51" s="258"/>
      <c r="DA51" s="258"/>
      <c r="DB51" s="258"/>
      <c r="DC51" s="258"/>
      <c r="DD51" s="258"/>
      <c r="DE51" s="258"/>
      <c r="DF51" s="258"/>
      <c r="DG51" s="258"/>
      <c r="DH51" s="258"/>
      <c r="DI51" s="258"/>
      <c r="DJ51" s="258"/>
      <c r="DK51" s="258"/>
      <c r="DL51" s="258"/>
      <c r="DM51" s="258"/>
      <c r="DN51" s="258"/>
      <c r="DO51" s="258"/>
      <c r="DP51" s="258"/>
      <c r="DQ51" s="258"/>
      <c r="DR51" s="258"/>
      <c r="DS51" s="258"/>
      <c r="DT51" s="258"/>
      <c r="DU51" s="258"/>
      <c r="DV51" s="258"/>
      <c r="DW51" s="258"/>
      <c r="DX51" s="258"/>
      <c r="DY51" s="258"/>
      <c r="DZ51" s="289"/>
      <c r="EA51" s="289"/>
      <c r="EB51" s="258"/>
      <c r="EC51" s="258"/>
      <c r="ED51" s="258"/>
      <c r="EE51" s="258"/>
      <c r="EF51" s="258"/>
      <c r="EG51" s="258"/>
      <c r="EH51" s="258"/>
      <c r="EI51" s="258"/>
      <c r="EJ51" s="258"/>
      <c r="EK51" s="258"/>
      <c r="EL51" s="258"/>
      <c r="EM51" s="258"/>
      <c r="EN51" s="258"/>
      <c r="EO51" s="258"/>
      <c r="EP51" s="258"/>
      <c r="EQ51" s="258"/>
      <c r="ER51" s="289"/>
      <c r="ES51" s="289"/>
      <c r="ET51" s="258"/>
      <c r="EU51" s="258"/>
      <c r="EV51" s="258"/>
      <c r="EW51" s="258"/>
      <c r="EX51" s="258"/>
      <c r="EY51" s="258"/>
      <c r="EZ51" s="258"/>
      <c r="FA51" s="258"/>
      <c r="FB51" s="258"/>
      <c r="FC51" s="258"/>
      <c r="FD51" s="258"/>
      <c r="FE51" s="258"/>
      <c r="FF51" s="258"/>
      <c r="FG51" s="258"/>
      <c r="FH51" s="258"/>
      <c r="FI51" s="258"/>
      <c r="FJ51" s="258"/>
      <c r="FK51" s="258"/>
      <c r="FL51" s="258"/>
      <c r="FM51" s="258"/>
      <c r="FN51" s="258"/>
      <c r="FO51" s="258"/>
      <c r="FP51" s="404"/>
      <c r="FQ51" s="404"/>
      <c r="FR51" s="258"/>
      <c r="FS51" s="258"/>
      <c r="FT51" s="258"/>
      <c r="FU51" s="258"/>
      <c r="FV51" s="258"/>
      <c r="FW51" s="258"/>
      <c r="FX51" s="258"/>
      <c r="FY51" s="258"/>
      <c r="FZ51" s="258"/>
      <c r="GA51" s="258"/>
      <c r="GB51" s="258"/>
      <c r="GC51" s="258"/>
      <c r="GD51" s="258"/>
      <c r="GE51" s="258"/>
      <c r="GF51" s="258"/>
      <c r="GG51" s="258"/>
      <c r="GH51" s="258"/>
      <c r="GI51" s="258"/>
      <c r="GJ51" s="258"/>
      <c r="GK51" s="258"/>
      <c r="GL51" s="258"/>
      <c r="GM51" s="258"/>
      <c r="GN51" s="289"/>
      <c r="GO51" s="289"/>
      <c r="GP51" s="289"/>
      <c r="GQ51" s="289"/>
      <c r="GR51" s="289"/>
      <c r="GS51" s="289"/>
      <c r="GT51" s="289"/>
      <c r="GU51" s="289"/>
      <c r="GV51" s="289"/>
      <c r="GW51" s="289"/>
      <c r="GX51" s="289"/>
      <c r="GY51" s="289"/>
      <c r="GZ51" s="289"/>
      <c r="HA51" s="289"/>
      <c r="HB51" s="258"/>
      <c r="HC51" s="258"/>
      <c r="HD51" s="258"/>
      <c r="HE51" s="258"/>
      <c r="HF51" s="258"/>
      <c r="HG51" s="258"/>
      <c r="HH51" s="258"/>
      <c r="HI51" s="258"/>
      <c r="HJ51" s="258"/>
      <c r="HK51" s="258"/>
      <c r="HL51" s="258"/>
      <c r="HM51" s="258"/>
      <c r="HN51" s="258"/>
      <c r="HO51" s="258"/>
      <c r="HP51" s="258"/>
      <c r="HQ51" s="258"/>
      <c r="HR51" s="258"/>
      <c r="HS51" s="258"/>
      <c r="HT51" s="258"/>
      <c r="HU51" s="258"/>
      <c r="HV51" s="258"/>
      <c r="HW51" s="258"/>
      <c r="HX51" s="258"/>
      <c r="HY51" s="258"/>
      <c r="HZ51" s="258"/>
      <c r="IA51" s="258"/>
      <c r="IB51" s="258"/>
      <c r="IC51" s="258"/>
    </row>
    <row r="52" spans="1:241" x14ac:dyDescent="0.25">
      <c r="A52" s="248"/>
      <c r="D52" s="258">
        <f>+D30+D32+D33+D35+D38</f>
        <v>0</v>
      </c>
      <c r="E52" s="258"/>
      <c r="F52" s="258">
        <f>+F30+F32+F33+F35+F38</f>
        <v>0</v>
      </c>
      <c r="G52" s="258"/>
      <c r="H52" s="258"/>
      <c r="I52" s="258"/>
      <c r="J52" s="258"/>
      <c r="K52" s="258"/>
      <c r="L52" s="258"/>
      <c r="M52" s="258"/>
      <c r="N52" s="258"/>
      <c r="O52" s="258"/>
      <c r="P52" s="258">
        <f>+P30+P32+P33+P35+P38</f>
        <v>0</v>
      </c>
      <c r="Q52" s="258"/>
      <c r="R52" s="258">
        <f>+R30+R32+R33+R35+R38</f>
        <v>0</v>
      </c>
      <c r="S52" s="258"/>
      <c r="T52" s="258">
        <f>+T30+T32+T33+T35+T38</f>
        <v>0</v>
      </c>
      <c r="U52" s="258"/>
      <c r="V52" s="258"/>
      <c r="W52" s="258"/>
      <c r="X52" s="258"/>
      <c r="Y52" s="258"/>
      <c r="Z52" s="258"/>
      <c r="AA52" s="258"/>
      <c r="AB52" s="258"/>
      <c r="AC52" s="258"/>
      <c r="AD52" s="258"/>
      <c r="AE52" s="258"/>
      <c r="AF52" s="258"/>
      <c r="AG52" s="258"/>
      <c r="AH52" s="289"/>
      <c r="AI52" s="289"/>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258"/>
      <c r="BN52" s="258"/>
      <c r="BO52" s="258"/>
      <c r="BP52" s="258"/>
      <c r="BQ52" s="258"/>
      <c r="BR52" s="258"/>
      <c r="BS52" s="258"/>
      <c r="BT52" s="258"/>
      <c r="BU52" s="258"/>
      <c r="BV52" s="258"/>
      <c r="BW52" s="258"/>
      <c r="BX52" s="258"/>
      <c r="BY52" s="258"/>
      <c r="BZ52" s="258"/>
      <c r="CA52" s="258"/>
      <c r="CB52" s="258"/>
      <c r="CC52" s="258"/>
      <c r="CD52" s="258"/>
      <c r="CE52" s="258"/>
      <c r="CF52" s="258"/>
      <c r="CG52" s="258"/>
      <c r="CH52" s="258"/>
      <c r="CI52" s="258"/>
      <c r="CJ52" s="258"/>
      <c r="CK52" s="258"/>
      <c r="CL52" s="258"/>
      <c r="CM52" s="258"/>
      <c r="CN52" s="258"/>
      <c r="CO52" s="258"/>
      <c r="CP52" s="258"/>
      <c r="CQ52" s="258"/>
      <c r="CR52" s="258"/>
      <c r="CS52" s="258"/>
      <c r="CT52" s="258"/>
      <c r="CU52" s="258"/>
      <c r="CV52" s="258"/>
      <c r="CW52" s="258"/>
      <c r="CX52" s="258"/>
      <c r="CY52" s="258"/>
      <c r="CZ52" s="258"/>
      <c r="DA52" s="258"/>
      <c r="DB52" s="258"/>
      <c r="DC52" s="258"/>
      <c r="DD52" s="258"/>
      <c r="DE52" s="258"/>
      <c r="DF52" s="258"/>
      <c r="DG52" s="258"/>
      <c r="DH52" s="258"/>
      <c r="DI52" s="258"/>
      <c r="DJ52" s="258"/>
      <c r="DK52" s="258"/>
      <c r="DL52" s="258"/>
      <c r="DM52" s="258"/>
      <c r="DN52" s="258"/>
      <c r="DO52" s="258"/>
      <c r="DP52" s="258"/>
      <c r="DQ52" s="258"/>
      <c r="DR52" s="258"/>
      <c r="DS52" s="258"/>
      <c r="DT52" s="258"/>
      <c r="DU52" s="258"/>
      <c r="DV52" s="258"/>
      <c r="DW52" s="258"/>
      <c r="DX52" s="258"/>
      <c r="DY52" s="258"/>
      <c r="DZ52" s="289"/>
      <c r="EA52" s="289"/>
      <c r="EB52" s="258"/>
      <c r="EC52" s="258"/>
      <c r="ED52" s="258"/>
      <c r="EE52" s="258"/>
      <c r="EF52" s="258"/>
      <c r="EG52" s="258"/>
      <c r="EH52" s="258"/>
      <c r="EI52" s="258"/>
      <c r="EJ52" s="258"/>
      <c r="EK52" s="258"/>
      <c r="EL52" s="258"/>
      <c r="EM52" s="258"/>
      <c r="EN52" s="258"/>
      <c r="EO52" s="258"/>
      <c r="EP52" s="258"/>
      <c r="EQ52" s="258"/>
      <c r="ER52" s="289"/>
      <c r="ES52" s="289"/>
      <c r="ET52" s="258"/>
      <c r="EU52" s="258"/>
      <c r="EV52" s="258"/>
      <c r="EW52" s="258"/>
      <c r="EX52" s="258"/>
      <c r="EY52" s="258"/>
      <c r="EZ52" s="258"/>
      <c r="FA52" s="258"/>
      <c r="FB52" s="258"/>
      <c r="FC52" s="258"/>
      <c r="FD52" s="258"/>
      <c r="FE52" s="258"/>
      <c r="FF52" s="258"/>
      <c r="FG52" s="258"/>
      <c r="FH52" s="258"/>
      <c r="FI52" s="258"/>
      <c r="FJ52" s="258"/>
      <c r="FK52" s="258"/>
      <c r="FL52" s="258"/>
      <c r="FM52" s="258"/>
      <c r="FN52" s="258"/>
      <c r="FO52" s="258"/>
      <c r="FP52" s="258"/>
      <c r="FQ52" s="258"/>
      <c r="FR52" s="258"/>
      <c r="FS52" s="258"/>
      <c r="FT52" s="258"/>
      <c r="FU52" s="258"/>
      <c r="FV52" s="258"/>
      <c r="FW52" s="258"/>
      <c r="FX52" s="258"/>
      <c r="FY52" s="258"/>
      <c r="FZ52" s="258"/>
      <c r="GA52" s="258"/>
      <c r="GB52" s="258"/>
      <c r="GC52" s="258"/>
      <c r="GD52" s="258"/>
      <c r="GE52" s="258"/>
      <c r="GF52" s="258"/>
      <c r="GG52" s="258"/>
      <c r="GH52" s="258"/>
      <c r="GI52" s="258"/>
      <c r="GJ52" s="258"/>
      <c r="GK52" s="258"/>
      <c r="GL52" s="258"/>
      <c r="GM52" s="258"/>
      <c r="GN52" s="289"/>
      <c r="GO52" s="289"/>
      <c r="GP52" s="289"/>
      <c r="GQ52" s="289"/>
      <c r="GR52" s="289"/>
      <c r="GS52" s="289"/>
      <c r="GT52" s="289"/>
      <c r="GU52" s="289"/>
      <c r="GV52" s="289"/>
      <c r="GW52" s="289"/>
      <c r="GX52" s="289"/>
      <c r="GY52" s="289"/>
      <c r="GZ52" s="289"/>
      <c r="HA52" s="289"/>
      <c r="HB52" s="258"/>
      <c r="HC52" s="258"/>
      <c r="HD52" s="258"/>
      <c r="HE52" s="258"/>
      <c r="HF52" s="258"/>
      <c r="HG52" s="258"/>
      <c r="HH52" s="258"/>
      <c r="HI52" s="258"/>
      <c r="HJ52" s="258"/>
      <c r="HK52" s="258"/>
      <c r="HL52" s="258"/>
      <c r="HM52" s="258"/>
      <c r="HN52" s="258"/>
      <c r="HO52" s="258"/>
      <c r="HP52" s="258"/>
      <c r="HQ52" s="258"/>
      <c r="HR52" s="258"/>
      <c r="HS52" s="258"/>
      <c r="HT52" s="258"/>
      <c r="HU52" s="258"/>
      <c r="HV52" s="258"/>
      <c r="HW52" s="258"/>
      <c r="HX52" s="258"/>
      <c r="HY52" s="258"/>
      <c r="HZ52" s="258"/>
      <c r="IA52" s="258"/>
      <c r="IB52" s="258"/>
      <c r="IC52" s="258"/>
    </row>
    <row r="53" spans="1:241" x14ac:dyDescent="0.25">
      <c r="A53" s="248"/>
      <c r="D53" s="258">
        <f>+D46</f>
        <v>0</v>
      </c>
      <c r="E53" s="258"/>
      <c r="F53" s="258">
        <f>+F46</f>
        <v>0</v>
      </c>
      <c r="G53" s="258"/>
      <c r="H53" s="258"/>
      <c r="I53" s="258"/>
      <c r="J53" s="258"/>
      <c r="K53" s="258"/>
      <c r="L53" s="258"/>
      <c r="M53" s="258"/>
      <c r="N53" s="258"/>
      <c r="O53" s="258"/>
      <c r="P53" s="258">
        <f>+P46</f>
        <v>0</v>
      </c>
      <c r="Q53" s="258"/>
      <c r="R53" s="258">
        <f>+R46</f>
        <v>0</v>
      </c>
      <c r="S53" s="258"/>
      <c r="T53" s="258">
        <f>+T46</f>
        <v>0</v>
      </c>
      <c r="U53" s="258"/>
      <c r="V53" s="258"/>
      <c r="W53" s="258"/>
      <c r="X53" s="258"/>
      <c r="Y53" s="258"/>
      <c r="Z53" s="258"/>
      <c r="AA53" s="258"/>
      <c r="AB53" s="258"/>
      <c r="AC53" s="258"/>
      <c r="AD53" s="258"/>
      <c r="AE53" s="258"/>
      <c r="AF53" s="258"/>
      <c r="AG53" s="258"/>
      <c r="AH53" s="289"/>
      <c r="AI53" s="289"/>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c r="BK53" s="258"/>
      <c r="BL53" s="258"/>
      <c r="BM53" s="258"/>
      <c r="BN53" s="258"/>
      <c r="BO53" s="258"/>
      <c r="BP53" s="258"/>
      <c r="BQ53" s="258"/>
      <c r="BR53" s="258"/>
      <c r="BS53" s="258"/>
      <c r="BT53" s="258"/>
      <c r="BU53" s="258"/>
      <c r="BV53" s="258"/>
      <c r="BW53" s="258"/>
      <c r="BX53" s="258"/>
      <c r="BY53" s="258"/>
      <c r="BZ53" s="258"/>
      <c r="CA53" s="258"/>
      <c r="CB53" s="258"/>
      <c r="CC53" s="258"/>
      <c r="CD53" s="258"/>
      <c r="CE53" s="258"/>
      <c r="CF53" s="258"/>
      <c r="CG53" s="258"/>
      <c r="CH53" s="258"/>
      <c r="CI53" s="258"/>
      <c r="CJ53" s="258"/>
      <c r="CK53" s="258"/>
      <c r="CL53" s="258"/>
      <c r="CM53" s="258"/>
      <c r="CN53" s="258"/>
      <c r="CO53" s="258"/>
      <c r="CP53" s="258"/>
      <c r="CQ53" s="258"/>
      <c r="CR53" s="258"/>
      <c r="CS53" s="258"/>
      <c r="CT53" s="258"/>
      <c r="CU53" s="258"/>
      <c r="CV53" s="258"/>
      <c r="CW53" s="258"/>
      <c r="CX53" s="258"/>
      <c r="CY53" s="258"/>
      <c r="CZ53" s="258"/>
      <c r="DA53" s="258"/>
      <c r="DB53" s="258"/>
      <c r="DC53" s="258"/>
      <c r="DD53" s="258"/>
      <c r="DE53" s="258"/>
      <c r="DF53" s="258"/>
      <c r="DG53" s="258"/>
      <c r="DH53" s="258"/>
      <c r="DI53" s="258"/>
      <c r="DJ53" s="258"/>
      <c r="DK53" s="258"/>
      <c r="DL53" s="258"/>
      <c r="DM53" s="258"/>
      <c r="DN53" s="258"/>
      <c r="DO53" s="258"/>
      <c r="DP53" s="258"/>
      <c r="DQ53" s="258"/>
      <c r="DR53" s="258"/>
      <c r="DS53" s="258"/>
      <c r="DT53" s="258"/>
      <c r="DU53" s="258"/>
      <c r="DV53" s="258"/>
      <c r="DW53" s="258"/>
      <c r="DX53" s="258"/>
      <c r="DY53" s="258"/>
      <c r="DZ53" s="289"/>
      <c r="EA53" s="289"/>
      <c r="EB53" s="258"/>
      <c r="EC53" s="258"/>
      <c r="ED53" s="258"/>
      <c r="EE53" s="258"/>
      <c r="EF53" s="258"/>
      <c r="EG53" s="258"/>
      <c r="EH53" s="258"/>
      <c r="EI53" s="258"/>
      <c r="EJ53" s="258"/>
      <c r="EK53" s="258"/>
      <c r="EL53" s="258"/>
      <c r="EM53" s="258"/>
      <c r="EN53" s="258"/>
      <c r="EO53" s="258"/>
      <c r="EP53" s="258"/>
      <c r="EQ53" s="258"/>
      <c r="ER53" s="289"/>
      <c r="ES53" s="289"/>
      <c r="ET53" s="258"/>
      <c r="EU53" s="258"/>
      <c r="EV53" s="258"/>
      <c r="EW53" s="258"/>
      <c r="EX53" s="258"/>
      <c r="EY53" s="258"/>
      <c r="EZ53" s="258"/>
      <c r="FA53" s="258"/>
      <c r="FB53" s="258"/>
      <c r="FC53" s="258"/>
      <c r="FD53" s="258"/>
      <c r="FE53" s="258"/>
      <c r="FF53" s="258"/>
      <c r="FG53" s="258"/>
      <c r="FH53" s="258"/>
      <c r="FI53" s="258"/>
      <c r="FJ53" s="258"/>
      <c r="FK53" s="258"/>
      <c r="FL53" s="258"/>
      <c r="FM53" s="258"/>
      <c r="FN53" s="258"/>
      <c r="FO53" s="258"/>
      <c r="FP53" s="258"/>
      <c r="FQ53" s="258"/>
      <c r="FR53" s="258"/>
      <c r="FS53" s="258"/>
      <c r="FT53" s="258"/>
      <c r="FU53" s="258"/>
      <c r="FV53" s="258"/>
      <c r="FW53" s="258"/>
      <c r="FX53" s="258"/>
      <c r="FY53" s="258"/>
      <c r="FZ53" s="258"/>
      <c r="GA53" s="258"/>
      <c r="GB53" s="258"/>
      <c r="GC53" s="258"/>
      <c r="GD53" s="258"/>
      <c r="GE53" s="258"/>
      <c r="GF53" s="258"/>
      <c r="GG53" s="258"/>
      <c r="GH53" s="258"/>
      <c r="GI53" s="258"/>
      <c r="GJ53" s="258"/>
      <c r="GK53" s="258"/>
      <c r="GL53" s="258"/>
      <c r="GM53" s="258"/>
      <c r="GN53" s="289"/>
      <c r="GO53" s="289"/>
      <c r="GP53" s="289"/>
      <c r="GQ53" s="289"/>
      <c r="GR53" s="289"/>
      <c r="GS53" s="289"/>
      <c r="GT53" s="289"/>
      <c r="GU53" s="289"/>
      <c r="GV53" s="289"/>
      <c r="GW53" s="289"/>
      <c r="GX53" s="289"/>
      <c r="GY53" s="289"/>
      <c r="GZ53" s="289"/>
      <c r="HA53" s="289"/>
      <c r="HB53" s="258"/>
      <c r="HC53" s="258"/>
      <c r="HD53" s="258"/>
      <c r="HE53" s="258"/>
      <c r="HF53" s="258"/>
      <c r="HG53" s="258"/>
      <c r="HH53" s="258"/>
      <c r="HI53" s="258"/>
      <c r="HJ53" s="258"/>
      <c r="HK53" s="258"/>
      <c r="HL53" s="258"/>
      <c r="HM53" s="258"/>
      <c r="HN53" s="258"/>
      <c r="HO53" s="258"/>
      <c r="HP53" s="258"/>
      <c r="HQ53" s="258"/>
      <c r="HR53" s="258"/>
      <c r="HS53" s="258"/>
      <c r="HT53" s="258"/>
      <c r="HU53" s="258"/>
      <c r="HV53" s="258"/>
      <c r="HW53" s="258"/>
      <c r="HX53" s="258"/>
      <c r="HY53" s="258"/>
      <c r="HZ53" s="258"/>
      <c r="IA53" s="258"/>
      <c r="IB53" s="258"/>
      <c r="IC53" s="258"/>
    </row>
    <row r="54" spans="1:241" x14ac:dyDescent="0.25">
      <c r="A54" s="248"/>
      <c r="D54" s="258">
        <f>+D52-D53</f>
        <v>0</v>
      </c>
      <c r="E54" s="258"/>
      <c r="F54" s="258">
        <f>+F52-F53</f>
        <v>0</v>
      </c>
      <c r="G54" s="258"/>
      <c r="H54" s="258"/>
      <c r="I54" s="258"/>
      <c r="J54" s="258"/>
      <c r="K54" s="258"/>
      <c r="L54" s="258"/>
      <c r="M54" s="258"/>
      <c r="N54" s="258"/>
      <c r="O54" s="258"/>
      <c r="P54" s="258">
        <f>+P52-P53</f>
        <v>0</v>
      </c>
      <c r="Q54" s="258"/>
      <c r="R54" s="258">
        <f>+R52-R53</f>
        <v>0</v>
      </c>
      <c r="S54" s="258"/>
      <c r="T54" s="258">
        <f>+T52-T53</f>
        <v>0</v>
      </c>
      <c r="U54" s="258"/>
      <c r="V54" s="258"/>
      <c r="W54" s="258"/>
      <c r="X54" s="258"/>
      <c r="Y54" s="258"/>
      <c r="Z54" s="258"/>
      <c r="AA54" s="258"/>
      <c r="AB54" s="258"/>
      <c r="AC54" s="258"/>
      <c r="AD54" s="258"/>
      <c r="AE54" s="258"/>
      <c r="AF54" s="258"/>
      <c r="AG54" s="258"/>
      <c r="AH54" s="289"/>
      <c r="AI54" s="289"/>
      <c r="AJ54" s="258"/>
      <c r="AK54" s="258"/>
      <c r="AL54" s="258"/>
      <c r="AM54" s="258"/>
      <c r="AN54" s="258"/>
      <c r="AO54" s="258"/>
      <c r="AP54" s="258"/>
      <c r="AQ54" s="258"/>
      <c r="AR54" s="258"/>
      <c r="AS54" s="258"/>
      <c r="AT54" s="258"/>
      <c r="AU54" s="258"/>
      <c r="AV54" s="258"/>
      <c r="AW54" s="258"/>
      <c r="AX54" s="258"/>
      <c r="AY54" s="258"/>
      <c r="AZ54" s="258"/>
      <c r="BA54" s="258"/>
      <c r="BB54" s="258"/>
      <c r="BC54" s="258"/>
      <c r="BD54" s="258"/>
      <c r="BE54" s="258"/>
      <c r="BF54" s="258"/>
      <c r="BG54" s="258"/>
      <c r="BH54" s="258"/>
      <c r="BI54" s="258"/>
      <c r="BJ54" s="258"/>
      <c r="BK54" s="258"/>
      <c r="BL54" s="258"/>
      <c r="BM54" s="258"/>
      <c r="BN54" s="258"/>
      <c r="BO54" s="258"/>
      <c r="BP54" s="258"/>
      <c r="BQ54" s="258"/>
      <c r="BR54" s="258"/>
      <c r="BS54" s="258"/>
      <c r="BT54" s="258"/>
      <c r="BU54" s="258"/>
      <c r="BV54" s="258"/>
      <c r="BW54" s="258"/>
      <c r="BX54" s="258"/>
      <c r="BY54" s="258"/>
      <c r="BZ54" s="258"/>
      <c r="CA54" s="258"/>
      <c r="CB54" s="258"/>
      <c r="CC54" s="258"/>
      <c r="CD54" s="258"/>
      <c r="CE54" s="258"/>
      <c r="CF54" s="258"/>
      <c r="CG54" s="258"/>
      <c r="CH54" s="258"/>
      <c r="CI54" s="258"/>
      <c r="CJ54" s="258"/>
      <c r="CK54" s="258"/>
      <c r="CL54" s="258"/>
      <c r="CM54" s="258"/>
      <c r="CN54" s="258"/>
      <c r="CO54" s="258"/>
      <c r="CP54" s="258"/>
      <c r="CQ54" s="258"/>
      <c r="CR54" s="258"/>
      <c r="CS54" s="258"/>
      <c r="CT54" s="258"/>
      <c r="CU54" s="258"/>
      <c r="CV54" s="258"/>
      <c r="CW54" s="258"/>
      <c r="CX54" s="258"/>
      <c r="CY54" s="258"/>
      <c r="CZ54" s="258"/>
      <c r="DA54" s="258"/>
      <c r="DB54" s="258"/>
      <c r="DC54" s="258"/>
      <c r="DD54" s="258"/>
      <c r="DE54" s="258"/>
      <c r="DF54" s="258"/>
      <c r="DG54" s="258"/>
      <c r="DH54" s="258"/>
      <c r="DI54" s="258"/>
      <c r="DJ54" s="258"/>
      <c r="DK54" s="258"/>
      <c r="DL54" s="258"/>
      <c r="DM54" s="258"/>
      <c r="DN54" s="258"/>
      <c r="DO54" s="258"/>
      <c r="DP54" s="258"/>
      <c r="DQ54" s="258"/>
      <c r="DR54" s="258"/>
      <c r="DS54" s="258"/>
      <c r="DT54" s="258"/>
      <c r="DU54" s="258"/>
      <c r="DV54" s="258"/>
      <c r="DW54" s="258"/>
      <c r="DX54" s="258"/>
      <c r="DY54" s="258"/>
      <c r="DZ54" s="289"/>
      <c r="EA54" s="289"/>
      <c r="EB54" s="258"/>
      <c r="EC54" s="258"/>
      <c r="ED54" s="258"/>
      <c r="EE54" s="258"/>
      <c r="EF54" s="258"/>
      <c r="EG54" s="258"/>
      <c r="EH54" s="258"/>
      <c r="EI54" s="258"/>
      <c r="EJ54" s="258"/>
      <c r="EK54" s="258"/>
      <c r="EL54" s="258"/>
      <c r="EM54" s="258"/>
      <c r="EN54" s="258"/>
      <c r="EO54" s="258"/>
      <c r="EP54" s="258"/>
      <c r="EQ54" s="258"/>
      <c r="ER54" s="289"/>
      <c r="ES54" s="289"/>
      <c r="ET54" s="258"/>
      <c r="EU54" s="258"/>
      <c r="EV54" s="258"/>
      <c r="EW54" s="258"/>
      <c r="EX54" s="258"/>
      <c r="EY54" s="258"/>
      <c r="EZ54" s="258"/>
      <c r="FA54" s="258"/>
      <c r="FB54" s="258"/>
      <c r="FC54" s="258"/>
      <c r="FD54" s="258"/>
      <c r="FE54" s="258"/>
      <c r="FF54" s="258"/>
      <c r="FG54" s="258"/>
      <c r="FH54" s="258"/>
      <c r="FI54" s="258"/>
      <c r="FJ54" s="258"/>
      <c r="FK54" s="258"/>
      <c r="FL54" s="258"/>
      <c r="FM54" s="258"/>
      <c r="FN54" s="258"/>
      <c r="FO54" s="258"/>
      <c r="FP54" s="258"/>
      <c r="FQ54" s="258"/>
      <c r="FR54" s="258"/>
      <c r="FS54" s="258"/>
      <c r="FT54" s="258"/>
      <c r="FU54" s="258"/>
      <c r="FV54" s="258"/>
      <c r="FW54" s="258"/>
      <c r="FX54" s="258"/>
      <c r="FY54" s="258"/>
      <c r="FZ54" s="258"/>
      <c r="GA54" s="258"/>
      <c r="GB54" s="258"/>
      <c r="GC54" s="258"/>
      <c r="GD54" s="258"/>
      <c r="GE54" s="258"/>
      <c r="GF54" s="258"/>
      <c r="GG54" s="258"/>
      <c r="GH54" s="258"/>
      <c r="GI54" s="258"/>
      <c r="GJ54" s="258"/>
      <c r="GK54" s="258"/>
      <c r="GL54" s="258"/>
      <c r="GM54" s="258"/>
      <c r="GN54" s="289"/>
      <c r="GO54" s="289"/>
      <c r="GP54" s="289"/>
      <c r="GQ54" s="289"/>
      <c r="GR54" s="289"/>
      <c r="GS54" s="289"/>
      <c r="GT54" s="289"/>
      <c r="GU54" s="289"/>
      <c r="GV54" s="289"/>
      <c r="GW54" s="289"/>
      <c r="GX54" s="289"/>
      <c r="GY54" s="289"/>
      <c r="GZ54" s="289"/>
      <c r="HA54" s="289"/>
      <c r="HB54" s="258"/>
      <c r="HC54" s="258"/>
      <c r="HD54" s="258"/>
      <c r="HE54" s="258"/>
      <c r="HF54" s="258"/>
      <c r="HG54" s="258"/>
      <c r="HH54" s="258"/>
      <c r="HI54" s="258"/>
      <c r="HJ54" s="258"/>
      <c r="HK54" s="258"/>
      <c r="HL54" s="258"/>
      <c r="HM54" s="258"/>
      <c r="HN54" s="258"/>
      <c r="HO54" s="258"/>
      <c r="HP54" s="258"/>
      <c r="HQ54" s="258"/>
      <c r="HR54" s="258"/>
      <c r="HS54" s="258"/>
      <c r="HT54" s="258"/>
      <c r="HU54" s="258"/>
      <c r="HV54" s="258"/>
      <c r="HW54" s="258"/>
      <c r="HX54" s="258"/>
      <c r="HY54" s="258"/>
      <c r="HZ54" s="258"/>
      <c r="IA54" s="258"/>
      <c r="IB54" s="258"/>
      <c r="IC54" s="258"/>
    </row>
    <row r="55" spans="1:241" x14ac:dyDescent="0.25">
      <c r="A55" s="248"/>
      <c r="D55" s="258"/>
      <c r="E55" s="258"/>
      <c r="F55" s="258"/>
      <c r="G55" s="258"/>
      <c r="H55" s="258"/>
      <c r="I55" s="258"/>
      <c r="J55" s="258"/>
      <c r="K55" s="258"/>
      <c r="L55" s="258"/>
      <c r="M55" s="258"/>
      <c r="N55" s="258"/>
      <c r="O55" s="258"/>
      <c r="P55" s="258"/>
      <c r="Q55" s="258"/>
      <c r="R55" s="258"/>
      <c r="S55" s="258"/>
      <c r="T55" s="258"/>
      <c r="U55" s="258"/>
      <c r="V55" s="258"/>
      <c r="W55" s="258"/>
      <c r="X55" s="258"/>
      <c r="Y55" s="258"/>
      <c r="Z55" s="258"/>
      <c r="AA55" s="258"/>
      <c r="AB55" s="258"/>
      <c r="AC55" s="258"/>
      <c r="AD55" s="258"/>
      <c r="AE55" s="258"/>
      <c r="AF55" s="258"/>
      <c r="AG55" s="258"/>
      <c r="AH55" s="289"/>
      <c r="AI55" s="289"/>
      <c r="AJ55" s="258"/>
      <c r="AK55" s="258"/>
      <c r="AL55" s="258"/>
      <c r="AM55" s="258"/>
      <c r="AN55" s="258"/>
      <c r="AO55" s="258"/>
      <c r="AP55" s="258"/>
      <c r="AQ55" s="258"/>
      <c r="AR55" s="258"/>
      <c r="AS55" s="258"/>
      <c r="AT55" s="258"/>
      <c r="AU55" s="258"/>
      <c r="AV55" s="258"/>
      <c r="AW55" s="258"/>
      <c r="AX55" s="258"/>
      <c r="AY55" s="258"/>
      <c r="AZ55" s="258"/>
      <c r="BA55" s="258"/>
      <c r="BB55" s="258"/>
      <c r="BC55" s="258"/>
      <c r="BD55" s="258"/>
      <c r="BE55" s="258"/>
      <c r="BF55" s="258"/>
      <c r="BG55" s="258"/>
      <c r="BH55" s="258"/>
      <c r="BI55" s="258"/>
      <c r="BJ55" s="258"/>
      <c r="BK55" s="258"/>
      <c r="BL55" s="258"/>
      <c r="BM55" s="258"/>
      <c r="BN55" s="258"/>
      <c r="BO55" s="258"/>
      <c r="BP55" s="258"/>
      <c r="BQ55" s="258"/>
      <c r="BR55" s="258"/>
      <c r="BS55" s="258"/>
      <c r="BT55" s="258"/>
      <c r="BU55" s="258"/>
      <c r="BV55" s="258"/>
      <c r="BW55" s="258"/>
      <c r="BX55" s="258"/>
      <c r="BY55" s="258"/>
      <c r="BZ55" s="258"/>
      <c r="CA55" s="258"/>
      <c r="CB55" s="258"/>
      <c r="CC55" s="258"/>
      <c r="CD55" s="258"/>
      <c r="CE55" s="258"/>
      <c r="CF55" s="258"/>
      <c r="CG55" s="258"/>
      <c r="CH55" s="258"/>
      <c r="CI55" s="258"/>
      <c r="CJ55" s="258"/>
      <c r="CK55" s="258"/>
      <c r="CL55" s="258"/>
      <c r="CM55" s="258"/>
      <c r="CN55" s="258"/>
      <c r="CO55" s="258"/>
      <c r="CP55" s="258"/>
      <c r="CQ55" s="258"/>
      <c r="CR55" s="258"/>
      <c r="CS55" s="258"/>
      <c r="CT55" s="258"/>
      <c r="CU55" s="258"/>
      <c r="CV55" s="258"/>
      <c r="CW55" s="258"/>
      <c r="CX55" s="258"/>
      <c r="CY55" s="258"/>
      <c r="CZ55" s="258"/>
      <c r="DA55" s="258"/>
      <c r="DB55" s="258"/>
      <c r="DC55" s="258"/>
      <c r="DD55" s="258"/>
      <c r="DE55" s="258"/>
      <c r="DF55" s="258"/>
      <c r="DG55" s="258"/>
      <c r="DH55" s="258"/>
      <c r="DI55" s="258"/>
      <c r="DJ55" s="258"/>
      <c r="DK55" s="258"/>
      <c r="DL55" s="258"/>
      <c r="DM55" s="258"/>
      <c r="DN55" s="258"/>
      <c r="DO55" s="258"/>
      <c r="DP55" s="258"/>
      <c r="DQ55" s="258"/>
      <c r="DR55" s="258"/>
      <c r="DS55" s="258"/>
      <c r="DT55" s="258"/>
      <c r="DU55" s="258"/>
      <c r="DV55" s="258"/>
      <c r="DW55" s="258"/>
      <c r="DX55" s="258"/>
      <c r="DY55" s="258"/>
      <c r="DZ55" s="289"/>
      <c r="EA55" s="289"/>
      <c r="EB55" s="258"/>
      <c r="EC55" s="258"/>
      <c r="ED55" s="258"/>
      <c r="EE55" s="258"/>
      <c r="EF55" s="258"/>
      <c r="EG55" s="258"/>
      <c r="EH55" s="258"/>
      <c r="EI55" s="258"/>
      <c r="EJ55" s="258"/>
      <c r="EK55" s="258"/>
      <c r="EL55" s="258"/>
      <c r="EM55" s="258"/>
      <c r="EN55" s="258"/>
      <c r="EO55" s="258"/>
      <c r="EP55" s="258"/>
      <c r="EQ55" s="258"/>
      <c r="ER55" s="289"/>
      <c r="ES55" s="289"/>
      <c r="ET55" s="258"/>
      <c r="EU55" s="258"/>
      <c r="EV55" s="258"/>
      <c r="EW55" s="258"/>
      <c r="EX55" s="258"/>
      <c r="EY55" s="258"/>
      <c r="EZ55" s="258"/>
      <c r="FA55" s="258"/>
      <c r="FB55" s="258"/>
      <c r="FC55" s="258"/>
      <c r="FD55" s="258"/>
      <c r="FE55" s="258"/>
      <c r="FF55" s="258"/>
      <c r="FG55" s="258"/>
      <c r="FH55" s="258"/>
      <c r="FI55" s="258"/>
      <c r="FJ55" s="258"/>
      <c r="FK55" s="258"/>
      <c r="FL55" s="258"/>
      <c r="FM55" s="258"/>
      <c r="FN55" s="258"/>
      <c r="FO55" s="258"/>
      <c r="FP55" s="258"/>
      <c r="FQ55" s="258"/>
      <c r="FR55" s="258"/>
      <c r="FS55" s="258"/>
      <c r="FT55" s="258"/>
      <c r="FU55" s="258"/>
      <c r="FV55" s="258"/>
      <c r="FW55" s="258"/>
      <c r="FX55" s="258"/>
      <c r="FY55" s="258"/>
      <c r="FZ55" s="258"/>
      <c r="GA55" s="258"/>
      <c r="GB55" s="258"/>
      <c r="GC55" s="258"/>
      <c r="GD55" s="258"/>
      <c r="GE55" s="258"/>
      <c r="GF55" s="258"/>
      <c r="GG55" s="258"/>
      <c r="GH55" s="258"/>
      <c r="GI55" s="258"/>
      <c r="GJ55" s="258"/>
      <c r="GK55" s="258"/>
      <c r="GL55" s="258"/>
      <c r="GM55" s="258"/>
      <c r="GN55" s="289"/>
      <c r="GO55" s="289"/>
      <c r="GP55" s="289"/>
      <c r="GQ55" s="289"/>
      <c r="GR55" s="289"/>
      <c r="GS55" s="289"/>
      <c r="GT55" s="289"/>
      <c r="GU55" s="289"/>
      <c r="GV55" s="289"/>
      <c r="GW55" s="289"/>
      <c r="GX55" s="289"/>
      <c r="GY55" s="289"/>
      <c r="GZ55" s="289"/>
      <c r="HA55" s="289"/>
      <c r="HB55" s="258"/>
      <c r="HC55" s="258"/>
      <c r="HD55" s="258"/>
      <c r="HE55" s="258"/>
      <c r="HF55" s="258"/>
      <c r="HG55" s="258"/>
      <c r="HH55" s="258"/>
      <c r="HI55" s="258"/>
      <c r="HJ55" s="258"/>
      <c r="HK55" s="258"/>
      <c r="HL55" s="258"/>
      <c r="HM55" s="258"/>
      <c r="HN55" s="258"/>
      <c r="HO55" s="258"/>
      <c r="HP55" s="258"/>
      <c r="HQ55" s="258"/>
      <c r="HR55" s="258"/>
      <c r="HS55" s="258"/>
      <c r="HT55" s="258"/>
      <c r="HU55" s="258"/>
      <c r="HV55" s="258"/>
      <c r="HW55" s="258"/>
      <c r="HX55" s="258"/>
      <c r="HY55" s="258"/>
      <c r="HZ55" s="258"/>
      <c r="IA55" s="258"/>
      <c r="IB55" s="258"/>
      <c r="IC55" s="258"/>
    </row>
    <row r="56" spans="1:241" x14ac:dyDescent="0.25">
      <c r="A56" s="24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F56" s="258"/>
      <c r="AG56" s="258"/>
      <c r="AH56" s="289"/>
      <c r="AI56" s="289"/>
      <c r="AJ56" s="258"/>
      <c r="AK56" s="258"/>
      <c r="AL56" s="258"/>
      <c r="AM56" s="258"/>
      <c r="AN56" s="258"/>
      <c r="AO56" s="258"/>
      <c r="AP56" s="258"/>
      <c r="AQ56" s="258"/>
      <c r="AR56" s="258"/>
      <c r="AS56" s="258"/>
      <c r="AT56" s="258"/>
      <c r="AU56" s="258"/>
      <c r="AV56" s="258"/>
      <c r="AW56" s="258"/>
      <c r="AX56" s="258"/>
      <c r="AY56" s="258"/>
      <c r="AZ56" s="258"/>
      <c r="BA56" s="258"/>
      <c r="BB56" s="258"/>
      <c r="BC56" s="258"/>
      <c r="BD56" s="258"/>
      <c r="BE56" s="258"/>
      <c r="BF56" s="258"/>
      <c r="BG56" s="258"/>
      <c r="BH56" s="258"/>
      <c r="BI56" s="258"/>
      <c r="BJ56" s="258"/>
      <c r="BK56" s="258"/>
      <c r="BL56" s="258"/>
      <c r="BM56" s="258"/>
      <c r="BN56" s="258"/>
      <c r="BO56" s="258"/>
      <c r="BP56" s="258"/>
      <c r="BQ56" s="258"/>
      <c r="BR56" s="258"/>
      <c r="BS56" s="258"/>
      <c r="BT56" s="258"/>
      <c r="BU56" s="258"/>
      <c r="BV56" s="258"/>
      <c r="BW56" s="258"/>
      <c r="BX56" s="258"/>
      <c r="BY56" s="258"/>
      <c r="BZ56" s="258"/>
      <c r="CA56" s="258"/>
      <c r="CB56" s="258"/>
      <c r="CC56" s="258"/>
      <c r="CD56" s="258"/>
      <c r="CE56" s="258"/>
      <c r="CF56" s="258"/>
      <c r="CG56" s="258"/>
      <c r="CH56" s="258"/>
      <c r="CI56" s="258"/>
      <c r="CJ56" s="258"/>
      <c r="CK56" s="258"/>
      <c r="CL56" s="258"/>
      <c r="CM56" s="258"/>
      <c r="CN56" s="258"/>
      <c r="CO56" s="258"/>
      <c r="CP56" s="258"/>
      <c r="CQ56" s="258"/>
      <c r="CR56" s="258"/>
      <c r="CS56" s="258"/>
      <c r="CT56" s="258"/>
      <c r="CU56" s="258"/>
      <c r="CV56" s="258"/>
      <c r="CW56" s="258"/>
      <c r="CX56" s="258"/>
      <c r="CY56" s="258"/>
      <c r="CZ56" s="258"/>
      <c r="DA56" s="258"/>
      <c r="DB56" s="258"/>
      <c r="DC56" s="258"/>
      <c r="DD56" s="258"/>
      <c r="DE56" s="258"/>
      <c r="DF56" s="258"/>
      <c r="DG56" s="258"/>
      <c r="DH56" s="258"/>
      <c r="DI56" s="258"/>
      <c r="DJ56" s="258"/>
      <c r="DK56" s="258"/>
      <c r="DL56" s="258"/>
      <c r="DM56" s="258"/>
      <c r="DN56" s="258"/>
      <c r="DO56" s="258"/>
      <c r="DP56" s="258"/>
      <c r="DQ56" s="258"/>
      <c r="DR56" s="258"/>
      <c r="DS56" s="258"/>
      <c r="DT56" s="258"/>
      <c r="DU56" s="258"/>
      <c r="DV56" s="258"/>
      <c r="DW56" s="258"/>
      <c r="DX56" s="258"/>
      <c r="DY56" s="258"/>
      <c r="DZ56" s="289"/>
      <c r="EA56" s="289"/>
      <c r="EB56" s="258"/>
      <c r="EC56" s="258"/>
      <c r="ED56" s="258"/>
      <c r="EE56" s="258"/>
      <c r="EF56" s="258"/>
      <c r="EG56" s="258"/>
      <c r="EH56" s="258"/>
      <c r="EI56" s="258"/>
      <c r="EJ56" s="258"/>
      <c r="EK56" s="258"/>
      <c r="EL56" s="258"/>
      <c r="EM56" s="258"/>
      <c r="EN56" s="258"/>
      <c r="EO56" s="258"/>
      <c r="EP56" s="258"/>
      <c r="EQ56" s="258"/>
      <c r="ER56" s="289"/>
      <c r="ES56" s="289"/>
      <c r="ET56" s="258"/>
      <c r="EU56" s="258"/>
      <c r="EV56" s="258"/>
      <c r="EW56" s="258"/>
      <c r="EX56" s="258"/>
      <c r="EY56" s="258"/>
      <c r="EZ56" s="258"/>
      <c r="FA56" s="258"/>
      <c r="FB56" s="258"/>
      <c r="FC56" s="258"/>
      <c r="FD56" s="258"/>
      <c r="FE56" s="258"/>
      <c r="FF56" s="258"/>
      <c r="FG56" s="258"/>
      <c r="FH56" s="258"/>
      <c r="FI56" s="258"/>
      <c r="FJ56" s="258"/>
      <c r="FK56" s="258"/>
      <c r="FL56" s="258"/>
      <c r="FM56" s="258"/>
      <c r="FN56" s="258"/>
      <c r="FO56" s="258"/>
      <c r="FP56" s="258"/>
      <c r="FQ56" s="258"/>
      <c r="FR56" s="258"/>
      <c r="FS56" s="258"/>
      <c r="FT56" s="258"/>
      <c r="FU56" s="258"/>
      <c r="FV56" s="258"/>
      <c r="FW56" s="258"/>
      <c r="FX56" s="258"/>
      <c r="FY56" s="258"/>
      <c r="FZ56" s="258"/>
      <c r="GA56" s="258"/>
      <c r="GB56" s="258"/>
      <c r="GC56" s="258"/>
      <c r="GD56" s="258"/>
      <c r="GE56" s="258"/>
      <c r="GF56" s="258"/>
      <c r="GG56" s="258"/>
      <c r="GH56" s="258"/>
      <c r="GI56" s="258"/>
      <c r="GJ56" s="258"/>
      <c r="GK56" s="258"/>
      <c r="GL56" s="258"/>
      <c r="GM56" s="258"/>
      <c r="GN56" s="289"/>
      <c r="GO56" s="289"/>
      <c r="GP56" s="289"/>
      <c r="GQ56" s="289"/>
      <c r="GR56" s="289"/>
      <c r="GS56" s="289"/>
      <c r="GT56" s="289"/>
      <c r="GU56" s="289"/>
      <c r="GV56" s="289"/>
      <c r="GW56" s="289"/>
      <c r="GX56" s="289"/>
      <c r="GY56" s="289"/>
      <c r="GZ56" s="289"/>
      <c r="HA56" s="289"/>
      <c r="HB56" s="258"/>
      <c r="HC56" s="258"/>
      <c r="HD56" s="258"/>
      <c r="HE56" s="258"/>
      <c r="HF56" s="258"/>
      <c r="HG56" s="258"/>
      <c r="HH56" s="258"/>
      <c r="HI56" s="258"/>
      <c r="HJ56" s="258"/>
      <c r="HK56" s="258"/>
      <c r="HL56" s="258"/>
      <c r="HM56" s="258"/>
      <c r="HN56" s="258"/>
      <c r="HO56" s="258"/>
      <c r="HP56" s="258"/>
      <c r="HQ56" s="258"/>
      <c r="HR56" s="258"/>
      <c r="HS56" s="258"/>
      <c r="HT56" s="258"/>
      <c r="HU56" s="258"/>
      <c r="HV56" s="258"/>
      <c r="HW56" s="258"/>
      <c r="HX56" s="258"/>
      <c r="HY56" s="258"/>
      <c r="HZ56" s="258"/>
      <c r="IA56" s="258"/>
      <c r="IB56" s="258"/>
      <c r="IC56" s="258"/>
    </row>
    <row r="61" spans="1:241" x14ac:dyDescent="0.25">
      <c r="A61" s="248"/>
    </row>
  </sheetData>
  <mergeCells count="239">
    <mergeCell ref="IC5:IC6"/>
    <mergeCell ref="HG5:HG6"/>
    <mergeCell ref="HI5:HI6"/>
    <mergeCell ref="HK5:HK6"/>
    <mergeCell ref="HM5:HM6"/>
    <mergeCell ref="HO5:HO6"/>
    <mergeCell ref="HQ5:HQ6"/>
    <mergeCell ref="HS5:HS6"/>
    <mergeCell ref="HU5:HU6"/>
    <mergeCell ref="HW5:HW6"/>
    <mergeCell ref="HH5:HH6"/>
    <mergeCell ref="HL5:HL6"/>
    <mergeCell ref="IB5:IB6"/>
    <mergeCell ref="HV5:HV6"/>
    <mergeCell ref="HP5:HP6"/>
    <mergeCell ref="HX5:HX6"/>
    <mergeCell ref="HY5:HY6"/>
    <mergeCell ref="HZ5:HZ6"/>
    <mergeCell ref="IA5:IA6"/>
    <mergeCell ref="GO5:GO6"/>
    <mergeCell ref="GQ5:GQ6"/>
    <mergeCell ref="GS5:GS6"/>
    <mergeCell ref="GU5:GU6"/>
    <mergeCell ref="GW5:GW6"/>
    <mergeCell ref="GY5:GY6"/>
    <mergeCell ref="HA5:HA6"/>
    <mergeCell ref="HC5:HC6"/>
    <mergeCell ref="HE5:HE6"/>
    <mergeCell ref="GP5:GP6"/>
    <mergeCell ref="GT5:GT6"/>
    <mergeCell ref="GZ5:GZ6"/>
    <mergeCell ref="GX5:GX6"/>
    <mergeCell ref="GR5:GR6"/>
    <mergeCell ref="GV5:GV6"/>
    <mergeCell ref="FW5:FW6"/>
    <mergeCell ref="FY5:FY6"/>
    <mergeCell ref="GA5:GA6"/>
    <mergeCell ref="GC5:GC6"/>
    <mergeCell ref="GE5:GE6"/>
    <mergeCell ref="GG5:GG6"/>
    <mergeCell ref="GI5:GI6"/>
    <mergeCell ref="GK5:GK6"/>
    <mergeCell ref="GM5:GM6"/>
    <mergeCell ref="GF5:GF6"/>
    <mergeCell ref="GD5:GD6"/>
    <mergeCell ref="GL5:GL6"/>
    <mergeCell ref="FZ5:FZ6"/>
    <mergeCell ref="FX5:FX6"/>
    <mergeCell ref="GB5:GB6"/>
    <mergeCell ref="GH5:GH6"/>
    <mergeCell ref="GJ5:GJ6"/>
    <mergeCell ref="FE5:FE6"/>
    <mergeCell ref="FG5:FG6"/>
    <mergeCell ref="FI5:FI6"/>
    <mergeCell ref="FK5:FK6"/>
    <mergeCell ref="FM5:FM6"/>
    <mergeCell ref="FO5:FO6"/>
    <mergeCell ref="FQ5:FQ6"/>
    <mergeCell ref="FS5:FS6"/>
    <mergeCell ref="FU5:FU6"/>
    <mergeCell ref="FF5:FF6"/>
    <mergeCell ref="FH5:FH6"/>
    <mergeCell ref="FL5:FL6"/>
    <mergeCell ref="FN5:FN6"/>
    <mergeCell ref="FJ5:FJ6"/>
    <mergeCell ref="FP5:FP6"/>
    <mergeCell ref="FR5:FR6"/>
    <mergeCell ref="BK5:BK6"/>
    <mergeCell ref="BM5:BM6"/>
    <mergeCell ref="BO5:BO6"/>
    <mergeCell ref="BQ5:BQ6"/>
    <mergeCell ref="BS5:BS6"/>
    <mergeCell ref="BU5:BU6"/>
    <mergeCell ref="BW5:BW6"/>
    <mergeCell ref="BY5:BY6"/>
    <mergeCell ref="CA5:CA6"/>
    <mergeCell ref="BI5:BI6"/>
    <mergeCell ref="CL5:CL6"/>
    <mergeCell ref="DD5:DD6"/>
    <mergeCell ref="E5:E6"/>
    <mergeCell ref="G5:G6"/>
    <mergeCell ref="I5:I6"/>
    <mergeCell ref="K5:K6"/>
    <mergeCell ref="M5:M6"/>
    <mergeCell ref="O5:O6"/>
    <mergeCell ref="Q5:Q6"/>
    <mergeCell ref="S5:S6"/>
    <mergeCell ref="AX5:AX6"/>
    <mergeCell ref="AB5:AB6"/>
    <mergeCell ref="AN5:AN6"/>
    <mergeCell ref="AH5:AH6"/>
    <mergeCell ref="U5:U6"/>
    <mergeCell ref="W5:W6"/>
    <mergeCell ref="Y5:Y6"/>
    <mergeCell ref="AA5:AA6"/>
    <mergeCell ref="AC5:AC6"/>
    <mergeCell ref="AE5:AE6"/>
    <mergeCell ref="AG5:AG6"/>
    <mergeCell ref="AI5:AI6"/>
    <mergeCell ref="AK5:AK6"/>
    <mergeCell ref="AQ5:AQ6"/>
    <mergeCell ref="AS5:AS6"/>
    <mergeCell ref="AU5:AU6"/>
    <mergeCell ref="AW5:AW6"/>
    <mergeCell ref="AY5:AY6"/>
    <mergeCell ref="BA5:BA6"/>
    <mergeCell ref="BC5:BC6"/>
    <mergeCell ref="BE5:BE6"/>
    <mergeCell ref="BG5:BG6"/>
    <mergeCell ref="DF5:DF6"/>
    <mergeCell ref="DH5:DH6"/>
    <mergeCell ref="BP5:BP6"/>
    <mergeCell ref="BR5:BR6"/>
    <mergeCell ref="CC5:CC6"/>
    <mergeCell ref="CE5:CE6"/>
    <mergeCell ref="CG5:CG6"/>
    <mergeCell ref="CI5:CI6"/>
    <mergeCell ref="CK5:CK6"/>
    <mergeCell ref="CM5:CM6"/>
    <mergeCell ref="CO5:CO6"/>
    <mergeCell ref="CQ5:CQ6"/>
    <mergeCell ref="CS5:CS6"/>
    <mergeCell ref="CN5:CN6"/>
    <mergeCell ref="CP5:CP6"/>
    <mergeCell ref="CR5:CR6"/>
    <mergeCell ref="CU5:CU6"/>
    <mergeCell ref="CW5:CW6"/>
    <mergeCell ref="DA5:DA6"/>
    <mergeCell ref="DC5:DC6"/>
    <mergeCell ref="DE5:DE6"/>
    <mergeCell ref="DG5:DG6"/>
    <mergeCell ref="CX5:CX6"/>
    <mergeCell ref="CY5:CY6"/>
    <mergeCell ref="AD5:AD6"/>
    <mergeCell ref="BH5:BH6"/>
    <mergeCell ref="BJ5:BJ6"/>
    <mergeCell ref="AR5:AR6"/>
    <mergeCell ref="AT5:AT6"/>
    <mergeCell ref="BF5:BF6"/>
    <mergeCell ref="AV5:AV6"/>
    <mergeCell ref="AZ5:AZ6"/>
    <mergeCell ref="DB5:DB6"/>
    <mergeCell ref="CD5:CD6"/>
    <mergeCell ref="CH5:CH6"/>
    <mergeCell ref="BT5:BT6"/>
    <mergeCell ref="BV5:BV6"/>
    <mergeCell ref="BX5:BX6"/>
    <mergeCell ref="BZ5:BZ6"/>
    <mergeCell ref="CB5:CB6"/>
    <mergeCell ref="CT5:CT6"/>
    <mergeCell ref="CV5:CV6"/>
    <mergeCell ref="CZ5:CZ6"/>
    <mergeCell ref="CF5:CF6"/>
    <mergeCell ref="AF5:AF6"/>
    <mergeCell ref="CJ5:CJ6"/>
    <mergeCell ref="AM5:AM6"/>
    <mergeCell ref="AO5:AO6"/>
    <mergeCell ref="A2:C2"/>
    <mergeCell ref="A3:A6"/>
    <mergeCell ref="B3:C3"/>
    <mergeCell ref="B4:C4"/>
    <mergeCell ref="B5:C5"/>
    <mergeCell ref="D5:D6"/>
    <mergeCell ref="AJ5:AJ6"/>
    <mergeCell ref="AL5:AL6"/>
    <mergeCell ref="BN5:BN6"/>
    <mergeCell ref="J5:J6"/>
    <mergeCell ref="T5:T6"/>
    <mergeCell ref="F5:F6"/>
    <mergeCell ref="P5:P6"/>
    <mergeCell ref="R5:R6"/>
    <mergeCell ref="H5:H6"/>
    <mergeCell ref="BB5:BB6"/>
    <mergeCell ref="BL5:BL6"/>
    <mergeCell ref="AP5:AP6"/>
    <mergeCell ref="BD5:BD6"/>
    <mergeCell ref="V5:V6"/>
    <mergeCell ref="X5:X6"/>
    <mergeCell ref="Z5:Z6"/>
    <mergeCell ref="L5:L6"/>
    <mergeCell ref="N5:N6"/>
    <mergeCell ref="DI5:DI6"/>
    <mergeCell ref="DK5:DK6"/>
    <mergeCell ref="DL5:DL6"/>
    <mergeCell ref="FA5:FA6"/>
    <mergeCell ref="FC5:FC6"/>
    <mergeCell ref="EA5:EA6"/>
    <mergeCell ref="DJ5:DJ6"/>
    <mergeCell ref="DM5:DM6"/>
    <mergeCell ref="EZ5:EZ6"/>
    <mergeCell ref="EB5:EB6"/>
    <mergeCell ref="EF5:EF6"/>
    <mergeCell ref="DQ5:DQ6"/>
    <mergeCell ref="DR5:DR6"/>
    <mergeCell ref="DP5:DP6"/>
    <mergeCell ref="DN5:DN6"/>
    <mergeCell ref="EQ5:EQ6"/>
    <mergeCell ref="ES5:ES6"/>
    <mergeCell ref="EU5:EU6"/>
    <mergeCell ref="EW5:EW6"/>
    <mergeCell ref="EY5:EY6"/>
    <mergeCell ref="EJ5:EJ6"/>
    <mergeCell ref="EK5:EK6"/>
    <mergeCell ref="ED5:ED6"/>
    <mergeCell ref="EE5:EE6"/>
    <mergeCell ref="FV5:FV6"/>
    <mergeCell ref="FB5:FB6"/>
    <mergeCell ref="DV5:DV6"/>
    <mergeCell ref="HR5:HR6"/>
    <mergeCell ref="HT5:HT6"/>
    <mergeCell ref="DS5:DS6"/>
    <mergeCell ref="HD5:HD6"/>
    <mergeCell ref="HF5:HF6"/>
    <mergeCell ref="EH5:EH6"/>
    <mergeCell ref="ER5:ER6"/>
    <mergeCell ref="ET5:ET6"/>
    <mergeCell ref="EP5:EP6"/>
    <mergeCell ref="EL5:EL6"/>
    <mergeCell ref="EV5:EV6"/>
    <mergeCell ref="EN5:EN6"/>
    <mergeCell ref="DT5:DT6"/>
    <mergeCell ref="DZ5:DZ6"/>
    <mergeCell ref="EX5:EX6"/>
    <mergeCell ref="DX5:DX6"/>
    <mergeCell ref="HB5:HB6"/>
    <mergeCell ref="FT5:FT6"/>
    <mergeCell ref="GN5:GN6"/>
    <mergeCell ref="HJ5:HJ6"/>
    <mergeCell ref="HN5:HN6"/>
    <mergeCell ref="FD5:FD6"/>
    <mergeCell ref="DU5:DU6"/>
    <mergeCell ref="DY5:DY6"/>
    <mergeCell ref="EO5:EO6"/>
    <mergeCell ref="DO5:DO6"/>
    <mergeCell ref="EC5:EC6"/>
    <mergeCell ref="EG5:EG6"/>
    <mergeCell ref="EI5:EI6"/>
    <mergeCell ref="EM5:EM6"/>
    <mergeCell ref="DW5:DW6"/>
  </mergeCells>
  <phoneticPr fontId="50" type="noConversion"/>
  <printOptions horizontalCentered="1" verticalCentered="1"/>
  <pageMargins left="0.19685039370078741" right="0.19685039370078741" top="0" bottom="0" header="0.51181102362204722" footer="0.51181102362204722"/>
  <pageSetup paperSize="9" scale="55" fitToHeight="0" orientation="portrait" r:id="rId1"/>
  <headerFooter alignWithMargins="0">
    <oddHeader>&amp;C2023. évi költségvetés&amp;R&amp;A</oddHeader>
    <oddFooter>&amp;C&amp;P/&amp;N</oddFooter>
  </headerFooter>
  <colBreaks count="58" manualBreakCount="58">
    <brk id="7" max="49" man="1"/>
    <brk id="11" max="49" man="1"/>
    <brk id="15" max="49" man="1"/>
    <brk id="19" max="49" man="1"/>
    <brk id="23" max="49" man="1"/>
    <brk id="27" max="49" man="1"/>
    <brk id="31" max="49" man="1"/>
    <brk id="35" max="49" man="1"/>
    <brk id="39" max="49" man="1"/>
    <brk id="43" max="49" man="1"/>
    <brk id="47" max="49" man="1"/>
    <brk id="51" max="49" man="1"/>
    <brk id="55" max="49" man="1"/>
    <brk id="59" max="49" man="1"/>
    <brk id="63" max="49" man="1"/>
    <brk id="67" max="49" man="1"/>
    <brk id="71" max="49" man="1"/>
    <brk id="75" max="49" man="1"/>
    <brk id="79" max="49" man="1"/>
    <brk id="83" max="49" man="1"/>
    <brk id="87" max="49" man="1"/>
    <brk id="91" max="49" man="1"/>
    <brk id="95" max="49" man="1"/>
    <brk id="99" max="49" man="1"/>
    <brk id="103" max="49" man="1"/>
    <brk id="107" max="49" man="1"/>
    <brk id="111" max="49" man="1"/>
    <brk id="115" max="49" man="1"/>
    <brk id="119" max="49" man="1"/>
    <brk id="123" max="49" man="1"/>
    <brk id="127" max="49" man="1"/>
    <brk id="131" max="49" man="1"/>
    <brk id="135" max="49" man="1"/>
    <brk id="139" max="49" man="1"/>
    <brk id="143" max="49" man="1"/>
    <brk id="147" max="49" man="1"/>
    <brk id="151" max="49" man="1"/>
    <brk id="155" max="49" man="1"/>
    <brk id="159" max="49" man="1"/>
    <brk id="163" max="49" man="1"/>
    <brk id="167" max="49" man="1"/>
    <brk id="171" max="49" man="1"/>
    <brk id="175" max="49" man="1"/>
    <brk id="179" max="49" man="1"/>
    <brk id="183" max="49" man="1"/>
    <brk id="187" max="49" man="1"/>
    <brk id="191" max="49" man="1"/>
    <brk id="195" max="49" man="1"/>
    <brk id="199" max="49" man="1"/>
    <brk id="203" max="49" man="1"/>
    <brk id="207" max="49" man="1"/>
    <brk id="211" max="49" man="1"/>
    <brk id="215" max="49" man="1"/>
    <brk id="219" max="49" man="1"/>
    <brk id="223" max="49" man="1"/>
    <brk id="227" max="49" man="1"/>
    <brk id="231" max="49" man="1"/>
    <brk id="235" max="4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T51"/>
  <sheetViews>
    <sheetView view="pageBreakPreview" zoomScale="80" zoomScaleNormal="80" zoomScaleSheetLayoutView="80" workbookViewId="0">
      <pane xSplit="3" ySplit="8" topLeftCell="Q9" activePane="bottomRight" state="frozen"/>
      <selection pane="topRight" activeCell="D1" sqref="D1"/>
      <selection pane="bottomLeft" activeCell="A8" sqref="A8"/>
      <selection pane="bottomRight" activeCell="Q15" sqref="Q15"/>
    </sheetView>
  </sheetViews>
  <sheetFormatPr defaultRowHeight="12.75" x14ac:dyDescent="0.2"/>
  <cols>
    <col min="1" max="1" width="6" customWidth="1"/>
    <col min="2" max="2" width="65.42578125" customWidth="1"/>
    <col min="4" max="5" width="17.7109375" customWidth="1"/>
    <col min="6" max="7" width="18" customWidth="1"/>
    <col min="8" max="8" width="19.42578125" customWidth="1"/>
    <col min="9" max="9" width="16.140625" customWidth="1"/>
    <col min="10" max="10" width="18.28515625" customWidth="1"/>
    <col min="11" max="11" width="17.42578125" customWidth="1"/>
    <col min="12" max="12" width="18.5703125" customWidth="1"/>
    <col min="13" max="13" width="17.42578125" customWidth="1"/>
    <col min="14" max="14" width="18.85546875" customWidth="1"/>
    <col min="15" max="15" width="17.42578125" customWidth="1"/>
    <col min="16" max="16" width="18.85546875" customWidth="1"/>
    <col min="17" max="17" width="17.5703125" customWidth="1"/>
    <col min="18" max="18" width="18.85546875" customWidth="1"/>
    <col min="19" max="19" width="19.7109375" customWidth="1"/>
  </cols>
  <sheetData>
    <row r="1" spans="1:20" ht="15.75" x14ac:dyDescent="0.25">
      <c r="A1" s="230"/>
      <c r="B1" s="230"/>
      <c r="C1" s="229"/>
      <c r="D1" s="228"/>
      <c r="E1" s="228"/>
      <c r="F1" s="228"/>
      <c r="G1" s="198" t="s">
        <v>431</v>
      </c>
      <c r="H1" s="198"/>
      <c r="I1" s="198"/>
      <c r="K1" s="198" t="s">
        <v>431</v>
      </c>
      <c r="L1" s="228"/>
      <c r="M1" s="228"/>
      <c r="N1" s="228"/>
      <c r="O1" s="198" t="s">
        <v>431</v>
      </c>
      <c r="P1" s="228"/>
      <c r="Q1" s="228"/>
      <c r="R1" s="198"/>
      <c r="S1" s="198" t="s">
        <v>431</v>
      </c>
    </row>
    <row r="2" spans="1:20" ht="39.75" customHeight="1" x14ac:dyDescent="0.2">
      <c r="A2" s="1762" t="s">
        <v>137</v>
      </c>
      <c r="B2" s="1763"/>
      <c r="C2" s="1764"/>
      <c r="D2" s="1757" t="s">
        <v>3036</v>
      </c>
      <c r="E2" s="1758"/>
      <c r="F2" s="1758"/>
      <c r="G2" s="1759"/>
      <c r="H2" s="1757" t="s">
        <v>3036</v>
      </c>
      <c r="I2" s="1758"/>
      <c r="J2" s="1758"/>
      <c r="K2" s="1759"/>
      <c r="L2" s="1757" t="s">
        <v>3036</v>
      </c>
      <c r="M2" s="1758"/>
      <c r="N2" s="1758"/>
      <c r="O2" s="1759"/>
      <c r="P2" s="1757" t="s">
        <v>3036</v>
      </c>
      <c r="Q2" s="1758"/>
      <c r="R2" s="1758"/>
      <c r="S2" s="1759"/>
    </row>
    <row r="3" spans="1:20" ht="39.75" customHeight="1" x14ac:dyDescent="0.2">
      <c r="A3" s="1765"/>
      <c r="B3" s="1766"/>
      <c r="C3" s="1767"/>
      <c r="D3" s="1611" t="s">
        <v>273</v>
      </c>
      <c r="E3" s="1611" t="s">
        <v>1561</v>
      </c>
      <c r="F3" s="1611" t="s">
        <v>273</v>
      </c>
      <c r="G3" s="1611" t="s">
        <v>1561</v>
      </c>
      <c r="H3" s="1611" t="s">
        <v>273</v>
      </c>
      <c r="I3" s="1611" t="s">
        <v>1561</v>
      </c>
      <c r="J3" s="1611" t="s">
        <v>273</v>
      </c>
      <c r="K3" s="1611" t="s">
        <v>1561</v>
      </c>
      <c r="L3" s="1611" t="s">
        <v>273</v>
      </c>
      <c r="M3" s="1611" t="s">
        <v>1561</v>
      </c>
      <c r="N3" s="1611" t="s">
        <v>273</v>
      </c>
      <c r="O3" s="1611" t="s">
        <v>1561</v>
      </c>
      <c r="P3" s="1611" t="s">
        <v>273</v>
      </c>
      <c r="Q3" s="1611" t="s">
        <v>1561</v>
      </c>
      <c r="R3" s="1611" t="s">
        <v>273</v>
      </c>
      <c r="S3" s="1611" t="s">
        <v>1561</v>
      </c>
    </row>
    <row r="4" spans="1:20" ht="118.5" customHeight="1" x14ac:dyDescent="0.2">
      <c r="A4" s="1768" t="s">
        <v>186</v>
      </c>
      <c r="B4" s="1769" t="s">
        <v>244</v>
      </c>
      <c r="C4" s="1769"/>
      <c r="D4" s="1610" t="s">
        <v>480</v>
      </c>
      <c r="E4" s="1610" t="s">
        <v>480</v>
      </c>
      <c r="F4" s="225" t="s">
        <v>579</v>
      </c>
      <c r="G4" s="225" t="s">
        <v>579</v>
      </c>
      <c r="H4" s="225" t="s">
        <v>579</v>
      </c>
      <c r="I4" s="225" t="s">
        <v>579</v>
      </c>
      <c r="J4" s="225" t="s">
        <v>580</v>
      </c>
      <c r="K4" s="225" t="s">
        <v>3423</v>
      </c>
      <c r="L4" s="1605" t="s">
        <v>185</v>
      </c>
      <c r="M4" s="1605" t="s">
        <v>185</v>
      </c>
      <c r="N4" s="1611" t="s">
        <v>1459</v>
      </c>
      <c r="O4" s="1611" t="s">
        <v>1459</v>
      </c>
      <c r="P4" s="225" t="s">
        <v>579</v>
      </c>
      <c r="Q4" s="225" t="s">
        <v>579</v>
      </c>
      <c r="R4" s="1760" t="s">
        <v>139</v>
      </c>
      <c r="S4" s="1760" t="s">
        <v>139</v>
      </c>
    </row>
    <row r="5" spans="1:20" ht="26.25" customHeight="1" x14ac:dyDescent="0.2">
      <c r="A5" s="1768"/>
      <c r="B5" s="1769" t="s">
        <v>11</v>
      </c>
      <c r="C5" s="1769"/>
      <c r="D5" s="1610" t="s">
        <v>222</v>
      </c>
      <c r="E5" s="1610" t="s">
        <v>222</v>
      </c>
      <c r="F5" s="1610" t="s">
        <v>222</v>
      </c>
      <c r="G5" s="1610" t="s">
        <v>222</v>
      </c>
      <c r="H5" s="1610" t="s">
        <v>222</v>
      </c>
      <c r="I5" s="1610" t="s">
        <v>222</v>
      </c>
      <c r="J5" s="70" t="s">
        <v>223</v>
      </c>
      <c r="K5" s="70" t="s">
        <v>223</v>
      </c>
      <c r="L5" s="1610" t="s">
        <v>222</v>
      </c>
      <c r="M5" s="1610" t="s">
        <v>222</v>
      </c>
      <c r="N5" s="1610" t="s">
        <v>222</v>
      </c>
      <c r="O5" s="1610" t="s">
        <v>222</v>
      </c>
      <c r="P5" s="1610" t="s">
        <v>222</v>
      </c>
      <c r="Q5" s="1610" t="s">
        <v>222</v>
      </c>
      <c r="R5" s="1760"/>
      <c r="S5" s="1760"/>
    </row>
    <row r="6" spans="1:20" ht="20.25" customHeight="1" x14ac:dyDescent="0.2">
      <c r="A6" s="1768"/>
      <c r="B6" s="1719" t="s">
        <v>713</v>
      </c>
      <c r="C6" s="1719"/>
      <c r="D6" s="1761" t="s">
        <v>397</v>
      </c>
      <c r="E6" s="1761" t="s">
        <v>397</v>
      </c>
      <c r="F6" s="1761" t="s">
        <v>578</v>
      </c>
      <c r="G6" s="1761" t="s">
        <v>578</v>
      </c>
      <c r="H6" s="1761" t="s">
        <v>577</v>
      </c>
      <c r="I6" s="1761" t="s">
        <v>577</v>
      </c>
      <c r="J6" s="1761" t="s">
        <v>576</v>
      </c>
      <c r="K6" s="1761" t="s">
        <v>576</v>
      </c>
      <c r="L6" s="1738" t="s">
        <v>595</v>
      </c>
      <c r="M6" s="1738" t="s">
        <v>595</v>
      </c>
      <c r="N6" s="1756" t="s">
        <v>1460</v>
      </c>
      <c r="O6" s="1756" t="s">
        <v>1460</v>
      </c>
      <c r="P6" s="1761" t="s">
        <v>177</v>
      </c>
      <c r="Q6" s="1761" t="s">
        <v>177</v>
      </c>
      <c r="R6" s="1760"/>
      <c r="S6" s="1760"/>
    </row>
    <row r="7" spans="1:20" ht="85.5" customHeight="1" x14ac:dyDescent="0.2">
      <c r="A7" s="1768"/>
      <c r="B7" s="1609" t="s">
        <v>187</v>
      </c>
      <c r="C7" s="226" t="s">
        <v>245</v>
      </c>
      <c r="D7" s="1761"/>
      <c r="E7" s="1761"/>
      <c r="F7" s="1761"/>
      <c r="G7" s="1761"/>
      <c r="H7" s="1761"/>
      <c r="I7" s="1761"/>
      <c r="J7" s="1761"/>
      <c r="K7" s="1761"/>
      <c r="L7" s="1738"/>
      <c r="M7" s="1738"/>
      <c r="N7" s="1756"/>
      <c r="O7" s="1756"/>
      <c r="P7" s="1761"/>
      <c r="Q7" s="1761"/>
      <c r="R7" s="1760"/>
      <c r="S7" s="1760"/>
    </row>
    <row r="8" spans="1:20" ht="15.75" x14ac:dyDescent="0.2">
      <c r="A8" s="224" t="s">
        <v>188</v>
      </c>
      <c r="B8" s="223" t="s">
        <v>189</v>
      </c>
      <c r="C8" s="223" t="s">
        <v>190</v>
      </c>
      <c r="D8" s="420" t="s">
        <v>191</v>
      </c>
      <c r="E8" s="420" t="s">
        <v>192</v>
      </c>
      <c r="F8" s="420" t="s">
        <v>193</v>
      </c>
      <c r="G8" s="420" t="s">
        <v>194</v>
      </c>
      <c r="H8" s="420" t="s">
        <v>195</v>
      </c>
      <c r="I8" s="420" t="s">
        <v>196</v>
      </c>
      <c r="J8" s="420" t="s">
        <v>197</v>
      </c>
      <c r="K8" s="420" t="s">
        <v>198</v>
      </c>
      <c r="L8" s="420" t="s">
        <v>225</v>
      </c>
      <c r="M8" s="420" t="s">
        <v>226</v>
      </c>
      <c r="N8" s="420" t="s">
        <v>227</v>
      </c>
      <c r="O8" s="420" t="s">
        <v>228</v>
      </c>
      <c r="P8" s="420" t="s">
        <v>229</v>
      </c>
      <c r="Q8" s="420" t="s">
        <v>230</v>
      </c>
      <c r="R8" s="420" t="s">
        <v>231</v>
      </c>
      <c r="S8" s="420" t="s">
        <v>232</v>
      </c>
    </row>
    <row r="9" spans="1:20" ht="21" customHeight="1" x14ac:dyDescent="0.2">
      <c r="A9" s="298" t="s">
        <v>188</v>
      </c>
      <c r="B9" s="299" t="s">
        <v>329</v>
      </c>
      <c r="C9" s="300" t="s">
        <v>199</v>
      </c>
      <c r="D9" s="301"/>
      <c r="E9" s="301"/>
      <c r="F9" s="301">
        <f>34837040-3792000</f>
        <v>31045040</v>
      </c>
      <c r="G9" s="301">
        <f>+F9+750000-40091+40091-220000+220000-556600+556600+400000-490000+490000-92223+487378+2250000+247845+637000-686501-50001-150000-80654+967156+1204244+262358+610000</f>
        <v>37801642</v>
      </c>
      <c r="H9" s="301">
        <f>40900304-4032000</f>
        <v>36868304</v>
      </c>
      <c r="I9" s="301">
        <f>+H9-480000+480000+1050000-876115+876115-164400+164400-60000+60000+700000+900000-170449+170449-60000+60000-100000+100000-1900000-1630000-3878034+3625000+253034-65000+65000-676873-41378+718251+2217256+90000+65000</f>
        <v>38360560</v>
      </c>
      <c r="J9" s="301"/>
      <c r="K9" s="301"/>
      <c r="L9" s="301"/>
      <c r="M9" s="301"/>
      <c r="N9" s="301">
        <f>3792000+4032000</f>
        <v>7824000</v>
      </c>
      <c r="O9" s="301">
        <f>+N9</f>
        <v>7824000</v>
      </c>
      <c r="P9" s="301"/>
      <c r="Q9" s="301"/>
      <c r="R9" s="301">
        <f>D9+F9+H9+J9+L9+P9+N9</f>
        <v>75737344</v>
      </c>
      <c r="S9" s="301">
        <f>E9+G9+I9+K9+M9+Q9+O9</f>
        <v>83986202</v>
      </c>
      <c r="T9" s="240"/>
    </row>
    <row r="10" spans="1:20" ht="21" customHeight="1" x14ac:dyDescent="0.2">
      <c r="A10" s="298" t="s">
        <v>189</v>
      </c>
      <c r="B10" s="302" t="s">
        <v>200</v>
      </c>
      <c r="C10" s="300" t="s">
        <v>201</v>
      </c>
      <c r="D10" s="301"/>
      <c r="E10" s="301"/>
      <c r="F10" s="301">
        <f>4795095-492960</f>
        <v>4302135</v>
      </c>
      <c r="G10" s="301">
        <f>+F10+97500+112000</f>
        <v>4511635</v>
      </c>
      <c r="H10" s="301">
        <f>5663440+220000-524160</f>
        <v>5359280</v>
      </c>
      <c r="I10" s="301">
        <f>+H10+136500+196000+117000</f>
        <v>5808780</v>
      </c>
      <c r="J10" s="301"/>
      <c r="K10" s="301"/>
      <c r="L10" s="301"/>
      <c r="M10" s="301"/>
      <c r="N10" s="301">
        <f>492960+524160</f>
        <v>1017120</v>
      </c>
      <c r="O10" s="301">
        <f>+N10</f>
        <v>1017120</v>
      </c>
      <c r="P10" s="301"/>
      <c r="Q10" s="301"/>
      <c r="R10" s="301">
        <f>D10+F10+H10+J10+L10+P10+N10</f>
        <v>10678535</v>
      </c>
      <c r="S10" s="301">
        <f t="shared" ref="S10:S50" si="0">E10+G10+I10+K10+M10+Q10+O10</f>
        <v>11337535</v>
      </c>
      <c r="T10" s="240"/>
    </row>
    <row r="11" spans="1:20" ht="21" customHeight="1" x14ac:dyDescent="0.2">
      <c r="A11" s="298" t="s">
        <v>190</v>
      </c>
      <c r="B11" s="302" t="s">
        <v>330</v>
      </c>
      <c r="C11" s="300" t="s">
        <v>202</v>
      </c>
      <c r="D11" s="301">
        <v>645098</v>
      </c>
      <c r="E11" s="301">
        <f>+D11</f>
        <v>645098</v>
      </c>
      <c r="F11" s="301">
        <f>+(44268534)+748869+943190</f>
        <v>45960593</v>
      </c>
      <c r="G11" s="301">
        <f>+F11+787402+212598-120000+120000+461755+124674+787402+212598-20000-5400-200000+200000+100000-1000000+1000000+700000-1000000+1000000-500000+500000-535147</f>
        <v>48786475</v>
      </c>
      <c r="H11" s="301">
        <f>+(25755999)+63891+158816</f>
        <v>25978706</v>
      </c>
      <c r="I11" s="301">
        <f>+H11+1053543+600000+646457+60710+16392+787402+212598-500000+2761809+500000-1000000-135000+500000+700000-200000+200000+900000-113350-184321</f>
        <v>32784946</v>
      </c>
      <c r="J11" s="301">
        <v>469900</v>
      </c>
      <c r="K11" s="301">
        <f>+J11</f>
        <v>469900</v>
      </c>
      <c r="L11" s="301"/>
      <c r="M11" s="301"/>
      <c r="N11" s="301"/>
      <c r="O11" s="301"/>
      <c r="P11" s="301">
        <v>127000</v>
      </c>
      <c r="Q11" s="301">
        <f>+P11-82989-23402</f>
        <v>20609</v>
      </c>
      <c r="R11" s="301">
        <f t="shared" ref="R11:R50" si="1">D11+F11+H11+J11+L11+P11</f>
        <v>73181297</v>
      </c>
      <c r="S11" s="301">
        <f t="shared" si="0"/>
        <v>82707028</v>
      </c>
      <c r="T11" s="240"/>
    </row>
    <row r="12" spans="1:20" ht="21" customHeight="1" x14ac:dyDescent="0.2">
      <c r="A12" s="212" t="s">
        <v>191</v>
      </c>
      <c r="B12" s="219" t="s">
        <v>331</v>
      </c>
      <c r="C12" s="214" t="s">
        <v>203</v>
      </c>
      <c r="D12" s="210"/>
      <c r="E12" s="210"/>
      <c r="F12" s="210"/>
      <c r="G12" s="210"/>
      <c r="H12" s="210"/>
      <c r="I12" s="210"/>
      <c r="J12" s="210"/>
      <c r="K12" s="210"/>
      <c r="L12" s="210"/>
      <c r="M12" s="210"/>
      <c r="N12" s="210"/>
      <c r="O12" s="210"/>
      <c r="P12" s="210"/>
      <c r="Q12" s="210"/>
      <c r="R12" s="301">
        <f t="shared" si="1"/>
        <v>0</v>
      </c>
      <c r="S12" s="301">
        <f t="shared" si="0"/>
        <v>0</v>
      </c>
    </row>
    <row r="13" spans="1:20" ht="21" customHeight="1" x14ac:dyDescent="0.2">
      <c r="A13" s="212" t="s">
        <v>192</v>
      </c>
      <c r="B13" s="219" t="s">
        <v>234</v>
      </c>
      <c r="C13" s="214" t="s">
        <v>204</v>
      </c>
      <c r="D13" s="210">
        <f t="shared" ref="D13:Q13" si="2">SUM(D14:D16)</f>
        <v>0</v>
      </c>
      <c r="E13" s="210">
        <f t="shared" si="2"/>
        <v>7115209</v>
      </c>
      <c r="F13" s="210">
        <f t="shared" si="2"/>
        <v>0</v>
      </c>
      <c r="G13" s="210">
        <f t="shared" si="2"/>
        <v>0</v>
      </c>
      <c r="H13" s="210">
        <f t="shared" si="2"/>
        <v>0</v>
      </c>
      <c r="I13" s="210">
        <f t="shared" si="2"/>
        <v>0</v>
      </c>
      <c r="J13" s="210">
        <f t="shared" si="2"/>
        <v>0</v>
      </c>
      <c r="K13" s="210">
        <f t="shared" si="2"/>
        <v>0</v>
      </c>
      <c r="L13" s="210">
        <f t="shared" si="2"/>
        <v>0</v>
      </c>
      <c r="M13" s="210">
        <f t="shared" si="2"/>
        <v>0</v>
      </c>
      <c r="N13" s="210">
        <f t="shared" si="2"/>
        <v>0</v>
      </c>
      <c r="O13" s="210">
        <f t="shared" si="2"/>
        <v>0</v>
      </c>
      <c r="P13" s="210">
        <f t="shared" si="2"/>
        <v>0</v>
      </c>
      <c r="Q13" s="210">
        <f t="shared" si="2"/>
        <v>0</v>
      </c>
      <c r="R13" s="301">
        <f t="shared" si="1"/>
        <v>0</v>
      </c>
      <c r="S13" s="301">
        <f t="shared" si="0"/>
        <v>7115209</v>
      </c>
    </row>
    <row r="14" spans="1:20" ht="21" customHeight="1" x14ac:dyDescent="0.2">
      <c r="A14" s="212" t="s">
        <v>193</v>
      </c>
      <c r="B14" s="221" t="s">
        <v>126</v>
      </c>
      <c r="C14" s="214"/>
      <c r="D14" s="210"/>
      <c r="E14" s="210"/>
      <c r="F14" s="210"/>
      <c r="G14" s="210"/>
      <c r="H14" s="210"/>
      <c r="I14" s="210"/>
      <c r="J14" s="210"/>
      <c r="K14" s="210"/>
      <c r="L14" s="210"/>
      <c r="M14" s="210"/>
      <c r="N14" s="210"/>
      <c r="O14" s="210"/>
      <c r="P14" s="210"/>
      <c r="Q14" s="210"/>
      <c r="R14" s="301">
        <f t="shared" si="1"/>
        <v>0</v>
      </c>
      <c r="S14" s="301">
        <f t="shared" si="0"/>
        <v>0</v>
      </c>
    </row>
    <row r="15" spans="1:20" ht="21" customHeight="1" x14ac:dyDescent="0.2">
      <c r="A15" s="212" t="s">
        <v>194</v>
      </c>
      <c r="B15" s="221" t="s">
        <v>116</v>
      </c>
      <c r="C15" s="216"/>
      <c r="D15" s="210"/>
      <c r="E15" s="210"/>
      <c r="F15" s="210"/>
      <c r="G15" s="210"/>
      <c r="H15" s="210"/>
      <c r="I15" s="210"/>
      <c r="J15" s="210"/>
      <c r="K15" s="210"/>
      <c r="L15" s="210"/>
      <c r="M15" s="210"/>
      <c r="N15" s="210"/>
      <c r="O15" s="210"/>
      <c r="P15" s="210"/>
      <c r="Q15" s="210"/>
      <c r="R15" s="301">
        <f t="shared" si="1"/>
        <v>0</v>
      </c>
      <c r="S15" s="301">
        <f t="shared" si="0"/>
        <v>0</v>
      </c>
    </row>
    <row r="16" spans="1:20" ht="21" customHeight="1" x14ac:dyDescent="0.2">
      <c r="A16" s="212" t="s">
        <v>195</v>
      </c>
      <c r="B16" s="103" t="s">
        <v>549</v>
      </c>
      <c r="C16" s="216"/>
      <c r="D16" s="210"/>
      <c r="E16" s="210">
        <v>7115209</v>
      </c>
      <c r="F16" s="210"/>
      <c r="G16" s="210"/>
      <c r="H16" s="210"/>
      <c r="I16" s="210"/>
      <c r="J16" s="210"/>
      <c r="K16" s="210"/>
      <c r="L16" s="210"/>
      <c r="M16" s="210"/>
      <c r="N16" s="210"/>
      <c r="O16" s="210"/>
      <c r="P16" s="210"/>
      <c r="Q16" s="210"/>
      <c r="R16" s="301">
        <f t="shared" si="1"/>
        <v>0</v>
      </c>
      <c r="S16" s="301">
        <f t="shared" si="0"/>
        <v>7115209</v>
      </c>
    </row>
    <row r="17" spans="1:19" ht="21" customHeight="1" x14ac:dyDescent="0.2">
      <c r="A17" s="212" t="s">
        <v>196</v>
      </c>
      <c r="B17" s="218" t="s">
        <v>241</v>
      </c>
      <c r="C17" s="214" t="s">
        <v>205</v>
      </c>
      <c r="D17" s="210"/>
      <c r="E17" s="210"/>
      <c r="F17" s="210">
        <f>+'6.sz. Beruházások'!D177</f>
        <v>762000</v>
      </c>
      <c r="G17" s="210">
        <f>+F17+393701+106299+20000+5400-31000+31000</f>
        <v>1287400</v>
      </c>
      <c r="H17" s="301">
        <f>+'6.sz. Beruházások'!D178</f>
        <v>1460500</v>
      </c>
      <c r="I17" s="301">
        <f>+H17-300000+300000+500000+135000</f>
        <v>2095500</v>
      </c>
      <c r="J17" s="210">
        <f>+'6.sz. Beruházások'!D179</f>
        <v>127000</v>
      </c>
      <c r="K17" s="210">
        <f>+J17</f>
        <v>127000</v>
      </c>
      <c r="L17" s="210"/>
      <c r="M17" s="210"/>
      <c r="N17" s="210"/>
      <c r="O17" s="210"/>
      <c r="P17" s="210"/>
      <c r="Q17" s="210"/>
      <c r="R17" s="301">
        <f t="shared" si="1"/>
        <v>2349500</v>
      </c>
      <c r="S17" s="301">
        <f t="shared" si="0"/>
        <v>3509900</v>
      </c>
    </row>
    <row r="18" spans="1:19" ht="21" customHeight="1" x14ac:dyDescent="0.2">
      <c r="A18" s="212" t="s">
        <v>197</v>
      </c>
      <c r="B18" s="219" t="s">
        <v>332</v>
      </c>
      <c r="C18" s="214" t="s">
        <v>206</v>
      </c>
      <c r="D18" s="210"/>
      <c r="E18" s="210"/>
      <c r="F18" s="210"/>
      <c r="G18" s="210"/>
      <c r="H18" s="210"/>
      <c r="I18" s="210"/>
      <c r="J18" s="210"/>
      <c r="K18" s="210"/>
      <c r="L18" s="210"/>
      <c r="M18" s="210"/>
      <c r="N18" s="210"/>
      <c r="O18" s="210"/>
      <c r="P18" s="210"/>
      <c r="Q18" s="210"/>
      <c r="R18" s="301">
        <f t="shared" si="1"/>
        <v>0</v>
      </c>
      <c r="S18" s="301">
        <f t="shared" si="0"/>
        <v>0</v>
      </c>
    </row>
    <row r="19" spans="1:19" ht="21" customHeight="1" x14ac:dyDescent="0.2">
      <c r="A19" s="212" t="s">
        <v>198</v>
      </c>
      <c r="B19" s="219" t="s">
        <v>235</v>
      </c>
      <c r="C19" s="214" t="s">
        <v>207</v>
      </c>
      <c r="D19" s="210"/>
      <c r="E19" s="210"/>
      <c r="F19" s="210"/>
      <c r="G19" s="210"/>
      <c r="H19" s="210"/>
      <c r="I19" s="210"/>
      <c r="J19" s="210"/>
      <c r="K19" s="210"/>
      <c r="L19" s="210"/>
      <c r="M19" s="210"/>
      <c r="N19" s="210"/>
      <c r="O19" s="210"/>
      <c r="P19" s="210"/>
      <c r="Q19" s="210"/>
      <c r="R19" s="301">
        <f t="shared" si="1"/>
        <v>0</v>
      </c>
      <c r="S19" s="301">
        <f t="shared" si="0"/>
        <v>0</v>
      </c>
    </row>
    <row r="20" spans="1:19" ht="21" customHeight="1" x14ac:dyDescent="0.2">
      <c r="A20" s="212" t="s">
        <v>225</v>
      </c>
      <c r="B20" s="221" t="s">
        <v>125</v>
      </c>
      <c r="C20" s="214"/>
      <c r="D20" s="210"/>
      <c r="E20" s="210"/>
      <c r="F20" s="210"/>
      <c r="G20" s="210"/>
      <c r="H20" s="210"/>
      <c r="I20" s="210"/>
      <c r="J20" s="210"/>
      <c r="K20" s="210"/>
      <c r="L20" s="210"/>
      <c r="M20" s="210"/>
      <c r="N20" s="210"/>
      <c r="O20" s="210"/>
      <c r="P20" s="210"/>
      <c r="Q20" s="210"/>
      <c r="R20" s="301">
        <f t="shared" si="1"/>
        <v>0</v>
      </c>
      <c r="S20" s="301">
        <f t="shared" si="0"/>
        <v>0</v>
      </c>
    </row>
    <row r="21" spans="1:19" ht="21" customHeight="1" x14ac:dyDescent="0.2">
      <c r="A21" s="212" t="s">
        <v>226</v>
      </c>
      <c r="B21" s="218" t="s">
        <v>236</v>
      </c>
      <c r="C21" s="214" t="s">
        <v>208</v>
      </c>
      <c r="D21" s="213">
        <f t="shared" ref="D21:Q21" si="3">+D9+D10+D11+D12+D13+D17+D18+D19</f>
        <v>645098</v>
      </c>
      <c r="E21" s="213">
        <f t="shared" si="3"/>
        <v>7760307</v>
      </c>
      <c r="F21" s="213">
        <f t="shared" si="3"/>
        <v>82069768</v>
      </c>
      <c r="G21" s="213">
        <f t="shared" si="3"/>
        <v>92387152</v>
      </c>
      <c r="H21" s="213">
        <f t="shared" si="3"/>
        <v>69666790</v>
      </c>
      <c r="I21" s="213">
        <f t="shared" si="3"/>
        <v>79049786</v>
      </c>
      <c r="J21" s="213">
        <f t="shared" si="3"/>
        <v>596900</v>
      </c>
      <c r="K21" s="213">
        <f t="shared" si="3"/>
        <v>596900</v>
      </c>
      <c r="L21" s="213">
        <f t="shared" si="3"/>
        <v>0</v>
      </c>
      <c r="M21" s="213">
        <f t="shared" si="3"/>
        <v>0</v>
      </c>
      <c r="N21" s="213">
        <f t="shared" si="3"/>
        <v>8841120</v>
      </c>
      <c r="O21" s="213">
        <f t="shared" si="3"/>
        <v>8841120</v>
      </c>
      <c r="P21" s="213">
        <f t="shared" si="3"/>
        <v>127000</v>
      </c>
      <c r="Q21" s="213">
        <f t="shared" si="3"/>
        <v>20609</v>
      </c>
      <c r="R21" s="374">
        <f>D21+F21+H21+J21+L21+P21+N21</f>
        <v>161946676</v>
      </c>
      <c r="S21" s="374">
        <f t="shared" si="0"/>
        <v>188655874</v>
      </c>
    </row>
    <row r="22" spans="1:19" ht="21" customHeight="1" x14ac:dyDescent="0.2">
      <c r="A22" s="212" t="s">
        <v>227</v>
      </c>
      <c r="B22" s="218" t="s">
        <v>221</v>
      </c>
      <c r="C22" s="214" t="s">
        <v>217</v>
      </c>
      <c r="D22" s="210">
        <f t="shared" ref="D22:P22" si="4">SUM(D23:D26)</f>
        <v>0</v>
      </c>
      <c r="E22" s="210">
        <f>SUM(E23:E26)</f>
        <v>0</v>
      </c>
      <c r="F22" s="210">
        <f t="shared" si="4"/>
        <v>0</v>
      </c>
      <c r="G22" s="210">
        <f>SUM(G23:G26)</f>
        <v>0</v>
      </c>
      <c r="H22" s="210">
        <f t="shared" si="4"/>
        <v>0</v>
      </c>
      <c r="I22" s="210">
        <f>SUM(I23:I26)</f>
        <v>0</v>
      </c>
      <c r="J22" s="210">
        <f t="shared" si="4"/>
        <v>0</v>
      </c>
      <c r="K22" s="210">
        <f>SUM(K23:K26)</f>
        <v>0</v>
      </c>
      <c r="L22" s="210">
        <f t="shared" si="4"/>
        <v>0</v>
      </c>
      <c r="M22" s="210">
        <f>SUM(M23:M26)</f>
        <v>0</v>
      </c>
      <c r="N22" s="210">
        <f>SUM(N23:N26)</f>
        <v>0</v>
      </c>
      <c r="O22" s="210">
        <f>SUM(O23:O26)</f>
        <v>0</v>
      </c>
      <c r="P22" s="210">
        <f t="shared" si="4"/>
        <v>0</v>
      </c>
      <c r="Q22" s="210">
        <f>SUM(Q23:Q26)</f>
        <v>0</v>
      </c>
      <c r="R22" s="301">
        <f t="shared" si="1"/>
        <v>0</v>
      </c>
      <c r="S22" s="301">
        <f t="shared" si="0"/>
        <v>0</v>
      </c>
    </row>
    <row r="23" spans="1:19" ht="21" customHeight="1" x14ac:dyDescent="0.2">
      <c r="A23" s="212" t="s">
        <v>228</v>
      </c>
      <c r="B23" s="105" t="s">
        <v>183</v>
      </c>
      <c r="C23" s="216"/>
      <c r="D23" s="210"/>
      <c r="E23" s="210"/>
      <c r="F23" s="210"/>
      <c r="G23" s="210"/>
      <c r="H23" s="210"/>
      <c r="I23" s="210"/>
      <c r="J23" s="210"/>
      <c r="K23" s="210"/>
      <c r="L23" s="210"/>
      <c r="M23" s="210"/>
      <c r="N23" s="210"/>
      <c r="O23" s="210"/>
      <c r="P23" s="210"/>
      <c r="Q23" s="210"/>
      <c r="R23" s="301">
        <f t="shared" si="1"/>
        <v>0</v>
      </c>
      <c r="S23" s="301">
        <f t="shared" si="0"/>
        <v>0</v>
      </c>
    </row>
    <row r="24" spans="1:19" ht="21" customHeight="1" x14ac:dyDescent="0.2">
      <c r="A24" s="212" t="s">
        <v>229</v>
      </c>
      <c r="B24" s="217" t="s">
        <v>553</v>
      </c>
      <c r="C24" s="216"/>
      <c r="D24" s="210"/>
      <c r="E24" s="210"/>
      <c r="F24" s="210"/>
      <c r="G24" s="210"/>
      <c r="H24" s="210"/>
      <c r="I24" s="210"/>
      <c r="J24" s="210"/>
      <c r="K24" s="210"/>
      <c r="L24" s="210"/>
      <c r="M24" s="210"/>
      <c r="N24" s="210"/>
      <c r="O24" s="210"/>
      <c r="P24" s="210"/>
      <c r="Q24" s="210"/>
      <c r="R24" s="301">
        <f t="shared" si="1"/>
        <v>0</v>
      </c>
      <c r="S24" s="301">
        <f t="shared" si="0"/>
        <v>0</v>
      </c>
    </row>
    <row r="25" spans="1:19" ht="21" customHeight="1" x14ac:dyDescent="0.2">
      <c r="A25" s="212" t="s">
        <v>230</v>
      </c>
      <c r="B25" s="217" t="s">
        <v>554</v>
      </c>
      <c r="C25" s="216"/>
      <c r="D25" s="210"/>
      <c r="E25" s="210"/>
      <c r="F25" s="210"/>
      <c r="G25" s="210"/>
      <c r="H25" s="210"/>
      <c r="I25" s="210"/>
      <c r="J25" s="210"/>
      <c r="K25" s="210"/>
      <c r="L25" s="210"/>
      <c r="M25" s="210"/>
      <c r="N25" s="210"/>
      <c r="O25" s="210"/>
      <c r="P25" s="210"/>
      <c r="Q25" s="210"/>
      <c r="R25" s="301">
        <f t="shared" si="1"/>
        <v>0</v>
      </c>
      <c r="S25" s="301">
        <f t="shared" si="0"/>
        <v>0</v>
      </c>
    </row>
    <row r="26" spans="1:19" ht="21" customHeight="1" x14ac:dyDescent="0.2">
      <c r="A26" s="212" t="s">
        <v>231</v>
      </c>
      <c r="B26" s="217" t="s">
        <v>127</v>
      </c>
      <c r="C26" s="216"/>
      <c r="D26" s="210"/>
      <c r="E26" s="210"/>
      <c r="F26" s="210"/>
      <c r="G26" s="210"/>
      <c r="H26" s="210"/>
      <c r="I26" s="210"/>
      <c r="J26" s="210"/>
      <c r="K26" s="210"/>
      <c r="L26" s="210"/>
      <c r="M26" s="210"/>
      <c r="N26" s="210"/>
      <c r="O26" s="210"/>
      <c r="P26" s="210"/>
      <c r="Q26" s="210"/>
      <c r="R26" s="301">
        <f t="shared" si="1"/>
        <v>0</v>
      </c>
      <c r="S26" s="301">
        <f t="shared" si="0"/>
        <v>0</v>
      </c>
    </row>
    <row r="27" spans="1:19" ht="21" customHeight="1" x14ac:dyDescent="0.2">
      <c r="A27" s="212" t="s">
        <v>232</v>
      </c>
      <c r="B27" s="267" t="s">
        <v>816</v>
      </c>
      <c r="C27" s="216"/>
      <c r="D27" s="210"/>
      <c r="E27" s="210"/>
      <c r="F27" s="210"/>
      <c r="G27" s="210"/>
      <c r="H27" s="210"/>
      <c r="I27" s="210"/>
      <c r="J27" s="210"/>
      <c r="K27" s="210"/>
      <c r="L27" s="210"/>
      <c r="M27" s="210"/>
      <c r="N27" s="210"/>
      <c r="O27" s="210"/>
      <c r="P27" s="210"/>
      <c r="Q27" s="210"/>
      <c r="R27" s="301">
        <f t="shared" si="1"/>
        <v>0</v>
      </c>
      <c r="S27" s="301">
        <f t="shared" si="0"/>
        <v>0</v>
      </c>
    </row>
    <row r="28" spans="1:19" ht="21" customHeight="1" x14ac:dyDescent="0.2">
      <c r="A28" s="212" t="s">
        <v>233</v>
      </c>
      <c r="B28" s="215" t="s">
        <v>32</v>
      </c>
      <c r="C28" s="214"/>
      <c r="D28" s="213">
        <f t="shared" ref="D28:P28" si="5">+D9+D10+D11+D12+D13+D23+D24</f>
        <v>645098</v>
      </c>
      <c r="E28" s="213">
        <f>+E9+E10+E11+E12+E13+E23+E24</f>
        <v>7760307</v>
      </c>
      <c r="F28" s="213">
        <f t="shared" si="5"/>
        <v>81307768</v>
      </c>
      <c r="G28" s="213">
        <f>+G9+G10+G11+G12+G13+G23+G24</f>
        <v>91099752</v>
      </c>
      <c r="H28" s="213">
        <f t="shared" si="5"/>
        <v>68206290</v>
      </c>
      <c r="I28" s="213">
        <f>+I9+I10+I11+I12+I13+I23+I24</f>
        <v>76954286</v>
      </c>
      <c r="J28" s="213">
        <f t="shared" si="5"/>
        <v>469900</v>
      </c>
      <c r="K28" s="213">
        <f>+K9+K10+K11+K12+K13+K23+K24</f>
        <v>469900</v>
      </c>
      <c r="L28" s="213">
        <f t="shared" si="5"/>
        <v>0</v>
      </c>
      <c r="M28" s="213">
        <f>+M9+M10+M11+M12+M13+M23+M24</f>
        <v>0</v>
      </c>
      <c r="N28" s="213">
        <f>+N9+N10+N11+N12+N13+N23+N24</f>
        <v>8841120</v>
      </c>
      <c r="O28" s="213">
        <f>+O9+O10+O11+O12+O13+O23+O24</f>
        <v>8841120</v>
      </c>
      <c r="P28" s="213">
        <f t="shared" si="5"/>
        <v>127000</v>
      </c>
      <c r="Q28" s="213">
        <f>+Q9+Q10+Q11+Q12+Q13+Q23+Q24</f>
        <v>20609</v>
      </c>
      <c r="R28" s="374">
        <f>D28+F28+H28+J28+L28+P28+N28</f>
        <v>159597176</v>
      </c>
      <c r="S28" s="374">
        <f t="shared" si="0"/>
        <v>185145974</v>
      </c>
    </row>
    <row r="29" spans="1:19" ht="21" customHeight="1" x14ac:dyDescent="0.2">
      <c r="A29" s="212" t="s">
        <v>260</v>
      </c>
      <c r="B29" s="215" t="s">
        <v>33</v>
      </c>
      <c r="C29" s="214"/>
      <c r="D29" s="213">
        <f t="shared" ref="D29:P29" si="6">+D17+D18+D19+D25+D26</f>
        <v>0</v>
      </c>
      <c r="E29" s="213">
        <f>+E17+E18+E19+E25+E26</f>
        <v>0</v>
      </c>
      <c r="F29" s="213">
        <f t="shared" si="6"/>
        <v>762000</v>
      </c>
      <c r="G29" s="213">
        <f>+G17+G18+G19+G25+G26</f>
        <v>1287400</v>
      </c>
      <c r="H29" s="213">
        <f t="shared" si="6"/>
        <v>1460500</v>
      </c>
      <c r="I29" s="213">
        <f>+I17+I18+I19+I25+I26</f>
        <v>2095500</v>
      </c>
      <c r="J29" s="213">
        <f t="shared" si="6"/>
        <v>127000</v>
      </c>
      <c r="K29" s="213">
        <f>+K17+K18+K19+K25+K26</f>
        <v>127000</v>
      </c>
      <c r="L29" s="213">
        <f t="shared" si="6"/>
        <v>0</v>
      </c>
      <c r="M29" s="213">
        <f>+M17+M18+M19+M25+M26</f>
        <v>0</v>
      </c>
      <c r="N29" s="213">
        <f>+N17+N18+N19+N25+N26</f>
        <v>0</v>
      </c>
      <c r="O29" s="213">
        <f>+O17+O18+O19+O25+O26</f>
        <v>0</v>
      </c>
      <c r="P29" s="213">
        <f t="shared" si="6"/>
        <v>0</v>
      </c>
      <c r="Q29" s="213">
        <f>+Q17+Q18+Q19+Q25+Q26</f>
        <v>0</v>
      </c>
      <c r="R29" s="374">
        <f t="shared" si="1"/>
        <v>2349500</v>
      </c>
      <c r="S29" s="374">
        <f t="shared" si="0"/>
        <v>3509900</v>
      </c>
    </row>
    <row r="30" spans="1:19" ht="21" customHeight="1" x14ac:dyDescent="0.2">
      <c r="A30" s="212" t="s">
        <v>261</v>
      </c>
      <c r="B30" s="215" t="s">
        <v>327</v>
      </c>
      <c r="C30" s="214" t="s">
        <v>31</v>
      </c>
      <c r="D30" s="213">
        <f t="shared" ref="D30:P30" si="7">SUM(D28:D29)</f>
        <v>645098</v>
      </c>
      <c r="E30" s="213">
        <f>SUM(E28:E29)</f>
        <v>7760307</v>
      </c>
      <c r="F30" s="213">
        <f t="shared" si="7"/>
        <v>82069768</v>
      </c>
      <c r="G30" s="213">
        <f>SUM(G28:G29)</f>
        <v>92387152</v>
      </c>
      <c r="H30" s="213">
        <f t="shared" si="7"/>
        <v>69666790</v>
      </c>
      <c r="I30" s="213">
        <f>SUM(I28:I29)</f>
        <v>79049786</v>
      </c>
      <c r="J30" s="213">
        <f t="shared" si="7"/>
        <v>596900</v>
      </c>
      <c r="K30" s="213">
        <f>SUM(K28:K29)</f>
        <v>596900</v>
      </c>
      <c r="L30" s="213">
        <f t="shared" si="7"/>
        <v>0</v>
      </c>
      <c r="M30" s="213">
        <f>SUM(M28:M29)</f>
        <v>0</v>
      </c>
      <c r="N30" s="213">
        <f>SUM(N28:N29)</f>
        <v>8841120</v>
      </c>
      <c r="O30" s="213">
        <f>SUM(O28:O29)</f>
        <v>8841120</v>
      </c>
      <c r="P30" s="213">
        <f t="shared" si="7"/>
        <v>127000</v>
      </c>
      <c r="Q30" s="213">
        <f>SUM(Q28:Q29)</f>
        <v>20609</v>
      </c>
      <c r="R30" s="374">
        <f>D30+F30+H30+J30+L30+P30+N30</f>
        <v>161946676</v>
      </c>
      <c r="S30" s="374">
        <f t="shared" si="0"/>
        <v>188655874</v>
      </c>
    </row>
    <row r="31" spans="1:19" ht="21" customHeight="1" x14ac:dyDescent="0.2">
      <c r="A31" s="212" t="s">
        <v>262</v>
      </c>
      <c r="B31" s="220" t="s">
        <v>52</v>
      </c>
      <c r="C31" s="218" t="s">
        <v>209</v>
      </c>
      <c r="D31" s="210"/>
      <c r="E31" s="210"/>
      <c r="F31" s="210"/>
      <c r="G31" s="210"/>
      <c r="H31" s="210"/>
      <c r="I31" s="210"/>
      <c r="J31" s="210"/>
      <c r="K31" s="210"/>
      <c r="L31" s="210"/>
      <c r="M31" s="210"/>
      <c r="N31" s="210"/>
      <c r="O31" s="210"/>
      <c r="P31" s="210"/>
      <c r="Q31" s="210"/>
      <c r="R31" s="301">
        <f t="shared" si="1"/>
        <v>0</v>
      </c>
      <c r="S31" s="301">
        <f t="shared" si="0"/>
        <v>0</v>
      </c>
    </row>
    <row r="32" spans="1:19" ht="21" customHeight="1" x14ac:dyDescent="0.2">
      <c r="A32" s="212" t="s">
        <v>263</v>
      </c>
      <c r="B32" s="220" t="s">
        <v>220</v>
      </c>
      <c r="C32" s="218" t="s">
        <v>210</v>
      </c>
      <c r="D32" s="210"/>
      <c r="E32" s="210"/>
      <c r="F32" s="210"/>
      <c r="G32" s="210"/>
      <c r="H32" s="210"/>
      <c r="I32" s="210"/>
      <c r="J32" s="210"/>
      <c r="K32" s="210"/>
      <c r="L32" s="210"/>
      <c r="M32" s="210"/>
      <c r="N32" s="210"/>
      <c r="O32" s="210"/>
      <c r="P32" s="210"/>
      <c r="Q32" s="210"/>
      <c r="R32" s="301">
        <f t="shared" si="1"/>
        <v>0</v>
      </c>
      <c r="S32" s="301">
        <f t="shared" si="0"/>
        <v>0</v>
      </c>
    </row>
    <row r="33" spans="1:19" ht="21" customHeight="1" x14ac:dyDescent="0.2">
      <c r="A33" s="212" t="s">
        <v>264</v>
      </c>
      <c r="B33" s="220" t="s">
        <v>219</v>
      </c>
      <c r="C33" s="218" t="s">
        <v>211</v>
      </c>
      <c r="D33" s="210"/>
      <c r="E33" s="210"/>
      <c r="F33" s="210"/>
      <c r="G33" s="210"/>
      <c r="H33" s="210"/>
      <c r="I33" s="210"/>
      <c r="J33" s="210"/>
      <c r="K33" s="210"/>
      <c r="L33" s="210"/>
      <c r="M33" s="210"/>
      <c r="N33" s="210"/>
      <c r="O33" s="210"/>
      <c r="P33" s="210"/>
      <c r="Q33" s="210"/>
      <c r="R33" s="301">
        <f t="shared" si="1"/>
        <v>0</v>
      </c>
      <c r="S33" s="301">
        <f t="shared" si="0"/>
        <v>0</v>
      </c>
    </row>
    <row r="34" spans="1:19" ht="21" customHeight="1" x14ac:dyDescent="0.2">
      <c r="A34" s="212" t="s">
        <v>265</v>
      </c>
      <c r="B34" s="219" t="s">
        <v>0</v>
      </c>
      <c r="C34" s="218" t="s">
        <v>212</v>
      </c>
      <c r="D34" s="210"/>
      <c r="E34" s="210"/>
      <c r="F34" s="301">
        <v>2540000</v>
      </c>
      <c r="G34" s="301">
        <f>+F34+95000+1000000+586429+1000000+700000-316278-149562-69307</f>
        <v>5386282</v>
      </c>
      <c r="H34" s="301">
        <v>6150100</v>
      </c>
      <c r="I34" s="301">
        <f>+H34+546200+200000+2100000+77102+1000000+800000+500000+1961809+700000+900000-113167-184321</f>
        <v>14637723</v>
      </c>
      <c r="J34" s="210"/>
      <c r="K34" s="210"/>
      <c r="L34" s="210">
        <v>645098</v>
      </c>
      <c r="M34" s="210">
        <f>+L34-641200-3191-707</f>
        <v>0</v>
      </c>
      <c r="N34" s="210"/>
      <c r="O34" s="210"/>
      <c r="P34" s="210">
        <v>127000</v>
      </c>
      <c r="Q34" s="210">
        <f>+P34+3191+707-83140-23434</f>
        <v>24324</v>
      </c>
      <c r="R34" s="301">
        <f t="shared" si="1"/>
        <v>9462198</v>
      </c>
      <c r="S34" s="301">
        <f t="shared" si="0"/>
        <v>20048329</v>
      </c>
    </row>
    <row r="35" spans="1:19" ht="21" customHeight="1" x14ac:dyDescent="0.2">
      <c r="A35" s="212" t="s">
        <v>266</v>
      </c>
      <c r="B35" s="220" t="s">
        <v>242</v>
      </c>
      <c r="C35" s="218" t="s">
        <v>213</v>
      </c>
      <c r="D35" s="210"/>
      <c r="E35" s="210"/>
      <c r="F35" s="210"/>
      <c r="G35" s="210"/>
      <c r="H35" s="210"/>
      <c r="I35" s="210"/>
      <c r="J35" s="210"/>
      <c r="K35" s="210"/>
      <c r="L35" s="210"/>
      <c r="M35" s="210"/>
      <c r="N35" s="210"/>
      <c r="O35" s="210"/>
      <c r="P35" s="210"/>
      <c r="Q35" s="210"/>
      <c r="R35" s="301">
        <f t="shared" si="1"/>
        <v>0</v>
      </c>
      <c r="S35" s="301">
        <f t="shared" si="0"/>
        <v>0</v>
      </c>
    </row>
    <row r="36" spans="1:19" ht="21" customHeight="1" x14ac:dyDescent="0.2">
      <c r="A36" s="212" t="s">
        <v>267</v>
      </c>
      <c r="B36" s="220" t="s">
        <v>237</v>
      </c>
      <c r="C36" s="218" t="s">
        <v>214</v>
      </c>
      <c r="D36" s="210"/>
      <c r="E36" s="210"/>
      <c r="F36" s="210"/>
      <c r="G36" s="210"/>
      <c r="H36" s="210"/>
      <c r="I36" s="210"/>
      <c r="J36" s="210"/>
      <c r="K36" s="210"/>
      <c r="L36" s="210"/>
      <c r="M36" s="210"/>
      <c r="N36" s="210"/>
      <c r="O36" s="210"/>
      <c r="P36" s="210"/>
      <c r="Q36" s="210"/>
      <c r="R36" s="301">
        <f t="shared" si="1"/>
        <v>0</v>
      </c>
      <c r="S36" s="301">
        <f t="shared" si="0"/>
        <v>0</v>
      </c>
    </row>
    <row r="37" spans="1:19" ht="21" customHeight="1" x14ac:dyDescent="0.2">
      <c r="A37" s="212" t="s">
        <v>268</v>
      </c>
      <c r="B37" s="220" t="s">
        <v>238</v>
      </c>
      <c r="C37" s="218" t="s">
        <v>215</v>
      </c>
      <c r="D37" s="210"/>
      <c r="E37" s="210"/>
      <c r="F37" s="210"/>
      <c r="G37" s="210"/>
      <c r="H37" s="210"/>
      <c r="I37" s="210"/>
      <c r="J37" s="210"/>
      <c r="K37" s="210"/>
      <c r="L37" s="210"/>
      <c r="M37" s="210"/>
      <c r="N37" s="210"/>
      <c r="O37" s="210"/>
      <c r="P37" s="210"/>
      <c r="Q37" s="210"/>
      <c r="R37" s="301">
        <f t="shared" si="1"/>
        <v>0</v>
      </c>
      <c r="S37" s="301">
        <f t="shared" si="0"/>
        <v>0</v>
      </c>
    </row>
    <row r="38" spans="1:19" ht="21" customHeight="1" x14ac:dyDescent="0.2">
      <c r="A38" s="212" t="s">
        <v>269</v>
      </c>
      <c r="B38" s="219" t="s">
        <v>239</v>
      </c>
      <c r="C38" s="218" t="s">
        <v>216</v>
      </c>
      <c r="D38" s="213">
        <f t="shared" ref="D38:P38" si="8">+D31+D32+D33+D34+D35+D36+D37</f>
        <v>0</v>
      </c>
      <c r="E38" s="213">
        <f>+E31+E32+E33+E34+E35+E36+E37</f>
        <v>0</v>
      </c>
      <c r="F38" s="213">
        <f t="shared" si="8"/>
        <v>2540000</v>
      </c>
      <c r="G38" s="213">
        <f>+G31+G32+G33+G34+G35+G36+G37</f>
        <v>5386282</v>
      </c>
      <c r="H38" s="213">
        <f t="shared" si="8"/>
        <v>6150100</v>
      </c>
      <c r="I38" s="213">
        <f>+I31+I32+I33+I34+I35+I36+I37</f>
        <v>14637723</v>
      </c>
      <c r="J38" s="213">
        <f t="shared" si="8"/>
        <v>0</v>
      </c>
      <c r="K38" s="213">
        <f>+K31+K32+K33+K34+K35+K36+K37</f>
        <v>0</v>
      </c>
      <c r="L38" s="213">
        <f t="shared" si="8"/>
        <v>645098</v>
      </c>
      <c r="M38" s="213">
        <f>+M31+M32+M33+M34+M35+M36+M37</f>
        <v>0</v>
      </c>
      <c r="N38" s="213">
        <f>+N31+N32+N33+N34+N35+N36+N37</f>
        <v>0</v>
      </c>
      <c r="O38" s="213">
        <f>+O31+O32+O33+O34+O35+O36+O37</f>
        <v>0</v>
      </c>
      <c r="P38" s="213">
        <f t="shared" si="8"/>
        <v>127000</v>
      </c>
      <c r="Q38" s="213">
        <f>+Q31+Q32+Q33+Q34+Q35+Q36+Q37</f>
        <v>24324</v>
      </c>
      <c r="R38" s="374">
        <f t="shared" si="1"/>
        <v>9462198</v>
      </c>
      <c r="S38" s="374">
        <f t="shared" si="0"/>
        <v>20048329</v>
      </c>
    </row>
    <row r="39" spans="1:19" ht="21.75" customHeight="1" x14ac:dyDescent="0.2">
      <c r="A39" s="212" t="s">
        <v>270</v>
      </c>
      <c r="B39" s="218" t="s">
        <v>240</v>
      </c>
      <c r="C39" s="214" t="s">
        <v>218</v>
      </c>
      <c r="D39" s="210">
        <f t="shared" ref="D39:P39" si="9">SUM(D41:D45)</f>
        <v>152484478</v>
      </c>
      <c r="E39" s="210">
        <f>SUM(E41:E45)</f>
        <v>168607545</v>
      </c>
      <c r="F39" s="210">
        <f t="shared" si="9"/>
        <v>0</v>
      </c>
      <c r="G39" s="210">
        <f>SUM(G41:G45)</f>
        <v>0</v>
      </c>
      <c r="H39" s="210">
        <f t="shared" si="9"/>
        <v>0</v>
      </c>
      <c r="I39" s="210">
        <f>SUM(I41:I45)</f>
        <v>0</v>
      </c>
      <c r="J39" s="210">
        <f t="shared" si="9"/>
        <v>0</v>
      </c>
      <c r="K39" s="210">
        <f>SUM(K41:K45)</f>
        <v>0</v>
      </c>
      <c r="L39" s="210">
        <f t="shared" si="9"/>
        <v>0</v>
      </c>
      <c r="M39" s="210">
        <f>SUM(M41:M45)</f>
        <v>0</v>
      </c>
      <c r="N39" s="210">
        <f>SUM(N41:N45)</f>
        <v>0</v>
      </c>
      <c r="O39" s="210">
        <f>SUM(O41:O45)</f>
        <v>0</v>
      </c>
      <c r="P39" s="210">
        <f t="shared" si="9"/>
        <v>0</v>
      </c>
      <c r="Q39" s="210">
        <f>SUM(Q41:Q45)</f>
        <v>0</v>
      </c>
      <c r="R39" s="301">
        <f t="shared" si="1"/>
        <v>152484478</v>
      </c>
      <c r="S39" s="301">
        <f t="shared" si="0"/>
        <v>168607545</v>
      </c>
    </row>
    <row r="40" spans="1:19" ht="21.75" customHeight="1" x14ac:dyDescent="0.2">
      <c r="A40" s="212" t="s">
        <v>271</v>
      </c>
      <c r="B40" s="105" t="s">
        <v>575</v>
      </c>
      <c r="C40" s="214"/>
      <c r="D40" s="210"/>
      <c r="E40" s="210"/>
      <c r="F40" s="210"/>
      <c r="G40" s="210"/>
      <c r="H40" s="210"/>
      <c r="I40" s="210"/>
      <c r="J40" s="210"/>
      <c r="K40" s="210"/>
      <c r="L40" s="210"/>
      <c r="M40" s="210"/>
      <c r="N40" s="210"/>
      <c r="O40" s="210"/>
      <c r="P40" s="210"/>
      <c r="Q40" s="210"/>
      <c r="R40" s="301">
        <f t="shared" si="1"/>
        <v>0</v>
      </c>
      <c r="S40" s="301">
        <f t="shared" si="0"/>
        <v>0</v>
      </c>
    </row>
    <row r="41" spans="1:19" ht="21.75" customHeight="1" x14ac:dyDescent="0.2">
      <c r="A41" s="212" t="s">
        <v>272</v>
      </c>
      <c r="B41" s="217" t="s">
        <v>846</v>
      </c>
      <c r="C41" s="216"/>
      <c r="D41" s="210">
        <f>812760+1102006</f>
        <v>1914766</v>
      </c>
      <c r="E41" s="210">
        <f>+D41+7115209</f>
        <v>9029975</v>
      </c>
      <c r="F41" s="210"/>
      <c r="G41" s="210"/>
      <c r="H41" s="210"/>
      <c r="I41" s="210"/>
      <c r="J41" s="210"/>
      <c r="K41" s="210"/>
      <c r="L41" s="210"/>
      <c r="M41" s="210"/>
      <c r="N41" s="210"/>
      <c r="O41" s="210"/>
      <c r="P41" s="210"/>
      <c r="Q41" s="210"/>
      <c r="R41" s="301">
        <f t="shared" si="1"/>
        <v>1914766</v>
      </c>
      <c r="S41" s="301">
        <f t="shared" si="0"/>
        <v>9029975</v>
      </c>
    </row>
    <row r="42" spans="1:19" ht="21.75" customHeight="1" x14ac:dyDescent="0.2">
      <c r="A42" s="212" t="s">
        <v>276</v>
      </c>
      <c r="B42" s="217" t="s">
        <v>847</v>
      </c>
      <c r="C42" s="216"/>
      <c r="D42" s="210"/>
      <c r="E42" s="210"/>
      <c r="F42" s="210"/>
      <c r="G42" s="210"/>
      <c r="H42" s="210"/>
      <c r="I42" s="210"/>
      <c r="J42" s="210"/>
      <c r="K42" s="210"/>
      <c r="L42" s="210"/>
      <c r="M42" s="210"/>
      <c r="N42" s="210"/>
      <c r="O42" s="210"/>
      <c r="P42" s="210"/>
      <c r="Q42" s="210"/>
      <c r="R42" s="301">
        <f t="shared" si="1"/>
        <v>0</v>
      </c>
      <c r="S42" s="301">
        <f t="shared" si="0"/>
        <v>0</v>
      </c>
    </row>
    <row r="43" spans="1:19" ht="21.75" customHeight="1" x14ac:dyDescent="0.2">
      <c r="A43" s="212" t="s">
        <v>277</v>
      </c>
      <c r="B43" s="217" t="s">
        <v>539</v>
      </c>
      <c r="C43" s="216"/>
      <c r="D43" s="210">
        <f>R28-R31-R33-R34-R36-R41</f>
        <v>148220212</v>
      </c>
      <c r="E43" s="210">
        <f>S28-S31-S33-S34-S36-S41</f>
        <v>156067670</v>
      </c>
      <c r="F43" s="210"/>
      <c r="G43" s="210"/>
      <c r="H43" s="210"/>
      <c r="I43" s="210"/>
      <c r="J43" s="210"/>
      <c r="K43" s="210"/>
      <c r="L43" s="210"/>
      <c r="M43" s="210"/>
      <c r="N43" s="210"/>
      <c r="O43" s="210"/>
      <c r="P43" s="210"/>
      <c r="Q43" s="210"/>
      <c r="R43" s="301">
        <f t="shared" si="1"/>
        <v>148220212</v>
      </c>
      <c r="S43" s="301">
        <f t="shared" si="0"/>
        <v>156067670</v>
      </c>
    </row>
    <row r="44" spans="1:19" ht="21.75" customHeight="1" x14ac:dyDescent="0.2">
      <c r="A44" s="212" t="s">
        <v>278</v>
      </c>
      <c r="B44" s="217" t="s">
        <v>540</v>
      </c>
      <c r="C44" s="216"/>
      <c r="D44" s="210">
        <f>R29-R32-R35-R37-R42</f>
        <v>2349500</v>
      </c>
      <c r="E44" s="210">
        <f>S29-S32-S35-S37-S42</f>
        <v>3509900</v>
      </c>
      <c r="F44" s="210"/>
      <c r="G44" s="210"/>
      <c r="H44" s="210"/>
      <c r="I44" s="210"/>
      <c r="J44" s="210"/>
      <c r="K44" s="210"/>
      <c r="L44" s="210"/>
      <c r="M44" s="210"/>
      <c r="N44" s="210"/>
      <c r="O44" s="210"/>
      <c r="P44" s="210"/>
      <c r="Q44" s="210"/>
      <c r="R44" s="301">
        <f t="shared" si="1"/>
        <v>2349500</v>
      </c>
      <c r="S44" s="301">
        <f t="shared" si="0"/>
        <v>3509900</v>
      </c>
    </row>
    <row r="45" spans="1:19" ht="21.75" customHeight="1" x14ac:dyDescent="0.2">
      <c r="A45" s="212" t="s">
        <v>279</v>
      </c>
      <c r="B45" s="105" t="s">
        <v>574</v>
      </c>
      <c r="C45" s="216"/>
      <c r="D45" s="210"/>
      <c r="E45" s="210"/>
      <c r="F45" s="210"/>
      <c r="G45" s="210"/>
      <c r="H45" s="210"/>
      <c r="I45" s="210"/>
      <c r="J45" s="210"/>
      <c r="K45" s="210"/>
      <c r="L45" s="210"/>
      <c r="M45" s="210"/>
      <c r="N45" s="210"/>
      <c r="O45" s="210"/>
      <c r="P45" s="210"/>
      <c r="Q45" s="210"/>
      <c r="R45" s="301">
        <f t="shared" si="1"/>
        <v>0</v>
      </c>
      <c r="S45" s="301">
        <f t="shared" si="0"/>
        <v>0</v>
      </c>
    </row>
    <row r="46" spans="1:19" ht="21.75" customHeight="1" x14ac:dyDescent="0.2">
      <c r="A46" s="212" t="s">
        <v>280</v>
      </c>
      <c r="B46" s="267" t="s">
        <v>815</v>
      </c>
      <c r="C46" s="216"/>
      <c r="D46" s="210"/>
      <c r="E46" s="210"/>
      <c r="F46" s="210"/>
      <c r="G46" s="210"/>
      <c r="H46" s="210"/>
      <c r="I46" s="210"/>
      <c r="J46" s="210"/>
      <c r="K46" s="210"/>
      <c r="L46" s="210"/>
      <c r="M46" s="210"/>
      <c r="N46" s="210"/>
      <c r="O46" s="210"/>
      <c r="P46" s="210"/>
      <c r="Q46" s="210"/>
      <c r="R46" s="301">
        <f t="shared" si="1"/>
        <v>0</v>
      </c>
      <c r="S46" s="301">
        <f t="shared" si="0"/>
        <v>0</v>
      </c>
    </row>
    <row r="47" spans="1:19" ht="21.75" customHeight="1" x14ac:dyDescent="0.2">
      <c r="A47" s="212" t="s">
        <v>281</v>
      </c>
      <c r="B47" s="215" t="s">
        <v>113</v>
      </c>
      <c r="C47" s="214"/>
      <c r="D47" s="213">
        <f t="shared" ref="D47:Q47" si="10">+D31+D33+D34+D36+D41+D43</f>
        <v>150134978</v>
      </c>
      <c r="E47" s="213">
        <f t="shared" si="10"/>
        <v>165097645</v>
      </c>
      <c r="F47" s="213">
        <f t="shared" si="10"/>
        <v>2540000</v>
      </c>
      <c r="G47" s="213">
        <f t="shared" si="10"/>
        <v>5386282</v>
      </c>
      <c r="H47" s="213">
        <f t="shared" si="10"/>
        <v>6150100</v>
      </c>
      <c r="I47" s="213">
        <f t="shared" si="10"/>
        <v>14637723</v>
      </c>
      <c r="J47" s="213">
        <f t="shared" si="10"/>
        <v>0</v>
      </c>
      <c r="K47" s="213">
        <f t="shared" si="10"/>
        <v>0</v>
      </c>
      <c r="L47" s="213">
        <f t="shared" si="10"/>
        <v>645098</v>
      </c>
      <c r="M47" s="213">
        <f t="shared" si="10"/>
        <v>0</v>
      </c>
      <c r="N47" s="213">
        <f t="shared" si="10"/>
        <v>0</v>
      </c>
      <c r="O47" s="213">
        <f t="shared" si="10"/>
        <v>0</v>
      </c>
      <c r="P47" s="213">
        <f t="shared" si="10"/>
        <v>127000</v>
      </c>
      <c r="Q47" s="213">
        <f t="shared" si="10"/>
        <v>24324</v>
      </c>
      <c r="R47" s="374">
        <f>D47+F47+H47+J47+L47+P47</f>
        <v>159597176</v>
      </c>
      <c r="S47" s="374">
        <f t="shared" si="0"/>
        <v>185145974</v>
      </c>
    </row>
    <row r="48" spans="1:19" ht="21.75" customHeight="1" x14ac:dyDescent="0.2">
      <c r="A48" s="212" t="s">
        <v>282</v>
      </c>
      <c r="B48" s="215" t="s">
        <v>114</v>
      </c>
      <c r="C48" s="214"/>
      <c r="D48" s="213">
        <f t="shared" ref="D48:Q48" si="11">+D32+D35+D37+D42+D429+D45+D44</f>
        <v>2349500</v>
      </c>
      <c r="E48" s="213">
        <f t="shared" si="11"/>
        <v>3509900</v>
      </c>
      <c r="F48" s="213">
        <f t="shared" si="11"/>
        <v>0</v>
      </c>
      <c r="G48" s="213">
        <f t="shared" si="11"/>
        <v>0</v>
      </c>
      <c r="H48" s="213">
        <f t="shared" si="11"/>
        <v>0</v>
      </c>
      <c r="I48" s="213">
        <f t="shared" si="11"/>
        <v>0</v>
      </c>
      <c r="J48" s="213">
        <f t="shared" si="11"/>
        <v>0</v>
      </c>
      <c r="K48" s="213">
        <f t="shared" si="11"/>
        <v>0</v>
      </c>
      <c r="L48" s="213">
        <f t="shared" si="11"/>
        <v>0</v>
      </c>
      <c r="M48" s="213">
        <f t="shared" si="11"/>
        <v>0</v>
      </c>
      <c r="N48" s="213">
        <f t="shared" si="11"/>
        <v>0</v>
      </c>
      <c r="O48" s="213">
        <f t="shared" si="11"/>
        <v>0</v>
      </c>
      <c r="P48" s="213">
        <f t="shared" si="11"/>
        <v>0</v>
      </c>
      <c r="Q48" s="213">
        <f t="shared" si="11"/>
        <v>0</v>
      </c>
      <c r="R48" s="374">
        <f>D48+F48+H48+J48+L48+P48</f>
        <v>2349500</v>
      </c>
      <c r="S48" s="374">
        <f t="shared" si="0"/>
        <v>3509900</v>
      </c>
    </row>
    <row r="49" spans="1:19" ht="21.75" customHeight="1" x14ac:dyDescent="0.2">
      <c r="A49" s="212" t="s">
        <v>283</v>
      </c>
      <c r="B49" s="215" t="s">
        <v>328</v>
      </c>
      <c r="C49" s="214"/>
      <c r="D49" s="213">
        <f t="shared" ref="D49:Q49" si="12">+D47+D48</f>
        <v>152484478</v>
      </c>
      <c r="E49" s="213">
        <f t="shared" si="12"/>
        <v>168607545</v>
      </c>
      <c r="F49" s="213">
        <f t="shared" si="12"/>
        <v>2540000</v>
      </c>
      <c r="G49" s="213">
        <f t="shared" si="12"/>
        <v>5386282</v>
      </c>
      <c r="H49" s="213">
        <f t="shared" si="12"/>
        <v>6150100</v>
      </c>
      <c r="I49" s="213">
        <f t="shared" si="12"/>
        <v>14637723</v>
      </c>
      <c r="J49" s="213">
        <f t="shared" si="12"/>
        <v>0</v>
      </c>
      <c r="K49" s="213">
        <f t="shared" si="12"/>
        <v>0</v>
      </c>
      <c r="L49" s="213">
        <f t="shared" si="12"/>
        <v>645098</v>
      </c>
      <c r="M49" s="213">
        <f t="shared" si="12"/>
        <v>0</v>
      </c>
      <c r="N49" s="213">
        <f t="shared" si="12"/>
        <v>0</v>
      </c>
      <c r="O49" s="213">
        <f t="shared" si="12"/>
        <v>0</v>
      </c>
      <c r="P49" s="213">
        <f t="shared" si="12"/>
        <v>127000</v>
      </c>
      <c r="Q49" s="213">
        <f t="shared" si="12"/>
        <v>24324</v>
      </c>
      <c r="R49" s="374">
        <f>D49+F49+H49+J49+L49+P49</f>
        <v>161946676</v>
      </c>
      <c r="S49" s="374">
        <f t="shared" si="0"/>
        <v>188655874</v>
      </c>
    </row>
    <row r="50" spans="1:19" ht="21.75" customHeight="1" x14ac:dyDescent="0.2">
      <c r="A50" s="212" t="s">
        <v>284</v>
      </c>
      <c r="B50" s="414" t="s">
        <v>437</v>
      </c>
      <c r="C50" s="211"/>
      <c r="D50" s="210"/>
      <c r="E50" s="210"/>
      <c r="F50" s="210">
        <v>4</v>
      </c>
      <c r="G50" s="210">
        <f>+F50</f>
        <v>4</v>
      </c>
      <c r="H50" s="210">
        <v>7</v>
      </c>
      <c r="I50" s="210">
        <v>8</v>
      </c>
      <c r="J50" s="210"/>
      <c r="K50" s="210"/>
      <c r="L50" s="210"/>
      <c r="M50" s="210"/>
      <c r="N50" s="210"/>
      <c r="O50" s="210"/>
      <c r="P50" s="210"/>
      <c r="Q50" s="210"/>
      <c r="R50" s="301">
        <f t="shared" si="1"/>
        <v>11</v>
      </c>
      <c r="S50" s="301">
        <f t="shared" si="0"/>
        <v>12</v>
      </c>
    </row>
    <row r="51" spans="1:19" ht="21.75" customHeight="1" x14ac:dyDescent="0.2">
      <c r="A51" s="212" t="s">
        <v>285</v>
      </c>
      <c r="B51" s="55" t="s">
        <v>1346</v>
      </c>
      <c r="C51" s="211"/>
      <c r="D51" s="210"/>
      <c r="E51" s="210"/>
      <c r="F51" s="210"/>
      <c r="G51" s="210"/>
      <c r="H51" s="210"/>
      <c r="I51" s="210"/>
      <c r="J51" s="210"/>
      <c r="K51" s="210"/>
      <c r="L51" s="210"/>
      <c r="M51" s="210"/>
      <c r="N51" s="210"/>
      <c r="O51" s="210"/>
      <c r="P51" s="210"/>
      <c r="Q51" s="210"/>
      <c r="R51" s="210"/>
      <c r="S51" s="301"/>
    </row>
  </sheetData>
  <mergeCells count="25">
    <mergeCell ref="A2:C3"/>
    <mergeCell ref="A4:A7"/>
    <mergeCell ref="B4:C4"/>
    <mergeCell ref="R4:R7"/>
    <mergeCell ref="H6:H7"/>
    <mergeCell ref="B5:C5"/>
    <mergeCell ref="L6:L7"/>
    <mergeCell ref="B6:C6"/>
    <mergeCell ref="F6:F7"/>
    <mergeCell ref="P6:P7"/>
    <mergeCell ref="N6:N7"/>
    <mergeCell ref="D2:G2"/>
    <mergeCell ref="E6:E7"/>
    <mergeCell ref="G6:G7"/>
    <mergeCell ref="H2:K2"/>
    <mergeCell ref="I6:I7"/>
    <mergeCell ref="P2:S2"/>
    <mergeCell ref="S4:S7"/>
    <mergeCell ref="Q6:Q7"/>
    <mergeCell ref="K6:K7"/>
    <mergeCell ref="D6:D7"/>
    <mergeCell ref="J6:J7"/>
    <mergeCell ref="L2:O2"/>
    <mergeCell ref="M6:M7"/>
    <mergeCell ref="O6:O7"/>
  </mergeCells>
  <printOptions horizontalCentered="1" verticalCentered="1"/>
  <pageMargins left="0.31496062992125984" right="0.31496062992125984" top="0.15748031496062992" bottom="0.15748031496062992" header="0.31496062992125984" footer="0.31496062992125984"/>
  <pageSetup paperSize="9" scale="55" orientation="portrait" r:id="rId1"/>
  <headerFooter>
    <oddHeader>&amp;C2023. évi költségvetés 
&amp;R&amp;A</oddHeader>
    <oddFooter>&amp;C&amp;P/&amp;N</oddFooter>
  </headerFooter>
  <colBreaks count="3" manualBreakCount="3">
    <brk id="7" max="50" man="1"/>
    <brk id="11" max="50" man="1"/>
    <brk id="15" max="5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R51"/>
  <sheetViews>
    <sheetView view="pageBreakPreview" zoomScale="80" zoomScaleNormal="70" zoomScaleSheetLayoutView="80" workbookViewId="0">
      <pane xSplit="3" ySplit="8" topLeftCell="G12" activePane="bottomRight" state="frozen"/>
      <selection pane="topRight" activeCell="D1" sqref="D1"/>
      <selection pane="bottomLeft" activeCell="A8" sqref="A8"/>
      <selection pane="bottomRight" activeCell="G11" sqref="G11"/>
    </sheetView>
  </sheetViews>
  <sheetFormatPr defaultRowHeight="12.75" x14ac:dyDescent="0.2"/>
  <cols>
    <col min="1" max="1" width="6.5703125" customWidth="1"/>
    <col min="2" max="2" width="70.5703125" bestFit="1" customWidth="1"/>
    <col min="4" max="4" width="18.42578125" customWidth="1"/>
    <col min="5" max="5" width="17.7109375" customWidth="1"/>
    <col min="6" max="6" width="18.42578125" customWidth="1"/>
    <col min="7" max="7" width="17.85546875" customWidth="1"/>
    <col min="8" max="13" width="18.140625" customWidth="1"/>
    <col min="14" max="14" width="19.28515625" customWidth="1"/>
    <col min="15" max="15" width="17.42578125" customWidth="1"/>
    <col min="16" max="16" width="20.7109375" customWidth="1"/>
    <col min="17" max="17" width="22" customWidth="1"/>
  </cols>
  <sheetData>
    <row r="1" spans="1:18" ht="18.75" customHeight="1" x14ac:dyDescent="0.2">
      <c r="A1" s="230"/>
      <c r="B1" s="230"/>
      <c r="C1" s="236"/>
      <c r="D1" s="228"/>
      <c r="E1" s="228"/>
      <c r="F1" s="228"/>
      <c r="G1" s="375" t="s">
        <v>431</v>
      </c>
      <c r="H1" s="227"/>
      <c r="I1" s="227"/>
      <c r="K1" s="375" t="s">
        <v>431</v>
      </c>
      <c r="L1" s="227"/>
      <c r="M1" s="227"/>
      <c r="N1" s="228"/>
      <c r="O1" s="375" t="s">
        <v>431</v>
      </c>
      <c r="Q1" s="958" t="s">
        <v>431</v>
      </c>
    </row>
    <row r="2" spans="1:18" ht="30" customHeight="1" x14ac:dyDescent="0.2">
      <c r="A2" s="1762" t="s">
        <v>137</v>
      </c>
      <c r="B2" s="1763"/>
      <c r="C2" s="1764"/>
      <c r="D2" s="1757" t="s">
        <v>2751</v>
      </c>
      <c r="E2" s="1758"/>
      <c r="F2" s="1758"/>
      <c r="G2" s="1759"/>
      <c r="H2" s="1757" t="s">
        <v>2751</v>
      </c>
      <c r="I2" s="1758"/>
      <c r="J2" s="1758"/>
      <c r="K2" s="1759"/>
      <c r="L2" s="1757" t="s">
        <v>2751</v>
      </c>
      <c r="M2" s="1758"/>
      <c r="N2" s="1758"/>
      <c r="O2" s="1759"/>
      <c r="P2" s="1757" t="s">
        <v>2751</v>
      </c>
      <c r="Q2" s="1759"/>
    </row>
    <row r="3" spans="1:18" ht="37.5" customHeight="1" x14ac:dyDescent="0.2">
      <c r="A3" s="1765"/>
      <c r="B3" s="1766"/>
      <c r="C3" s="1767"/>
      <c r="D3" s="1611" t="s">
        <v>273</v>
      </c>
      <c r="E3" s="1611" t="s">
        <v>1561</v>
      </c>
      <c r="F3" s="1611" t="s">
        <v>273</v>
      </c>
      <c r="G3" s="1611" t="s">
        <v>1561</v>
      </c>
      <c r="H3" s="1611" t="s">
        <v>273</v>
      </c>
      <c r="I3" s="1611" t="s">
        <v>1561</v>
      </c>
      <c r="J3" s="1611" t="s">
        <v>273</v>
      </c>
      <c r="K3" s="1611" t="s">
        <v>1561</v>
      </c>
      <c r="L3" s="1611" t="s">
        <v>273</v>
      </c>
      <c r="M3" s="1611" t="s">
        <v>1561</v>
      </c>
      <c r="N3" s="1611" t="s">
        <v>273</v>
      </c>
      <c r="O3" s="1611" t="s">
        <v>1561</v>
      </c>
      <c r="P3" s="1611" t="s">
        <v>273</v>
      </c>
      <c r="Q3" s="1611" t="s">
        <v>1561</v>
      </c>
    </row>
    <row r="4" spans="1:18" ht="124.5" customHeight="1" x14ac:dyDescent="0.2">
      <c r="A4" s="1768" t="s">
        <v>186</v>
      </c>
      <c r="B4" s="1769" t="s">
        <v>244</v>
      </c>
      <c r="C4" s="1769"/>
      <c r="D4" s="1612" t="s">
        <v>486</v>
      </c>
      <c r="E4" s="1612" t="s">
        <v>486</v>
      </c>
      <c r="F4" s="1612" t="s">
        <v>479</v>
      </c>
      <c r="G4" s="1612" t="s">
        <v>479</v>
      </c>
      <c r="H4" s="1612" t="s">
        <v>479</v>
      </c>
      <c r="I4" s="1612" t="s">
        <v>479</v>
      </c>
      <c r="J4" s="373" t="s">
        <v>336</v>
      </c>
      <c r="K4" s="373" t="s">
        <v>336</v>
      </c>
      <c r="L4" s="1612" t="s">
        <v>335</v>
      </c>
      <c r="M4" s="1612" t="s">
        <v>335</v>
      </c>
      <c r="N4" s="1612" t="s">
        <v>335</v>
      </c>
      <c r="O4" s="1612" t="s">
        <v>335</v>
      </c>
      <c r="P4" s="1770" t="s">
        <v>139</v>
      </c>
      <c r="Q4" s="1770" t="s">
        <v>139</v>
      </c>
    </row>
    <row r="5" spans="1:18" ht="27" customHeight="1" x14ac:dyDescent="0.2">
      <c r="A5" s="1768"/>
      <c r="B5" s="1769" t="s">
        <v>11</v>
      </c>
      <c r="C5" s="1769"/>
      <c r="D5" s="1610" t="s">
        <v>222</v>
      </c>
      <c r="E5" s="1610" t="s">
        <v>222</v>
      </c>
      <c r="F5" s="1610" t="s">
        <v>222</v>
      </c>
      <c r="G5" s="1610" t="s">
        <v>222</v>
      </c>
      <c r="H5" s="1610" t="s">
        <v>222</v>
      </c>
      <c r="I5" s="1610" t="s">
        <v>222</v>
      </c>
      <c r="J5" s="1610" t="s">
        <v>222</v>
      </c>
      <c r="K5" s="1610" t="s">
        <v>222</v>
      </c>
      <c r="L5" s="225" t="s">
        <v>222</v>
      </c>
      <c r="M5" s="225" t="s">
        <v>222</v>
      </c>
      <c r="N5" s="225" t="s">
        <v>222</v>
      </c>
      <c r="O5" s="225" t="s">
        <v>222</v>
      </c>
      <c r="P5" s="1760"/>
      <c r="Q5" s="1760"/>
    </row>
    <row r="6" spans="1:18" ht="23.25" customHeight="1" x14ac:dyDescent="0.2">
      <c r="A6" s="1768"/>
      <c r="B6" s="1719" t="s">
        <v>713</v>
      </c>
      <c r="C6" s="1719"/>
      <c r="D6" s="1761" t="s">
        <v>400</v>
      </c>
      <c r="E6" s="1761" t="s">
        <v>400</v>
      </c>
      <c r="F6" s="1761" t="s">
        <v>582</v>
      </c>
      <c r="G6" s="1761" t="s">
        <v>582</v>
      </c>
      <c r="H6" s="1761" t="s">
        <v>581</v>
      </c>
      <c r="I6" s="1761" t="s">
        <v>581</v>
      </c>
      <c r="J6" s="1761" t="s">
        <v>631</v>
      </c>
      <c r="K6" s="1761" t="s">
        <v>631</v>
      </c>
      <c r="L6" s="1771" t="s">
        <v>851</v>
      </c>
      <c r="M6" s="1771" t="s">
        <v>851</v>
      </c>
      <c r="N6" s="1773" t="s">
        <v>500</v>
      </c>
      <c r="O6" s="1773" t="s">
        <v>500</v>
      </c>
      <c r="P6" s="1760"/>
      <c r="Q6" s="1760"/>
    </row>
    <row r="7" spans="1:18" ht="111.75" customHeight="1" x14ac:dyDescent="0.2">
      <c r="A7" s="1768"/>
      <c r="B7" s="1609" t="s">
        <v>187</v>
      </c>
      <c r="C7" s="226" t="s">
        <v>245</v>
      </c>
      <c r="D7" s="1761"/>
      <c r="E7" s="1761"/>
      <c r="F7" s="1761"/>
      <c r="G7" s="1761"/>
      <c r="H7" s="1761"/>
      <c r="I7" s="1761"/>
      <c r="J7" s="1761"/>
      <c r="K7" s="1761"/>
      <c r="L7" s="1772"/>
      <c r="M7" s="1772"/>
      <c r="N7" s="1774"/>
      <c r="O7" s="1774"/>
      <c r="P7" s="1760"/>
      <c r="Q7" s="1760"/>
    </row>
    <row r="8" spans="1:18" ht="15.75" x14ac:dyDescent="0.2">
      <c r="A8" s="224" t="s">
        <v>188</v>
      </c>
      <c r="B8" s="223" t="s">
        <v>189</v>
      </c>
      <c r="C8" s="223" t="s">
        <v>190</v>
      </c>
      <c r="D8" s="394" t="s">
        <v>191</v>
      </c>
      <c r="E8" s="223" t="s">
        <v>192</v>
      </c>
      <c r="F8" s="394" t="s">
        <v>193</v>
      </c>
      <c r="G8" s="223" t="s">
        <v>194</v>
      </c>
      <c r="H8" s="394" t="s">
        <v>195</v>
      </c>
      <c r="I8" s="223" t="s">
        <v>196</v>
      </c>
      <c r="J8" s="394" t="s">
        <v>197</v>
      </c>
      <c r="K8" s="223" t="s">
        <v>198</v>
      </c>
      <c r="L8" s="394" t="s">
        <v>225</v>
      </c>
      <c r="M8" s="223" t="s">
        <v>226</v>
      </c>
      <c r="N8" s="394" t="s">
        <v>227</v>
      </c>
      <c r="O8" s="223" t="s">
        <v>228</v>
      </c>
      <c r="P8" s="394" t="s">
        <v>229</v>
      </c>
      <c r="Q8" s="223" t="s">
        <v>230</v>
      </c>
    </row>
    <row r="9" spans="1:18" ht="21.75" customHeight="1" x14ac:dyDescent="0.25">
      <c r="A9" s="212" t="s">
        <v>188</v>
      </c>
      <c r="B9" s="222" t="s">
        <v>329</v>
      </c>
      <c r="C9" s="234" t="s">
        <v>199</v>
      </c>
      <c r="D9" s="231"/>
      <c r="E9" s="231"/>
      <c r="F9" s="231">
        <v>193071053</v>
      </c>
      <c r="G9" s="231">
        <f>+F9-200000+200000+4200000+1008120-220000+220000-170000+170000-90000+90000+3000000-160000+160000-862142+183500+678642-15283500+14150000+1133500-3485500+293500+3192000</f>
        <v>201279173</v>
      </c>
      <c r="H9" s="231">
        <v>107031113</v>
      </c>
      <c r="I9" s="231">
        <f>+H9-200000+200000+2025000+1008120-75000+75000-460000+60000+400000-440000+40000+400000+1350000-440000+40000+400000-446438+100000+346438-7730000+6950000+430000+350000-260000+160000+100000</f>
        <v>111414233</v>
      </c>
      <c r="J9" s="231"/>
      <c r="K9" s="231"/>
      <c r="L9" s="231"/>
      <c r="M9" s="231"/>
      <c r="N9" s="231"/>
      <c r="O9" s="231"/>
      <c r="P9" s="231">
        <f>D9+F9+H9+J9+N9+L9</f>
        <v>300102166</v>
      </c>
      <c r="Q9" s="231">
        <f>E9+G9+I9+K9+O9+M9</f>
        <v>312693406</v>
      </c>
      <c r="R9" s="240"/>
    </row>
    <row r="10" spans="1:18" ht="21.75" customHeight="1" x14ac:dyDescent="0.25">
      <c r="A10" s="212" t="s">
        <v>189</v>
      </c>
      <c r="B10" s="220" t="s">
        <v>200</v>
      </c>
      <c r="C10" s="234" t="s">
        <v>201</v>
      </c>
      <c r="D10" s="231"/>
      <c r="E10" s="231"/>
      <c r="F10" s="231">
        <f>26359237+3600000+730000</f>
        <v>30689237</v>
      </c>
      <c r="G10" s="231">
        <f>+F10+546000+131056+840000</f>
        <v>32206293</v>
      </c>
      <c r="H10" s="231">
        <v>14596545</v>
      </c>
      <c r="I10" s="231">
        <f>+H10+263250+131056+378000</f>
        <v>15368851</v>
      </c>
      <c r="J10" s="231"/>
      <c r="K10" s="231"/>
      <c r="L10" s="231"/>
      <c r="M10" s="231"/>
      <c r="N10" s="231"/>
      <c r="O10" s="231"/>
      <c r="P10" s="231">
        <f t="shared" ref="P10:P51" si="0">D10+F10+H10+J10+N10+L10</f>
        <v>45285782</v>
      </c>
      <c r="Q10" s="231">
        <f t="shared" ref="Q10:Q51" si="1">E10+G10+I10+K10+O10+M10</f>
        <v>47575144</v>
      </c>
      <c r="R10" s="240"/>
    </row>
    <row r="11" spans="1:18" ht="21.75" customHeight="1" x14ac:dyDescent="0.25">
      <c r="A11" s="212" t="s">
        <v>190</v>
      </c>
      <c r="B11" s="220" t="s">
        <v>330</v>
      </c>
      <c r="C11" s="234" t="s">
        <v>202</v>
      </c>
      <c r="D11" s="231"/>
      <c r="E11" s="231"/>
      <c r="F11" s="231">
        <f>+(38745751)+5000+43970</f>
        <v>38794721</v>
      </c>
      <c r="G11" s="231">
        <f>+F11+3192+83370+22510+3429984+926096+2010016+542704-648701-175150+15000+958600+258822+429704+116020+220000-500000+500000-500000+500000-39110</f>
        <v>46947778</v>
      </c>
      <c r="H11" s="231">
        <f>+(19468581)+35560</f>
        <v>19504141</v>
      </c>
      <c r="I11" s="231">
        <f>+H11+18580+5017+124200+33534+494400+133488</f>
        <v>20313360</v>
      </c>
      <c r="J11" s="231">
        <v>635000</v>
      </c>
      <c r="K11" s="231">
        <f>+J11-77580-100000-51600</f>
        <v>405820</v>
      </c>
      <c r="L11" s="231"/>
      <c r="M11" s="231">
        <f>78740+21260+251969+68031-19483+19483-94691+94691+236220+63780</f>
        <v>720000</v>
      </c>
      <c r="N11" s="231"/>
      <c r="O11" s="231"/>
      <c r="P11" s="231">
        <f>D11+F11+H11+J11+N11+L11</f>
        <v>58933862</v>
      </c>
      <c r="Q11" s="231">
        <f t="shared" si="1"/>
        <v>68386958</v>
      </c>
      <c r="R11" s="240"/>
    </row>
    <row r="12" spans="1:18" ht="21.75" customHeight="1" x14ac:dyDescent="0.25">
      <c r="A12" s="212" t="s">
        <v>191</v>
      </c>
      <c r="B12" s="219" t="s">
        <v>331</v>
      </c>
      <c r="C12" s="234" t="s">
        <v>203</v>
      </c>
      <c r="D12" s="231"/>
      <c r="E12" s="231"/>
      <c r="F12" s="231"/>
      <c r="G12" s="231"/>
      <c r="H12" s="231"/>
      <c r="I12" s="231"/>
      <c r="J12" s="231"/>
      <c r="K12" s="231"/>
      <c r="L12" s="231"/>
      <c r="M12" s="231"/>
      <c r="N12" s="231"/>
      <c r="O12" s="231"/>
      <c r="P12" s="231">
        <f t="shared" si="0"/>
        <v>0</v>
      </c>
      <c r="Q12" s="231">
        <f t="shared" si="1"/>
        <v>0</v>
      </c>
    </row>
    <row r="13" spans="1:18" ht="21.75" customHeight="1" x14ac:dyDescent="0.25">
      <c r="A13" s="212" t="s">
        <v>192</v>
      </c>
      <c r="B13" s="219" t="s">
        <v>234</v>
      </c>
      <c r="C13" s="234" t="s">
        <v>204</v>
      </c>
      <c r="D13" s="231">
        <f t="shared" ref="D13:O13" si="2">SUM(D14:D16)</f>
        <v>0</v>
      </c>
      <c r="E13" s="231">
        <f t="shared" si="2"/>
        <v>10764541</v>
      </c>
      <c r="F13" s="231">
        <f t="shared" si="2"/>
        <v>0</v>
      </c>
      <c r="G13" s="231">
        <f t="shared" si="2"/>
        <v>0</v>
      </c>
      <c r="H13" s="231">
        <f t="shared" si="2"/>
        <v>0</v>
      </c>
      <c r="I13" s="231">
        <f t="shared" si="2"/>
        <v>0</v>
      </c>
      <c r="J13" s="231">
        <f t="shared" si="2"/>
        <v>0</v>
      </c>
      <c r="K13" s="231">
        <f t="shared" si="2"/>
        <v>0</v>
      </c>
      <c r="L13" s="231">
        <f t="shared" si="2"/>
        <v>0</v>
      </c>
      <c r="M13" s="231">
        <f t="shared" si="2"/>
        <v>0</v>
      </c>
      <c r="N13" s="231">
        <f t="shared" si="2"/>
        <v>0</v>
      </c>
      <c r="O13" s="231">
        <f t="shared" si="2"/>
        <v>0</v>
      </c>
      <c r="P13" s="231">
        <f t="shared" si="0"/>
        <v>0</v>
      </c>
      <c r="Q13" s="231">
        <f t="shared" si="1"/>
        <v>10764541</v>
      </c>
    </row>
    <row r="14" spans="1:18" ht="21.75" customHeight="1" x14ac:dyDescent="0.25">
      <c r="A14" s="212" t="s">
        <v>193</v>
      </c>
      <c r="B14" s="221" t="s">
        <v>126</v>
      </c>
      <c r="C14" s="234"/>
      <c r="D14" s="231"/>
      <c r="E14" s="231"/>
      <c r="F14" s="231"/>
      <c r="G14" s="231"/>
      <c r="H14" s="231"/>
      <c r="I14" s="231"/>
      <c r="J14" s="231"/>
      <c r="K14" s="231"/>
      <c r="L14" s="231"/>
      <c r="M14" s="231"/>
      <c r="N14" s="231"/>
      <c r="O14" s="231"/>
      <c r="P14" s="231">
        <f t="shared" si="0"/>
        <v>0</v>
      </c>
      <c r="Q14" s="231">
        <f t="shared" si="1"/>
        <v>0</v>
      </c>
    </row>
    <row r="15" spans="1:18" ht="21.75" customHeight="1" x14ac:dyDescent="0.25">
      <c r="A15" s="212" t="s">
        <v>194</v>
      </c>
      <c r="B15" s="221" t="s">
        <v>116</v>
      </c>
      <c r="C15" s="235"/>
      <c r="D15" s="231"/>
      <c r="E15" s="231"/>
      <c r="F15" s="231"/>
      <c r="G15" s="231"/>
      <c r="H15" s="231"/>
      <c r="I15" s="231"/>
      <c r="J15" s="231"/>
      <c r="K15" s="231"/>
      <c r="L15" s="231"/>
      <c r="M15" s="231"/>
      <c r="N15" s="231"/>
      <c r="O15" s="231"/>
      <c r="P15" s="231">
        <f t="shared" si="0"/>
        <v>0</v>
      </c>
      <c r="Q15" s="231">
        <f t="shared" si="1"/>
        <v>0</v>
      </c>
    </row>
    <row r="16" spans="1:18" ht="21.75" customHeight="1" x14ac:dyDescent="0.25">
      <c r="A16" s="212" t="s">
        <v>195</v>
      </c>
      <c r="B16" s="103" t="s">
        <v>550</v>
      </c>
      <c r="C16" s="235"/>
      <c r="D16" s="231"/>
      <c r="E16" s="231">
        <v>10764541</v>
      </c>
      <c r="F16" s="231"/>
      <c r="G16" s="231"/>
      <c r="H16" s="231"/>
      <c r="I16" s="231"/>
      <c r="J16" s="231"/>
      <c r="K16" s="231"/>
      <c r="L16" s="231"/>
      <c r="M16" s="231"/>
      <c r="N16" s="231"/>
      <c r="O16" s="231"/>
      <c r="P16" s="231">
        <f t="shared" si="0"/>
        <v>0</v>
      </c>
      <c r="Q16" s="231">
        <f t="shared" si="1"/>
        <v>10764541</v>
      </c>
    </row>
    <row r="17" spans="1:17" ht="21.75" customHeight="1" x14ac:dyDescent="0.25">
      <c r="A17" s="212" t="s">
        <v>196</v>
      </c>
      <c r="B17" s="218" t="s">
        <v>241</v>
      </c>
      <c r="C17" s="234" t="s">
        <v>205</v>
      </c>
      <c r="D17" s="231"/>
      <c r="E17" s="231"/>
      <c r="F17" s="231">
        <f>+'6.sz. Beruházások'!D154</f>
        <v>377260</v>
      </c>
      <c r="G17" s="231">
        <f>+F17-7079+7079+648701+175150</f>
        <v>1201111</v>
      </c>
      <c r="H17" s="231">
        <f>+'6.sz. Beruházások'!D155</f>
        <v>317500</v>
      </c>
      <c r="I17" s="231">
        <f>+H17</f>
        <v>317500</v>
      </c>
      <c r="J17" s="231"/>
      <c r="K17" s="231">
        <f>180457+48723</f>
        <v>229180</v>
      </c>
      <c r="L17" s="231"/>
      <c r="M17" s="231"/>
      <c r="N17" s="231"/>
      <c r="O17" s="231"/>
      <c r="P17" s="231">
        <f t="shared" si="0"/>
        <v>694760</v>
      </c>
      <c r="Q17" s="231">
        <f t="shared" si="1"/>
        <v>1747791</v>
      </c>
    </row>
    <row r="18" spans="1:17" ht="21.75" customHeight="1" x14ac:dyDescent="0.25">
      <c r="A18" s="212" t="s">
        <v>197</v>
      </c>
      <c r="B18" s="219" t="s">
        <v>332</v>
      </c>
      <c r="C18" s="234" t="s">
        <v>206</v>
      </c>
      <c r="D18" s="231"/>
      <c r="E18" s="231"/>
      <c r="F18" s="231"/>
      <c r="G18" s="231"/>
      <c r="H18" s="231"/>
      <c r="I18" s="231"/>
      <c r="J18" s="231"/>
      <c r="K18" s="231"/>
      <c r="L18" s="231"/>
      <c r="M18" s="231"/>
      <c r="N18" s="231"/>
      <c r="O18" s="231"/>
      <c r="P18" s="231">
        <f t="shared" si="0"/>
        <v>0</v>
      </c>
      <c r="Q18" s="231">
        <f t="shared" si="1"/>
        <v>0</v>
      </c>
    </row>
    <row r="19" spans="1:17" ht="21.75" customHeight="1" x14ac:dyDescent="0.25">
      <c r="A19" s="212" t="s">
        <v>198</v>
      </c>
      <c r="B19" s="219" t="s">
        <v>235</v>
      </c>
      <c r="C19" s="234" t="s">
        <v>207</v>
      </c>
      <c r="D19" s="231"/>
      <c r="E19" s="231"/>
      <c r="F19" s="231"/>
      <c r="G19" s="231"/>
      <c r="H19" s="231"/>
      <c r="I19" s="231"/>
      <c r="J19" s="231"/>
      <c r="K19" s="231"/>
      <c r="L19" s="231"/>
      <c r="M19" s="231"/>
      <c r="N19" s="231"/>
      <c r="O19" s="231"/>
      <c r="P19" s="231">
        <f t="shared" si="0"/>
        <v>0</v>
      </c>
      <c r="Q19" s="231">
        <f t="shared" si="1"/>
        <v>0</v>
      </c>
    </row>
    <row r="20" spans="1:17" ht="21.75" customHeight="1" x14ac:dyDescent="0.25">
      <c r="A20" s="212" t="s">
        <v>225</v>
      </c>
      <c r="B20" s="221" t="s">
        <v>125</v>
      </c>
      <c r="C20" s="234"/>
      <c r="D20" s="231"/>
      <c r="E20" s="231"/>
      <c r="F20" s="231"/>
      <c r="G20" s="231"/>
      <c r="H20" s="231"/>
      <c r="I20" s="231"/>
      <c r="J20" s="231"/>
      <c r="K20" s="231"/>
      <c r="L20" s="231"/>
      <c r="M20" s="231"/>
      <c r="N20" s="231"/>
      <c r="O20" s="231"/>
      <c r="P20" s="231">
        <f t="shared" si="0"/>
        <v>0</v>
      </c>
      <c r="Q20" s="231">
        <f t="shared" si="1"/>
        <v>0</v>
      </c>
    </row>
    <row r="21" spans="1:17" ht="21.75" customHeight="1" x14ac:dyDescent="0.25">
      <c r="A21" s="212" t="s">
        <v>226</v>
      </c>
      <c r="B21" s="218" t="s">
        <v>236</v>
      </c>
      <c r="C21" s="234" t="s">
        <v>208</v>
      </c>
      <c r="D21" s="233">
        <f t="shared" ref="D21:N21" si="3">+D9+D10+D11+D12+D13+D17+D18+D19</f>
        <v>0</v>
      </c>
      <c r="E21" s="233">
        <f>+E9+E10+E11+E12+E13+E17+E18+E19</f>
        <v>10764541</v>
      </c>
      <c r="F21" s="233">
        <f t="shared" si="3"/>
        <v>262932271</v>
      </c>
      <c r="G21" s="233">
        <f>+G9+G10+G11+G12+G13+G17+G18+G19</f>
        <v>281634355</v>
      </c>
      <c r="H21" s="233">
        <f t="shared" si="3"/>
        <v>141449299</v>
      </c>
      <c r="I21" s="233">
        <f>+I9+I10+I11+I12+I13+I17+I18+I19</f>
        <v>147413944</v>
      </c>
      <c r="J21" s="233">
        <f t="shared" si="3"/>
        <v>635000</v>
      </c>
      <c r="K21" s="233">
        <f>+K9+K10+K11+K12+K13+K17+K18+K19</f>
        <v>635000</v>
      </c>
      <c r="L21" s="233">
        <f t="shared" si="3"/>
        <v>0</v>
      </c>
      <c r="M21" s="233">
        <f>+M9+M10+M11+M12+M13+M17+M18+M19</f>
        <v>720000</v>
      </c>
      <c r="N21" s="233">
        <f t="shared" si="3"/>
        <v>0</v>
      </c>
      <c r="O21" s="233">
        <f>+O9+O10+O11+O12+O13+O17+O18+O19</f>
        <v>0</v>
      </c>
      <c r="P21" s="233">
        <f t="shared" si="0"/>
        <v>405016570</v>
      </c>
      <c r="Q21" s="233">
        <f t="shared" si="1"/>
        <v>441167840</v>
      </c>
    </row>
    <row r="22" spans="1:17" ht="21.75" customHeight="1" x14ac:dyDescent="0.25">
      <c r="A22" s="212" t="s">
        <v>227</v>
      </c>
      <c r="B22" s="218" t="s">
        <v>221</v>
      </c>
      <c r="C22" s="234" t="s">
        <v>217</v>
      </c>
      <c r="D22" s="231">
        <f t="shared" ref="D22:N22" si="4">SUM(D23:D26)</f>
        <v>0</v>
      </c>
      <c r="E22" s="231">
        <f>SUM(E23:E26)</f>
        <v>0</v>
      </c>
      <c r="F22" s="231">
        <f t="shared" si="4"/>
        <v>0</v>
      </c>
      <c r="G22" s="231">
        <f>SUM(G23:G26)</f>
        <v>0</v>
      </c>
      <c r="H22" s="231">
        <f t="shared" si="4"/>
        <v>0</v>
      </c>
      <c r="I22" s="231">
        <f>SUM(I23:I26)</f>
        <v>0</v>
      </c>
      <c r="J22" s="231">
        <f t="shared" si="4"/>
        <v>0</v>
      </c>
      <c r="K22" s="231">
        <f>SUM(K23:K26)</f>
        <v>0</v>
      </c>
      <c r="L22" s="231">
        <f t="shared" si="4"/>
        <v>0</v>
      </c>
      <c r="M22" s="231">
        <f>SUM(M23:M26)</f>
        <v>0</v>
      </c>
      <c r="N22" s="231">
        <f t="shared" si="4"/>
        <v>0</v>
      </c>
      <c r="O22" s="231">
        <f>SUM(O23:O26)</f>
        <v>0</v>
      </c>
      <c r="P22" s="231">
        <f t="shared" si="0"/>
        <v>0</v>
      </c>
      <c r="Q22" s="231">
        <f t="shared" si="1"/>
        <v>0</v>
      </c>
    </row>
    <row r="23" spans="1:17" ht="21.75" customHeight="1" x14ac:dyDescent="0.25">
      <c r="A23" s="212" t="s">
        <v>228</v>
      </c>
      <c r="B23" s="105" t="s">
        <v>183</v>
      </c>
      <c r="C23" s="235"/>
      <c r="D23" s="231"/>
      <c r="E23" s="231"/>
      <c r="F23" s="231"/>
      <c r="G23" s="231"/>
      <c r="H23" s="231"/>
      <c r="I23" s="231"/>
      <c r="J23" s="231"/>
      <c r="K23" s="231"/>
      <c r="L23" s="231"/>
      <c r="M23" s="231"/>
      <c r="N23" s="231"/>
      <c r="O23" s="231"/>
      <c r="P23" s="231">
        <f t="shared" si="0"/>
        <v>0</v>
      </c>
      <c r="Q23" s="231">
        <f t="shared" si="1"/>
        <v>0</v>
      </c>
    </row>
    <row r="24" spans="1:17" ht="21.75" customHeight="1" x14ac:dyDescent="0.25">
      <c r="A24" s="212" t="s">
        <v>229</v>
      </c>
      <c r="B24" s="217" t="s">
        <v>553</v>
      </c>
      <c r="C24" s="235"/>
      <c r="D24" s="231"/>
      <c r="E24" s="231"/>
      <c r="F24" s="231"/>
      <c r="G24" s="231"/>
      <c r="H24" s="231"/>
      <c r="I24" s="231"/>
      <c r="J24" s="231"/>
      <c r="K24" s="231"/>
      <c r="L24" s="231"/>
      <c r="M24" s="231"/>
      <c r="N24" s="231"/>
      <c r="O24" s="231"/>
      <c r="P24" s="231">
        <f t="shared" si="0"/>
        <v>0</v>
      </c>
      <c r="Q24" s="231">
        <f t="shared" si="1"/>
        <v>0</v>
      </c>
    </row>
    <row r="25" spans="1:17" ht="21.75" customHeight="1" x14ac:dyDescent="0.25">
      <c r="A25" s="212" t="s">
        <v>230</v>
      </c>
      <c r="B25" s="217" t="s">
        <v>554</v>
      </c>
      <c r="C25" s="235"/>
      <c r="D25" s="231"/>
      <c r="E25" s="231"/>
      <c r="F25" s="231"/>
      <c r="G25" s="231"/>
      <c r="H25" s="231"/>
      <c r="I25" s="231"/>
      <c r="J25" s="231"/>
      <c r="K25" s="231"/>
      <c r="L25" s="231"/>
      <c r="M25" s="231"/>
      <c r="N25" s="231"/>
      <c r="O25" s="231"/>
      <c r="P25" s="231">
        <f t="shared" si="0"/>
        <v>0</v>
      </c>
      <c r="Q25" s="231">
        <f t="shared" si="1"/>
        <v>0</v>
      </c>
    </row>
    <row r="26" spans="1:17" ht="21.75" customHeight="1" x14ac:dyDescent="0.25">
      <c r="A26" s="212" t="s">
        <v>231</v>
      </c>
      <c r="B26" s="217" t="s">
        <v>127</v>
      </c>
      <c r="C26" s="235"/>
      <c r="D26" s="231"/>
      <c r="E26" s="231"/>
      <c r="F26" s="231"/>
      <c r="G26" s="231"/>
      <c r="H26" s="231"/>
      <c r="I26" s="231"/>
      <c r="J26" s="231"/>
      <c r="K26" s="231"/>
      <c r="L26" s="231"/>
      <c r="M26" s="231"/>
      <c r="N26" s="231"/>
      <c r="O26" s="231"/>
      <c r="P26" s="231">
        <f t="shared" si="0"/>
        <v>0</v>
      </c>
      <c r="Q26" s="231">
        <f t="shared" si="1"/>
        <v>0</v>
      </c>
    </row>
    <row r="27" spans="1:17" ht="21.75" customHeight="1" x14ac:dyDescent="0.25">
      <c r="A27" s="212" t="s">
        <v>232</v>
      </c>
      <c r="B27" s="267" t="s">
        <v>816</v>
      </c>
      <c r="C27" s="235"/>
      <c r="D27" s="231"/>
      <c r="E27" s="231"/>
      <c r="F27" s="231"/>
      <c r="G27" s="231"/>
      <c r="H27" s="231"/>
      <c r="I27" s="231"/>
      <c r="J27" s="231"/>
      <c r="K27" s="231"/>
      <c r="L27" s="231"/>
      <c r="M27" s="231"/>
      <c r="N27" s="231"/>
      <c r="O27" s="231"/>
      <c r="P27" s="231">
        <f t="shared" si="0"/>
        <v>0</v>
      </c>
      <c r="Q27" s="231">
        <f t="shared" si="1"/>
        <v>0</v>
      </c>
    </row>
    <row r="28" spans="1:17" ht="21.75" customHeight="1" x14ac:dyDescent="0.25">
      <c r="A28" s="212" t="s">
        <v>233</v>
      </c>
      <c r="B28" s="215" t="s">
        <v>32</v>
      </c>
      <c r="C28" s="234"/>
      <c r="D28" s="233">
        <f t="shared" ref="D28:N28" si="5">+D9+D10+D11+D12+D13+D23+D24</f>
        <v>0</v>
      </c>
      <c r="E28" s="233">
        <f>+E9+E10+E11+E12+E13+E23+E24</f>
        <v>10764541</v>
      </c>
      <c r="F28" s="233">
        <f t="shared" si="5"/>
        <v>262555011</v>
      </c>
      <c r="G28" s="233">
        <f>+G9+G10+G11+G12+G13+G23+G24</f>
        <v>280433244</v>
      </c>
      <c r="H28" s="233">
        <f t="shared" si="5"/>
        <v>141131799</v>
      </c>
      <c r="I28" s="233">
        <f>+I9+I10+I11+I12+I13+I23+I24</f>
        <v>147096444</v>
      </c>
      <c r="J28" s="233">
        <f>+J9+J10+J11+J12+J13+J23+J24</f>
        <v>635000</v>
      </c>
      <c r="K28" s="233">
        <f>+K9+K10+K11+K12+K13+K23+K24</f>
        <v>405820</v>
      </c>
      <c r="L28" s="233">
        <f t="shared" si="5"/>
        <v>0</v>
      </c>
      <c r="M28" s="233">
        <f>+M9+M10+M11+M12+M13+M23+M24</f>
        <v>720000</v>
      </c>
      <c r="N28" s="233">
        <f t="shared" si="5"/>
        <v>0</v>
      </c>
      <c r="O28" s="233">
        <f>+O9+O10+O11+O12+O13+O23+O24</f>
        <v>0</v>
      </c>
      <c r="P28" s="233">
        <f>D28+F28+H28+J28+N28+L28</f>
        <v>404321810</v>
      </c>
      <c r="Q28" s="233">
        <f t="shared" si="1"/>
        <v>439420049</v>
      </c>
    </row>
    <row r="29" spans="1:17" ht="21.75" customHeight="1" x14ac:dyDescent="0.25">
      <c r="A29" s="212" t="s">
        <v>260</v>
      </c>
      <c r="B29" s="215" t="s">
        <v>33</v>
      </c>
      <c r="C29" s="234"/>
      <c r="D29" s="233">
        <f t="shared" ref="D29:N29" si="6">+D17+D18+D19+D25+D26</f>
        <v>0</v>
      </c>
      <c r="E29" s="233">
        <f>+E17+E18+E19+E25+E26</f>
        <v>0</v>
      </c>
      <c r="F29" s="233">
        <f t="shared" si="6"/>
        <v>377260</v>
      </c>
      <c r="G29" s="233">
        <f>+G17+G18+G19+G25+G26</f>
        <v>1201111</v>
      </c>
      <c r="H29" s="233">
        <f t="shared" si="6"/>
        <v>317500</v>
      </c>
      <c r="I29" s="233">
        <f>+I17+I18+I19+I25+I26</f>
        <v>317500</v>
      </c>
      <c r="J29" s="233">
        <f>+J17+J18+J19+J25+J26</f>
        <v>0</v>
      </c>
      <c r="K29" s="233">
        <f>+K17+K18+K19+K25+K26</f>
        <v>229180</v>
      </c>
      <c r="L29" s="233">
        <f t="shared" si="6"/>
        <v>0</v>
      </c>
      <c r="M29" s="233">
        <f>+M17+M18+M19+M25+M26</f>
        <v>0</v>
      </c>
      <c r="N29" s="233">
        <f t="shared" si="6"/>
        <v>0</v>
      </c>
      <c r="O29" s="233">
        <f>+O17+O18+O19+O25+O26</f>
        <v>0</v>
      </c>
      <c r="P29" s="233">
        <f>D29+F29+H29+J29+N29+L29</f>
        <v>694760</v>
      </c>
      <c r="Q29" s="233">
        <f t="shared" si="1"/>
        <v>1747791</v>
      </c>
    </row>
    <row r="30" spans="1:17" ht="21.75" customHeight="1" x14ac:dyDescent="0.25">
      <c r="A30" s="212" t="s">
        <v>261</v>
      </c>
      <c r="B30" s="215" t="s">
        <v>327</v>
      </c>
      <c r="C30" s="234" t="s">
        <v>31</v>
      </c>
      <c r="D30" s="233">
        <f t="shared" ref="D30:N30" si="7">SUM(D28:D29)</f>
        <v>0</v>
      </c>
      <c r="E30" s="233">
        <f>SUM(E28:E29)</f>
        <v>10764541</v>
      </c>
      <c r="F30" s="233">
        <f t="shared" si="7"/>
        <v>262932271</v>
      </c>
      <c r="G30" s="233">
        <f>SUM(G28:G29)</f>
        <v>281634355</v>
      </c>
      <c r="H30" s="233">
        <f t="shared" si="7"/>
        <v>141449299</v>
      </c>
      <c r="I30" s="233">
        <f>SUM(I28:I29)</f>
        <v>147413944</v>
      </c>
      <c r="J30" s="233">
        <f>SUM(J28:J29)</f>
        <v>635000</v>
      </c>
      <c r="K30" s="233">
        <f>SUM(K28:K29)</f>
        <v>635000</v>
      </c>
      <c r="L30" s="233">
        <f t="shared" si="7"/>
        <v>0</v>
      </c>
      <c r="M30" s="233">
        <f>SUM(M28:M29)</f>
        <v>720000</v>
      </c>
      <c r="N30" s="233">
        <f t="shared" si="7"/>
        <v>0</v>
      </c>
      <c r="O30" s="233">
        <f>SUM(O28:O29)</f>
        <v>0</v>
      </c>
      <c r="P30" s="233">
        <f>D30+F30+H30+J30+N30+L30</f>
        <v>405016570</v>
      </c>
      <c r="Q30" s="233">
        <f t="shared" si="1"/>
        <v>441167840</v>
      </c>
    </row>
    <row r="31" spans="1:17" ht="21.75" customHeight="1" x14ac:dyDescent="0.25">
      <c r="A31" s="212" t="s">
        <v>262</v>
      </c>
      <c r="B31" s="220" t="s">
        <v>52</v>
      </c>
      <c r="C31" s="218" t="s">
        <v>209</v>
      </c>
      <c r="D31" s="231"/>
      <c r="E31" s="231"/>
      <c r="F31" s="231"/>
      <c r="G31" s="231"/>
      <c r="H31" s="231"/>
      <c r="I31" s="231"/>
      <c r="J31" s="231"/>
      <c r="K31" s="231"/>
      <c r="L31" s="231"/>
      <c r="M31" s="231">
        <v>100000</v>
      </c>
      <c r="N31" s="231"/>
      <c r="O31" s="231"/>
      <c r="P31" s="231">
        <f t="shared" si="0"/>
        <v>0</v>
      </c>
      <c r="Q31" s="231">
        <f t="shared" si="1"/>
        <v>100000</v>
      </c>
    </row>
    <row r="32" spans="1:17" ht="21.75" customHeight="1" x14ac:dyDescent="0.25">
      <c r="A32" s="212" t="s">
        <v>263</v>
      </c>
      <c r="B32" s="220" t="s">
        <v>220</v>
      </c>
      <c r="C32" s="218" t="s">
        <v>210</v>
      </c>
      <c r="D32" s="231"/>
      <c r="E32" s="231"/>
      <c r="F32" s="231"/>
      <c r="G32" s="231"/>
      <c r="H32" s="231"/>
      <c r="I32" s="231"/>
      <c r="J32" s="231"/>
      <c r="K32" s="231"/>
      <c r="L32" s="231"/>
      <c r="M32" s="231"/>
      <c r="N32" s="231"/>
      <c r="O32" s="231"/>
      <c r="P32" s="231">
        <f t="shared" si="0"/>
        <v>0</v>
      </c>
      <c r="Q32" s="231">
        <f t="shared" si="1"/>
        <v>0</v>
      </c>
    </row>
    <row r="33" spans="1:17" ht="21.75" customHeight="1" x14ac:dyDescent="0.25">
      <c r="A33" s="212" t="s">
        <v>264</v>
      </c>
      <c r="B33" s="220" t="s">
        <v>219</v>
      </c>
      <c r="C33" s="218" t="s">
        <v>211</v>
      </c>
      <c r="D33" s="231"/>
      <c r="E33" s="231"/>
      <c r="F33" s="231"/>
      <c r="G33" s="231"/>
      <c r="H33" s="231"/>
      <c r="I33" s="231"/>
      <c r="J33" s="231"/>
      <c r="K33" s="231"/>
      <c r="L33" s="231"/>
      <c r="M33" s="231"/>
      <c r="N33" s="231"/>
      <c r="O33" s="231"/>
      <c r="P33" s="231">
        <f t="shared" si="0"/>
        <v>0</v>
      </c>
      <c r="Q33" s="231">
        <f t="shared" si="1"/>
        <v>0</v>
      </c>
    </row>
    <row r="34" spans="1:17" ht="21.75" customHeight="1" x14ac:dyDescent="0.25">
      <c r="A34" s="212" t="s">
        <v>265</v>
      </c>
      <c r="B34" s="219" t="s">
        <v>0</v>
      </c>
      <c r="C34" s="218" t="s">
        <v>212</v>
      </c>
      <c r="D34" s="231"/>
      <c r="E34" s="231"/>
      <c r="F34" s="231">
        <v>20</v>
      </c>
      <c r="G34" s="231">
        <f>+F34+3192+15000+220000-10-39100</f>
        <v>199102</v>
      </c>
      <c r="H34" s="231"/>
      <c r="I34" s="231"/>
      <c r="J34" s="231"/>
      <c r="K34" s="231"/>
      <c r="L34" s="231"/>
      <c r="M34" s="231"/>
      <c r="N34" s="231"/>
      <c r="O34" s="231"/>
      <c r="P34" s="231">
        <f t="shared" si="0"/>
        <v>20</v>
      </c>
      <c r="Q34" s="231">
        <f t="shared" si="1"/>
        <v>199102</v>
      </c>
    </row>
    <row r="35" spans="1:17" ht="21.75" customHeight="1" x14ac:dyDescent="0.25">
      <c r="A35" s="212" t="s">
        <v>266</v>
      </c>
      <c r="B35" s="220" t="s">
        <v>242</v>
      </c>
      <c r="C35" s="218" t="s">
        <v>213</v>
      </c>
      <c r="D35" s="231"/>
      <c r="E35" s="231"/>
      <c r="F35" s="231"/>
      <c r="G35" s="231"/>
      <c r="H35" s="231"/>
      <c r="I35" s="231"/>
      <c r="J35" s="231"/>
      <c r="K35" s="231"/>
      <c r="L35" s="231"/>
      <c r="M35" s="231"/>
      <c r="N35" s="231"/>
      <c r="O35" s="231"/>
      <c r="P35" s="231">
        <f t="shared" si="0"/>
        <v>0</v>
      </c>
      <c r="Q35" s="231">
        <f t="shared" si="1"/>
        <v>0</v>
      </c>
    </row>
    <row r="36" spans="1:17" ht="21.75" customHeight="1" x14ac:dyDescent="0.25">
      <c r="A36" s="212" t="s">
        <v>267</v>
      </c>
      <c r="B36" s="220" t="s">
        <v>237</v>
      </c>
      <c r="C36" s="218" t="s">
        <v>214</v>
      </c>
      <c r="D36" s="231"/>
      <c r="E36" s="231"/>
      <c r="F36" s="231"/>
      <c r="G36" s="231"/>
      <c r="H36" s="231"/>
      <c r="I36" s="231"/>
      <c r="J36" s="231"/>
      <c r="K36" s="231"/>
      <c r="L36" s="231"/>
      <c r="M36" s="231"/>
      <c r="N36" s="231"/>
      <c r="O36" s="231"/>
      <c r="P36" s="231">
        <f t="shared" si="0"/>
        <v>0</v>
      </c>
      <c r="Q36" s="231">
        <f t="shared" si="1"/>
        <v>0</v>
      </c>
    </row>
    <row r="37" spans="1:17" ht="21.75" customHeight="1" x14ac:dyDescent="0.25">
      <c r="A37" s="212" t="s">
        <v>268</v>
      </c>
      <c r="B37" s="220" t="s">
        <v>238</v>
      </c>
      <c r="C37" s="218" t="s">
        <v>215</v>
      </c>
      <c r="D37" s="231"/>
      <c r="E37" s="231"/>
      <c r="F37" s="231"/>
      <c r="G37" s="231"/>
      <c r="H37" s="231"/>
      <c r="I37" s="231"/>
      <c r="J37" s="231"/>
      <c r="K37" s="231"/>
      <c r="L37" s="231"/>
      <c r="M37" s="231"/>
      <c r="N37" s="231"/>
      <c r="O37" s="231"/>
      <c r="P37" s="231">
        <f t="shared" si="0"/>
        <v>0</v>
      </c>
      <c r="Q37" s="231">
        <f t="shared" si="1"/>
        <v>0</v>
      </c>
    </row>
    <row r="38" spans="1:17" ht="21.75" customHeight="1" x14ac:dyDescent="0.25">
      <c r="A38" s="212" t="s">
        <v>269</v>
      </c>
      <c r="B38" s="219" t="s">
        <v>239</v>
      </c>
      <c r="C38" s="218" t="s">
        <v>216</v>
      </c>
      <c r="D38" s="233">
        <f t="shared" ref="D38:N38" si="8">+D31+D32+D33+D34+D35+D36+D37</f>
        <v>0</v>
      </c>
      <c r="E38" s="233">
        <f>+E31+E32+E33+E34+E35+E36+E37</f>
        <v>0</v>
      </c>
      <c r="F38" s="233">
        <f t="shared" si="8"/>
        <v>20</v>
      </c>
      <c r="G38" s="233">
        <f>+G31+G32+G33+G34+G35+G36+G37</f>
        <v>199102</v>
      </c>
      <c r="H38" s="233">
        <f t="shared" si="8"/>
        <v>0</v>
      </c>
      <c r="I38" s="233">
        <f>+I31+I32+I33+I34+I35+I36+I37</f>
        <v>0</v>
      </c>
      <c r="J38" s="233">
        <f t="shared" si="8"/>
        <v>0</v>
      </c>
      <c r="K38" s="233">
        <f>+K31+K32+K33+K34+K35+K36+K37</f>
        <v>0</v>
      </c>
      <c r="L38" s="233">
        <f t="shared" si="8"/>
        <v>0</v>
      </c>
      <c r="M38" s="233">
        <f>+M31+M32+M33+M34+M35+M36+M37</f>
        <v>100000</v>
      </c>
      <c r="N38" s="233">
        <f t="shared" si="8"/>
        <v>0</v>
      </c>
      <c r="O38" s="233">
        <f>+O31+O32+O33+O34+O35+O36+O37</f>
        <v>0</v>
      </c>
      <c r="P38" s="233">
        <f t="shared" si="0"/>
        <v>20</v>
      </c>
      <c r="Q38" s="231">
        <f t="shared" si="1"/>
        <v>299102</v>
      </c>
    </row>
    <row r="39" spans="1:17" ht="21.75" customHeight="1" x14ac:dyDescent="0.25">
      <c r="A39" s="212" t="s">
        <v>270</v>
      </c>
      <c r="B39" s="218" t="s">
        <v>240</v>
      </c>
      <c r="C39" s="234" t="s">
        <v>218</v>
      </c>
      <c r="D39" s="231">
        <f t="shared" ref="D39:N39" si="9">SUM(D41:D45)</f>
        <v>405016550</v>
      </c>
      <c r="E39" s="231">
        <f>SUM(E41:E45)</f>
        <v>440868738</v>
      </c>
      <c r="F39" s="231">
        <f t="shared" si="9"/>
        <v>0</v>
      </c>
      <c r="G39" s="231">
        <f>SUM(G41:G45)</f>
        <v>0</v>
      </c>
      <c r="H39" s="231">
        <f t="shared" si="9"/>
        <v>0</v>
      </c>
      <c r="I39" s="231">
        <f>SUM(I41:I45)</f>
        <v>0</v>
      </c>
      <c r="J39" s="231">
        <f t="shared" si="9"/>
        <v>0</v>
      </c>
      <c r="K39" s="231">
        <f>SUM(K41:K45)</f>
        <v>0</v>
      </c>
      <c r="L39" s="231">
        <f t="shared" si="9"/>
        <v>0</v>
      </c>
      <c r="M39" s="231">
        <f>SUM(M41:M45)</f>
        <v>0</v>
      </c>
      <c r="N39" s="231">
        <f t="shared" si="9"/>
        <v>0</v>
      </c>
      <c r="O39" s="231">
        <f>SUM(O41:O45)</f>
        <v>0</v>
      </c>
      <c r="P39" s="233">
        <f t="shared" si="0"/>
        <v>405016550</v>
      </c>
      <c r="Q39" s="233">
        <f t="shared" si="1"/>
        <v>440868738</v>
      </c>
    </row>
    <row r="40" spans="1:17" ht="21.75" customHeight="1" x14ac:dyDescent="0.25">
      <c r="A40" s="212" t="s">
        <v>271</v>
      </c>
      <c r="B40" s="105" t="s">
        <v>575</v>
      </c>
      <c r="C40" s="234"/>
      <c r="D40" s="231"/>
      <c r="E40" s="231"/>
      <c r="F40" s="231"/>
      <c r="G40" s="231"/>
      <c r="H40" s="231"/>
      <c r="I40" s="231"/>
      <c r="J40" s="231"/>
      <c r="K40" s="231"/>
      <c r="L40" s="231"/>
      <c r="M40" s="231"/>
      <c r="N40" s="231"/>
      <c r="O40" s="231"/>
      <c r="P40" s="231">
        <f t="shared" si="0"/>
        <v>0</v>
      </c>
      <c r="Q40" s="231">
        <f t="shared" si="1"/>
        <v>0</v>
      </c>
    </row>
    <row r="41" spans="1:17" ht="21.75" customHeight="1" x14ac:dyDescent="0.25">
      <c r="A41" s="212" t="s">
        <v>272</v>
      </c>
      <c r="B41" s="217" t="s">
        <v>846</v>
      </c>
      <c r="C41" s="235"/>
      <c r="D41" s="231">
        <f>5000+79530</f>
        <v>84530</v>
      </c>
      <c r="E41" s="231">
        <f>+D41+10764541</f>
        <v>10849071</v>
      </c>
      <c r="F41" s="231"/>
      <c r="G41" s="231"/>
      <c r="H41" s="231"/>
      <c r="I41" s="231"/>
      <c r="J41" s="231"/>
      <c r="K41" s="231"/>
      <c r="L41" s="231"/>
      <c r="M41" s="231"/>
      <c r="N41" s="231"/>
      <c r="O41" s="231"/>
      <c r="P41" s="231">
        <f t="shared" si="0"/>
        <v>84530</v>
      </c>
      <c r="Q41" s="231">
        <f t="shared" si="1"/>
        <v>10849071</v>
      </c>
    </row>
    <row r="42" spans="1:17" ht="21.75" customHeight="1" x14ac:dyDescent="0.25">
      <c r="A42" s="212" t="s">
        <v>276</v>
      </c>
      <c r="B42" s="217" t="s">
        <v>847</v>
      </c>
      <c r="C42" s="235"/>
      <c r="D42" s="231">
        <v>59760</v>
      </c>
      <c r="E42" s="231">
        <f>+D42</f>
        <v>59760</v>
      </c>
      <c r="F42" s="231"/>
      <c r="G42" s="231"/>
      <c r="H42" s="231"/>
      <c r="I42" s="231"/>
      <c r="J42" s="231"/>
      <c r="K42" s="231"/>
      <c r="L42" s="231"/>
      <c r="M42" s="231"/>
      <c r="N42" s="231"/>
      <c r="O42" s="231"/>
      <c r="P42" s="231">
        <f t="shared" si="0"/>
        <v>59760</v>
      </c>
      <c r="Q42" s="231">
        <f t="shared" si="1"/>
        <v>59760</v>
      </c>
    </row>
    <row r="43" spans="1:17" ht="21.75" customHeight="1" x14ac:dyDescent="0.25">
      <c r="A43" s="212" t="s">
        <v>277</v>
      </c>
      <c r="B43" s="217" t="s">
        <v>539</v>
      </c>
      <c r="C43" s="235"/>
      <c r="D43" s="231">
        <f>+P28-P31-P33-P34-P36-P41</f>
        <v>404237260</v>
      </c>
      <c r="E43" s="231">
        <f>+Q28-Q31-Q33-Q34-Q36-Q41</f>
        <v>428271876</v>
      </c>
      <c r="F43" s="231"/>
      <c r="G43" s="231"/>
      <c r="H43" s="231"/>
      <c r="I43" s="231"/>
      <c r="J43" s="231"/>
      <c r="K43" s="231"/>
      <c r="L43" s="231"/>
      <c r="M43" s="231"/>
      <c r="N43" s="231"/>
      <c r="O43" s="231"/>
      <c r="P43" s="231">
        <f t="shared" si="0"/>
        <v>404237260</v>
      </c>
      <c r="Q43" s="231">
        <f t="shared" si="1"/>
        <v>428271876</v>
      </c>
    </row>
    <row r="44" spans="1:17" ht="21.75" customHeight="1" x14ac:dyDescent="0.25">
      <c r="A44" s="212" t="s">
        <v>278</v>
      </c>
      <c r="B44" s="217" t="s">
        <v>540</v>
      </c>
      <c r="C44" s="235"/>
      <c r="D44" s="231">
        <f>+P29-P32-P35-P37-P42</f>
        <v>635000</v>
      </c>
      <c r="E44" s="231">
        <f>+Q29-Q32-Q35-Q37-Q42</f>
        <v>1688031</v>
      </c>
      <c r="F44" s="231"/>
      <c r="G44" s="231"/>
      <c r="H44" s="231"/>
      <c r="I44" s="231"/>
      <c r="J44" s="231"/>
      <c r="K44" s="231"/>
      <c r="L44" s="231"/>
      <c r="M44" s="231"/>
      <c r="N44" s="231"/>
      <c r="O44" s="231"/>
      <c r="P44" s="231">
        <f t="shared" si="0"/>
        <v>635000</v>
      </c>
      <c r="Q44" s="231">
        <f t="shared" si="1"/>
        <v>1688031</v>
      </c>
    </row>
    <row r="45" spans="1:17" ht="21.75" customHeight="1" x14ac:dyDescent="0.25">
      <c r="A45" s="212" t="s">
        <v>279</v>
      </c>
      <c r="B45" s="105" t="s">
        <v>574</v>
      </c>
      <c r="C45" s="235"/>
      <c r="D45" s="231"/>
      <c r="E45" s="231"/>
      <c r="F45" s="231"/>
      <c r="G45" s="231"/>
      <c r="H45" s="231"/>
      <c r="I45" s="231"/>
      <c r="J45" s="231"/>
      <c r="K45" s="231"/>
      <c r="L45" s="231"/>
      <c r="M45" s="231"/>
      <c r="N45" s="231"/>
      <c r="O45" s="231"/>
      <c r="P45" s="231">
        <f t="shared" si="0"/>
        <v>0</v>
      </c>
      <c r="Q45" s="231">
        <f t="shared" si="1"/>
        <v>0</v>
      </c>
    </row>
    <row r="46" spans="1:17" ht="21.75" customHeight="1" x14ac:dyDescent="0.25">
      <c r="A46" s="212" t="s">
        <v>280</v>
      </c>
      <c r="B46" s="105" t="s">
        <v>815</v>
      </c>
      <c r="C46" s="235"/>
      <c r="D46" s="231"/>
      <c r="E46" s="231"/>
      <c r="F46" s="231"/>
      <c r="G46" s="231"/>
      <c r="H46" s="231"/>
      <c r="I46" s="231"/>
      <c r="J46" s="231"/>
      <c r="K46" s="231"/>
      <c r="L46" s="231"/>
      <c r="M46" s="231"/>
      <c r="N46" s="231"/>
      <c r="O46" s="231"/>
      <c r="P46" s="231">
        <f t="shared" si="0"/>
        <v>0</v>
      </c>
      <c r="Q46" s="231">
        <f t="shared" si="1"/>
        <v>0</v>
      </c>
    </row>
    <row r="47" spans="1:17" s="129" customFormat="1" ht="21.75" customHeight="1" x14ac:dyDescent="0.25">
      <c r="A47" s="212" t="s">
        <v>281</v>
      </c>
      <c r="B47" s="215" t="s">
        <v>113</v>
      </c>
      <c r="C47" s="234"/>
      <c r="D47" s="233">
        <f t="shared" ref="D47:N47" si="10">+D31+D33+D34+D36+D41+D43</f>
        <v>404321790</v>
      </c>
      <c r="E47" s="233">
        <f>+E31+E33+E34+E36+E41+E43</f>
        <v>439120947</v>
      </c>
      <c r="F47" s="233">
        <f t="shared" si="10"/>
        <v>20</v>
      </c>
      <c r="G47" s="233">
        <f>+G31+G33+G34+G36+G41+G43</f>
        <v>199102</v>
      </c>
      <c r="H47" s="233">
        <f t="shared" si="10"/>
        <v>0</v>
      </c>
      <c r="I47" s="233">
        <f>+I31+I33+I34+I36+I41+I43</f>
        <v>0</v>
      </c>
      <c r="J47" s="233">
        <f t="shared" si="10"/>
        <v>0</v>
      </c>
      <c r="K47" s="233">
        <f>+K31+K33+K34+K36+K41+K43</f>
        <v>0</v>
      </c>
      <c r="L47" s="233">
        <f t="shared" si="10"/>
        <v>0</v>
      </c>
      <c r="M47" s="233">
        <f>+M31+M33+M34+M36+M41+M43</f>
        <v>100000</v>
      </c>
      <c r="N47" s="233">
        <f t="shared" si="10"/>
        <v>0</v>
      </c>
      <c r="O47" s="233">
        <f>+O31+O33+O34+O36+O41+O43</f>
        <v>0</v>
      </c>
      <c r="P47" s="233">
        <f t="shared" si="0"/>
        <v>404321810</v>
      </c>
      <c r="Q47" s="233">
        <f t="shared" si="1"/>
        <v>439420049</v>
      </c>
    </row>
    <row r="48" spans="1:17" s="129" customFormat="1" ht="21.75" customHeight="1" x14ac:dyDescent="0.25">
      <c r="A48" s="212" t="s">
        <v>282</v>
      </c>
      <c r="B48" s="215" t="s">
        <v>114</v>
      </c>
      <c r="C48" s="234"/>
      <c r="D48" s="233">
        <f t="shared" ref="D48:N48" si="11">+D32+D35+D37+D42+D429+D45+D44</f>
        <v>694760</v>
      </c>
      <c r="E48" s="233">
        <f>+E32+E35+E37+E42+E429+E45+E44</f>
        <v>1747791</v>
      </c>
      <c r="F48" s="233">
        <f t="shared" si="11"/>
        <v>0</v>
      </c>
      <c r="G48" s="233">
        <f>+G32+G35+G37+G42+G429+G45+G44</f>
        <v>0</v>
      </c>
      <c r="H48" s="233">
        <f t="shared" si="11"/>
        <v>0</v>
      </c>
      <c r="I48" s="233">
        <f>+I32+I35+I37+I42+I429+I45+I44</f>
        <v>0</v>
      </c>
      <c r="J48" s="233">
        <f t="shared" si="11"/>
        <v>0</v>
      </c>
      <c r="K48" s="233">
        <f>+K32+K35+K37+K42+K429+K45+K44</f>
        <v>0</v>
      </c>
      <c r="L48" s="233">
        <f t="shared" si="11"/>
        <v>0</v>
      </c>
      <c r="M48" s="233">
        <f>+M32+M35+M37+M42+M429+M45+M44</f>
        <v>0</v>
      </c>
      <c r="N48" s="233">
        <f t="shared" si="11"/>
        <v>0</v>
      </c>
      <c r="O48" s="233">
        <f>+O32+O35+O37+O42+O429+O45+O44</f>
        <v>0</v>
      </c>
      <c r="P48" s="233">
        <f t="shared" si="0"/>
        <v>694760</v>
      </c>
      <c r="Q48" s="233">
        <f t="shared" si="1"/>
        <v>1747791</v>
      </c>
    </row>
    <row r="49" spans="1:17" s="129" customFormat="1" ht="21.75" customHeight="1" x14ac:dyDescent="0.25">
      <c r="A49" s="212" t="s">
        <v>283</v>
      </c>
      <c r="B49" s="215" t="s">
        <v>328</v>
      </c>
      <c r="C49" s="234"/>
      <c r="D49" s="233">
        <f t="shared" ref="D49:N49" si="12">+D47+D48</f>
        <v>405016550</v>
      </c>
      <c r="E49" s="233">
        <f>+E47+E48</f>
        <v>440868738</v>
      </c>
      <c r="F49" s="233">
        <f t="shared" si="12"/>
        <v>20</v>
      </c>
      <c r="G49" s="233">
        <f>+G47+G48</f>
        <v>199102</v>
      </c>
      <c r="H49" s="233">
        <f t="shared" si="12"/>
        <v>0</v>
      </c>
      <c r="I49" s="233">
        <f>+I47+I48</f>
        <v>0</v>
      </c>
      <c r="J49" s="233">
        <f t="shared" si="12"/>
        <v>0</v>
      </c>
      <c r="K49" s="233">
        <f>+K47+K48</f>
        <v>0</v>
      </c>
      <c r="L49" s="233">
        <f t="shared" si="12"/>
        <v>0</v>
      </c>
      <c r="M49" s="233">
        <f>+M47+M48</f>
        <v>100000</v>
      </c>
      <c r="N49" s="233">
        <f t="shared" si="12"/>
        <v>0</v>
      </c>
      <c r="O49" s="233">
        <f>+O47+O48</f>
        <v>0</v>
      </c>
      <c r="P49" s="233">
        <f t="shared" si="0"/>
        <v>405016570</v>
      </c>
      <c r="Q49" s="233">
        <f t="shared" si="1"/>
        <v>441167840</v>
      </c>
    </row>
    <row r="50" spans="1:17" ht="21.75" customHeight="1" x14ac:dyDescent="0.25">
      <c r="A50" s="212" t="s">
        <v>284</v>
      </c>
      <c r="B50" s="414" t="s">
        <v>437</v>
      </c>
      <c r="C50" s="232"/>
      <c r="D50" s="231"/>
      <c r="E50" s="231"/>
      <c r="F50" s="231">
        <v>30</v>
      </c>
      <c r="G50" s="231">
        <v>31</v>
      </c>
      <c r="H50" s="231">
        <v>16</v>
      </c>
      <c r="I50" s="231">
        <v>17</v>
      </c>
      <c r="J50" s="231"/>
      <c r="K50" s="231"/>
      <c r="L50" s="231"/>
      <c r="M50" s="231"/>
      <c r="N50" s="231"/>
      <c r="O50" s="231"/>
      <c r="P50" s="231">
        <f t="shared" si="0"/>
        <v>46</v>
      </c>
      <c r="Q50" s="231">
        <f t="shared" si="1"/>
        <v>48</v>
      </c>
    </row>
    <row r="51" spans="1:17" ht="21.75" customHeight="1" x14ac:dyDescent="0.25">
      <c r="A51" s="212" t="s">
        <v>285</v>
      </c>
      <c r="B51" s="55" t="s">
        <v>1346</v>
      </c>
      <c r="C51" s="232"/>
      <c r="D51" s="231"/>
      <c r="E51" s="231"/>
      <c r="F51" s="210"/>
      <c r="G51" s="210"/>
      <c r="H51" s="210"/>
      <c r="I51" s="210"/>
      <c r="J51" s="210"/>
      <c r="K51" s="210"/>
      <c r="L51" s="210"/>
      <c r="M51" s="210"/>
      <c r="N51" s="231"/>
      <c r="O51" s="231"/>
      <c r="P51" s="231">
        <f t="shared" si="0"/>
        <v>0</v>
      </c>
      <c r="Q51" s="231">
        <f t="shared" si="1"/>
        <v>0</v>
      </c>
    </row>
  </sheetData>
  <mergeCells count="23">
    <mergeCell ref="A4:A7"/>
    <mergeCell ref="A2:C3"/>
    <mergeCell ref="D2:G2"/>
    <mergeCell ref="B4:C4"/>
    <mergeCell ref="B5:C5"/>
    <mergeCell ref="B6:C6"/>
    <mergeCell ref="D6:D7"/>
    <mergeCell ref="F6:F7"/>
    <mergeCell ref="E6:E7"/>
    <mergeCell ref="G6:G7"/>
    <mergeCell ref="I6:I7"/>
    <mergeCell ref="K6:K7"/>
    <mergeCell ref="H2:K2"/>
    <mergeCell ref="L2:O2"/>
    <mergeCell ref="M6:M7"/>
    <mergeCell ref="O6:O7"/>
    <mergeCell ref="H6:H7"/>
    <mergeCell ref="J6:J7"/>
    <mergeCell ref="P2:Q2"/>
    <mergeCell ref="Q4:Q7"/>
    <mergeCell ref="P4:P7"/>
    <mergeCell ref="L6:L7"/>
    <mergeCell ref="N6:N7"/>
  </mergeCells>
  <phoneticPr fontId="50" type="noConversion"/>
  <printOptions horizontalCentered="1" verticalCentered="1"/>
  <pageMargins left="0.31496062992125984" right="0.31496062992125984" top="0.15748031496062992" bottom="0.15748031496062992" header="0.31496062992125984" footer="0.31496062992125984"/>
  <pageSetup paperSize="9" scale="55" orientation="portrait" r:id="rId1"/>
  <headerFooter>
    <oddHeader>&amp;C2023. évi költségvetés&amp;R&amp;A</oddHeader>
    <oddFooter>&amp;C&amp;P/&amp;N</oddFooter>
  </headerFooter>
  <colBreaks count="4" manualBreakCount="4">
    <brk id="7" max="50" man="1"/>
    <brk id="11" max="50" man="1"/>
    <brk id="15" max="50" man="1"/>
    <brk id="17" max="5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DX54"/>
  <sheetViews>
    <sheetView view="pageBreakPreview" zoomScale="71" zoomScaleNormal="71" zoomScaleSheetLayoutView="71" workbookViewId="0">
      <pane xSplit="3" ySplit="7" topLeftCell="D8" activePane="bottomRight" state="frozen"/>
      <selection pane="topRight" activeCell="D1" sqref="D1"/>
      <selection pane="bottomLeft" activeCell="A8" sqref="A8"/>
      <selection pane="bottomRight" activeCell="C26" sqref="C26"/>
    </sheetView>
  </sheetViews>
  <sheetFormatPr defaultRowHeight="15.75" x14ac:dyDescent="0.25"/>
  <cols>
    <col min="1" max="1" width="7" style="23" customWidth="1"/>
    <col min="2" max="2" width="65.7109375" style="23" customWidth="1"/>
    <col min="3" max="3" width="7.85546875" style="23" customWidth="1"/>
    <col min="4" max="5" width="18.28515625" style="4" customWidth="1"/>
    <col min="6" max="6" width="18.5703125" style="4" customWidth="1"/>
    <col min="7" max="7" width="16.42578125" style="4" customWidth="1"/>
    <col min="8" max="8" width="18" style="4" customWidth="1"/>
    <col min="9" max="9" width="16.42578125" style="4" customWidth="1"/>
    <col min="10" max="10" width="19.140625" style="4" customWidth="1"/>
    <col min="11" max="11" width="20" style="23" customWidth="1"/>
    <col min="12" max="12" width="17.140625" style="23" customWidth="1"/>
    <col min="13" max="13" width="17.42578125" style="23" bestFit="1" customWidth="1"/>
    <col min="14" max="16384" width="9.140625" style="23"/>
  </cols>
  <sheetData>
    <row r="1" spans="1:128" ht="21" customHeight="1" x14ac:dyDescent="0.25">
      <c r="A1" s="195"/>
      <c r="B1" s="195"/>
      <c r="C1" s="195"/>
      <c r="G1" s="41" t="s">
        <v>431</v>
      </c>
      <c r="K1" s="41" t="s">
        <v>431</v>
      </c>
    </row>
    <row r="2" spans="1:128" ht="40.5" customHeight="1" x14ac:dyDescent="0.2">
      <c r="A2" s="1749" t="s">
        <v>252</v>
      </c>
      <c r="B2" s="1749"/>
      <c r="C2" s="1749"/>
      <c r="D2" s="1775" t="s">
        <v>150</v>
      </c>
      <c r="E2" s="1776"/>
      <c r="F2" s="1776"/>
      <c r="G2" s="1777"/>
      <c r="H2" s="1775" t="s">
        <v>150</v>
      </c>
      <c r="I2" s="1776"/>
      <c r="J2" s="1776"/>
      <c r="K2" s="1777"/>
    </row>
    <row r="3" spans="1:128" ht="42" customHeight="1" x14ac:dyDescent="0.2">
      <c r="A3" s="1748" t="s">
        <v>186</v>
      </c>
      <c r="B3" s="1749" t="s">
        <v>244</v>
      </c>
      <c r="C3" s="1749"/>
      <c r="D3" s="1602" t="s">
        <v>273</v>
      </c>
      <c r="E3" s="1611" t="s">
        <v>1561</v>
      </c>
      <c r="F3" s="1602" t="s">
        <v>273</v>
      </c>
      <c r="G3" s="1611" t="s">
        <v>1561</v>
      </c>
      <c r="H3" s="1602" t="s">
        <v>273</v>
      </c>
      <c r="I3" s="1611" t="s">
        <v>1561</v>
      </c>
      <c r="J3" s="1602" t="s">
        <v>273</v>
      </c>
      <c r="K3" s="1611" t="s">
        <v>1561</v>
      </c>
    </row>
    <row r="4" spans="1:128" ht="21.75" customHeight="1" x14ac:dyDescent="0.2">
      <c r="A4" s="1748"/>
      <c r="B4" s="1749" t="s">
        <v>11</v>
      </c>
      <c r="C4" s="1749"/>
      <c r="D4" s="1724" t="s">
        <v>222</v>
      </c>
      <c r="E4" s="1724" t="s">
        <v>222</v>
      </c>
      <c r="F4" s="1724" t="s">
        <v>326</v>
      </c>
      <c r="G4" s="1724" t="s">
        <v>326</v>
      </c>
      <c r="H4" s="1724" t="s">
        <v>224</v>
      </c>
      <c r="I4" s="1724" t="s">
        <v>224</v>
      </c>
      <c r="J4" s="1724" t="s">
        <v>243</v>
      </c>
      <c r="K4" s="1724" t="s">
        <v>243</v>
      </c>
    </row>
    <row r="5" spans="1:128" ht="21.75" customHeight="1" x14ac:dyDescent="0.2">
      <c r="A5" s="1748"/>
      <c r="B5" s="1719" t="s">
        <v>713</v>
      </c>
      <c r="C5" s="1719"/>
      <c r="D5" s="1724"/>
      <c r="E5" s="1724"/>
      <c r="F5" s="1724"/>
      <c r="G5" s="1724"/>
      <c r="H5" s="1724"/>
      <c r="I5" s="1724"/>
      <c r="J5" s="1724"/>
      <c r="K5" s="1724"/>
    </row>
    <row r="6" spans="1:128" ht="36.75" customHeight="1" x14ac:dyDescent="0.2">
      <c r="A6" s="1748"/>
      <c r="B6" s="1606" t="s">
        <v>187</v>
      </c>
      <c r="C6" s="144" t="s">
        <v>245</v>
      </c>
      <c r="D6" s="1724"/>
      <c r="E6" s="1724"/>
      <c r="F6" s="1724"/>
      <c r="G6" s="1724"/>
      <c r="H6" s="1724"/>
      <c r="I6" s="1724"/>
      <c r="J6" s="1724"/>
      <c r="K6" s="1724"/>
    </row>
    <row r="7" spans="1:128" x14ac:dyDescent="0.2">
      <c r="A7" s="27" t="s">
        <v>188</v>
      </c>
      <c r="B7" s="28" t="s">
        <v>189</v>
      </c>
      <c r="C7" s="28" t="s">
        <v>190</v>
      </c>
      <c r="D7" s="28" t="s">
        <v>191</v>
      </c>
      <c r="E7" s="28" t="s">
        <v>192</v>
      </c>
      <c r="F7" s="28" t="s">
        <v>193</v>
      </c>
      <c r="G7" s="28" t="s">
        <v>194</v>
      </c>
      <c r="H7" s="28" t="s">
        <v>195</v>
      </c>
      <c r="I7" s="28" t="s">
        <v>196</v>
      </c>
      <c r="J7" s="28" t="s">
        <v>197</v>
      </c>
      <c r="K7" s="28" t="s">
        <v>198</v>
      </c>
    </row>
    <row r="8" spans="1:128" ht="23.25" customHeight="1" x14ac:dyDescent="0.25">
      <c r="A8" s="29" t="s">
        <v>188</v>
      </c>
      <c r="B8" s="26" t="s">
        <v>329</v>
      </c>
      <c r="C8" s="30" t="s">
        <v>199</v>
      </c>
      <c r="D8" s="7">
        <f>+'2.1. sz. PMH'!D9+'2.1. sz. PMH'!F9+'2.1. sz. PMH'!L9+'2.1. sz. PMH'!T9+'2.2. sz. Hétszínvirág Óvoda'!D9+'2.2. sz. Hétszínvirág Óvoda'!F9+'2.2. sz. Hétszínvirág Óvoda'!H9+'2.2. sz. Hétszínvirág Óvoda'!J9+'2.2. sz. Hétszínvirág Óvoda'!L9+'2.2. sz. Hétszínvirág Óvoda'!N9+'2.2. sz. Hétszínvirág Óvoda'!R9+'2.3. sz. Mese Óvoda'!D9+'2.3. sz. Mese Óvoda'!F9+'2.3. sz. Mese Óvoda'!H9+'2.3. sz. Mese Óvoda'!J9+'2.3. sz. Mese Óvoda'!L9+'2.3. sz. Mese Óvoda'!N9+'2.4. sz. Bölcsőde'!D9+'2.4. sz. Bölcsőde'!F9+'2.4. sz. Bölcsőde'!H9+'2.4. sz. Bölcsőde'!J9+'2.4. sz. Bölcsőde'!L9+'2.5. sz. Gyermekjóléti'!D9+'2.5. sz. Gyermekjóléti'!F9+'2.5. sz. Gyermekjóléti'!H9+'2.5. sz. Gyermekjóléti'!J9+'2.5. sz. Gyermekjóléti'!L9+'2.5. sz. Gyermekjóléti'!N9+'2.5. sz. Gyermekjóléti'!P9+'2.6 sz. Területi'!D9+'2.6 sz. Területi'!F9+'2.6 sz. Területi'!H9+'2.6 sz. Területi'!N9+'2.6 sz. Területi'!P9+'2.6 sz. Területi'!X9+'2.6 sz. Területi'!Z9+'2.6 sz. Területi'!AB9+'2.6 sz. Területi'!AD9+'2.6 sz. Területi'!AF9+'2.6 sz. Területi'!AH9+'2.6 sz. Területi'!AJ9+'2.6 sz. Területi'!AL9+'2.6 sz. Területi'!AP9+'2.7. sz. Könyvtár'!D9+'2.7. sz. Könyvtár'!F9+'2.7. sz. Könyvtár'!H9+'2.7. sz. Könyvtár'!J9+'2.7. sz. Könyvtár'!L9+'2.7. sz. Könyvtár'!N9+'2.7. sz. Könyvtár'!P9+'2.7. sz. Könyvtár'!T9+'2.8. sz. Műv.Ház'!D9+'2.8. sz. Műv.Ház'!F9+'2.8. sz. Műv.Ház'!H9+'2.8. sz. Műv.Ház'!L9+'2.8. sz. Műv.Ház'!N9+'2.8. sz. Műv.Ház'!P9+'2.9. sz. Szivárvány Ó.'!D9+'2.9. sz. Szivárvány Ó.'!F9+'2.9. sz. Szivárvány Ó.'!H9+'2.9. sz. Szivárvány Ó.'!J9+'2.9. sz. Szivárvány Ó.'!L9+'2.9. sz. Szivárvány Ó.'!N9</f>
        <v>2430352006</v>
      </c>
      <c r="E8" s="7">
        <f>+'2.1. sz. PMH'!E9+'2.1. sz. PMH'!G9+'2.1. sz. PMH'!M9+'2.1. sz. PMH'!U9+'2.2. sz. Hétszínvirág Óvoda'!E9+'2.2. sz. Hétszínvirág Óvoda'!G9+'2.2. sz. Hétszínvirág Óvoda'!I9+'2.2. sz. Hétszínvirág Óvoda'!K9+'2.2. sz. Hétszínvirág Óvoda'!M9+'2.2. sz. Hétszínvirág Óvoda'!O9+'2.2. sz. Hétszínvirág Óvoda'!S9+'2.2. sz. Hétszínvirág Óvoda'!Q9+'2.3. sz. Mese Óvoda'!E9+'2.3. sz. Mese Óvoda'!G9+'2.3. sz. Mese Óvoda'!I9+'2.3. sz. Mese Óvoda'!K9+'2.3. sz. Mese Óvoda'!M9+'2.3. sz. Mese Óvoda'!O9+'2.4. sz. Bölcsőde'!E9+'2.4. sz. Bölcsőde'!G9+'2.4. sz. Bölcsőde'!I9+'2.4. sz. Bölcsőde'!K9+'2.4. sz. Bölcsőde'!M9+'2.5. sz. Gyermekjóléti'!E9+'2.5. sz. Gyermekjóléti'!G9+'2.5. sz. Gyermekjóléti'!I9+'2.5. sz. Gyermekjóléti'!K9+'2.5. sz. Gyermekjóléti'!M9+'2.5. sz. Gyermekjóléti'!O9+'2.5. sz. Gyermekjóléti'!Q9+'2.6 sz. Területi'!E9+'2.6 sz. Területi'!G9+'2.6 sz. Területi'!I9+'2.6 sz. Területi'!O9+'2.6 sz. Területi'!Q9+'2.6 sz. Területi'!Y9+'2.6 sz. Területi'!AA9+'2.6 sz. Területi'!AC9+'2.6 sz. Területi'!AE9+'2.6 sz. Területi'!AG9+'2.6 sz. Területi'!AI9+'2.6 sz. Területi'!AK9+'2.6 sz. Területi'!AM9+'2.6 sz. Területi'!AQ9+'2.7. sz. Könyvtár'!E9+'2.7. sz. Könyvtár'!G9+'2.7. sz. Könyvtár'!I9+'2.7. sz. Könyvtár'!K9+'2.7. sz. Könyvtár'!M9+'2.7. sz. Könyvtár'!O9+'2.7. sz. Könyvtár'!Q9+'2.7. sz. Könyvtár'!U9+'2.8. sz. Műv.Ház'!E9+'2.8. sz. Műv.Ház'!G9+'2.8. sz. Műv.Ház'!I9+'2.8. sz. Műv.Ház'!M9+'2.8. sz. Műv.Ház'!O9+'2.8. sz. Műv.Ház'!Q9+'2.9. sz. Szivárvány Ó.'!E9+'2.9. sz. Szivárvány Ó.'!G9+'2.9. sz. Szivárvány Ó.'!I9+'2.9. sz. Szivárvány Ó.'!K9+'2.9. sz. Szivárvány Ó.'!M9+'2.9. sz. Szivárvány Ó.'!O9+'2.7. sz. Könyvtár'!S9+'2.6 sz. Területi'!AO9</f>
        <v>2538856289</v>
      </c>
      <c r="F8" s="7">
        <f>+'2.6 sz. Területi'!J9+'2.6 sz. Területi'!L9+'2.6 sz. Területi'!R9+'2.6 sz. Területi'!T9+'2.6 sz. Területi'!V9+'2.8. sz. Műv.Ház'!J9</f>
        <v>79179767</v>
      </c>
      <c r="G8" s="7">
        <f>+'2.6 sz. Területi'!K9+'2.6 sz. Területi'!M9+'2.6 sz. Területi'!S9+'2.6 sz. Területi'!U9+'2.6 sz. Területi'!W9+'2.8. sz. Műv.Ház'!K9</f>
        <v>81679767</v>
      </c>
      <c r="H8" s="7">
        <f>+'2.1. sz. PMH'!H9+'2.1. sz. PMH'!J9+'2.1. sz. PMH'!N9+'2.1. sz. PMH'!P9+'2.1. sz. PMH'!R9</f>
        <v>89135993</v>
      </c>
      <c r="I8" s="7">
        <f>+'2.1. sz. PMH'!I9+'2.1. sz. PMH'!K9+'2.1. sz. PMH'!O9+'2.1. sz. PMH'!Q9+'2.1. sz. PMH'!S9</f>
        <v>94531096</v>
      </c>
      <c r="J8" s="7">
        <f>D8+F8+H8</f>
        <v>2598667766</v>
      </c>
      <c r="K8" s="7">
        <f>E8+G8+I8</f>
        <v>2715067152</v>
      </c>
      <c r="L8" s="94">
        <f t="shared" ref="L8:L14" si="0">K8-J8</f>
        <v>116399386</v>
      </c>
    </row>
    <row r="9" spans="1:128" ht="23.25" customHeight="1" x14ac:dyDescent="0.25">
      <c r="A9" s="29" t="s">
        <v>189</v>
      </c>
      <c r="B9" s="31" t="s">
        <v>200</v>
      </c>
      <c r="C9" s="30" t="s">
        <v>201</v>
      </c>
      <c r="D9" s="7">
        <f>+'2.1. sz. PMH'!D10+'2.1. sz. PMH'!F10+'2.1. sz. PMH'!L10+'2.1. sz. PMH'!T10+'2.2. sz. Hétszínvirág Óvoda'!D10+'2.2. sz. Hétszínvirág Óvoda'!F10+'2.2. sz. Hétszínvirág Óvoda'!H10+'2.2. sz. Hétszínvirág Óvoda'!J10+'2.2. sz. Hétszínvirág Óvoda'!L10+'2.2. sz. Hétszínvirág Óvoda'!N10+'2.2. sz. Hétszínvirág Óvoda'!R10+'2.3. sz. Mese Óvoda'!D10+'2.3. sz. Mese Óvoda'!F10+'2.3. sz. Mese Óvoda'!H10+'2.3. sz. Mese Óvoda'!J10+'2.3. sz. Mese Óvoda'!L10+'2.3. sz. Mese Óvoda'!N10+'2.4. sz. Bölcsőde'!D10+'2.4. sz. Bölcsőde'!F10+'2.4. sz. Bölcsőde'!H10+'2.4. sz. Bölcsőde'!J10+'2.4. sz. Bölcsőde'!L10+'2.5. sz. Gyermekjóléti'!D10+'2.5. sz. Gyermekjóléti'!F10+'2.5. sz. Gyermekjóléti'!H10+'2.5. sz. Gyermekjóléti'!J10+'2.5. sz. Gyermekjóléti'!L10+'2.5. sz. Gyermekjóléti'!N10+'2.5. sz. Gyermekjóléti'!P10+'2.6 sz. Területi'!D10+'2.6 sz. Területi'!F10+'2.6 sz. Területi'!H10+'2.6 sz. Területi'!N10+'2.6 sz. Területi'!P10+'2.6 sz. Területi'!X10+'2.6 sz. Területi'!Z10+'2.6 sz. Területi'!AB10+'2.6 sz. Területi'!AD10+'2.6 sz. Területi'!AF10+'2.6 sz. Területi'!AH10+'2.6 sz. Területi'!AJ10+'2.6 sz. Területi'!AL10+'2.6 sz. Területi'!AP10+'2.7. sz. Könyvtár'!D10+'2.7. sz. Könyvtár'!F10+'2.7. sz. Könyvtár'!H10+'2.7. sz. Könyvtár'!J10+'2.7. sz. Könyvtár'!L10+'2.7. sz. Könyvtár'!N10+'2.7. sz. Könyvtár'!P10+'2.7. sz. Könyvtár'!T10+'2.8. sz. Műv.Ház'!D10+'2.8. sz. Műv.Ház'!F10+'2.8. sz. Műv.Ház'!H10+'2.8. sz. Műv.Ház'!L10+'2.8. sz. Műv.Ház'!N10+'2.8. sz. Műv.Ház'!P10+'2.9. sz. Szivárvány Ó.'!D10+'2.9. sz. Szivárvány Ó.'!F10+'2.9. sz. Szivárvány Ó.'!H10+'2.9. sz. Szivárvány Ó.'!J10+'2.9. sz. Szivárvány Ó.'!L10+'2.9. sz. Szivárvány Ó.'!N10</f>
        <v>361561842</v>
      </c>
      <c r="E9" s="7">
        <f>+'2.1. sz. PMH'!E10+'2.1. sz. PMH'!G10+'2.1. sz. PMH'!M10+'2.1. sz. PMH'!U10+'2.2. sz. Hétszínvirág Óvoda'!E10+'2.2. sz. Hétszínvirág Óvoda'!G10+'2.2. sz. Hétszínvirág Óvoda'!I10+'2.2. sz. Hétszínvirág Óvoda'!K10+'2.2. sz. Hétszínvirág Óvoda'!M10+'2.2. sz. Hétszínvirág Óvoda'!O10+'2.2. sz. Hétszínvirág Óvoda'!S10+'2.2. sz. Hétszínvirág Óvoda'!Q10+'2.3. sz. Mese Óvoda'!E10+'2.3. sz. Mese Óvoda'!G10+'2.3. sz. Mese Óvoda'!I10+'2.3. sz. Mese Óvoda'!K10+'2.3. sz. Mese Óvoda'!M10+'2.3. sz. Mese Óvoda'!O10+'2.4. sz. Bölcsőde'!E10+'2.4. sz. Bölcsőde'!G10+'2.4. sz. Bölcsőde'!I10+'2.4. sz. Bölcsőde'!K10+'2.4. sz. Bölcsőde'!M10+'2.5. sz. Gyermekjóléti'!E10+'2.5. sz. Gyermekjóléti'!G10+'2.5. sz. Gyermekjóléti'!I10+'2.5. sz. Gyermekjóléti'!K10+'2.5. sz. Gyermekjóléti'!M10+'2.5. sz. Gyermekjóléti'!O10+'2.5. sz. Gyermekjóléti'!Q10+'2.6 sz. Területi'!E10+'2.6 sz. Területi'!G10+'2.6 sz. Területi'!I10+'2.6 sz. Területi'!O10+'2.6 sz. Területi'!Q10+'2.6 sz. Területi'!Y10+'2.6 sz. Területi'!AA10+'2.6 sz. Területi'!AC10+'2.6 sz. Területi'!AE10+'2.6 sz. Területi'!AG10+'2.6 sz. Területi'!AI10+'2.6 sz. Területi'!AK10+'2.6 sz. Területi'!AM10+'2.6 sz. Területi'!AQ10+'2.7. sz. Könyvtár'!E10+'2.7. sz. Könyvtár'!G10+'2.7. sz. Könyvtár'!I10+'2.7. sz. Könyvtár'!K10+'2.7. sz. Könyvtár'!M10+'2.7. sz. Könyvtár'!O10+'2.7. sz. Könyvtár'!Q10+'2.7. sz. Könyvtár'!U10+'2.8. sz. Műv.Ház'!E10+'2.8. sz. Műv.Ház'!G10+'2.8. sz. Műv.Ház'!I10+'2.8. sz. Műv.Ház'!M10+'2.8. sz. Műv.Ház'!O10+'2.8. sz. Műv.Ház'!Q10+'2.9. sz. Szivárvány Ó.'!E10+'2.9. sz. Szivárvány Ó.'!G10+'2.9. sz. Szivárvány Ó.'!I10+'2.9. sz. Szivárvány Ó.'!K10+'2.9. sz. Szivárvány Ó.'!M10+'2.9. sz. Szivárvány Ó.'!O10+'2.7. sz. Könyvtár'!S10+'2.6 sz. Területi'!AO10</f>
        <v>379485980</v>
      </c>
      <c r="F9" s="7">
        <f>+'2.6 sz. Területi'!J10+'2.6 sz. Területi'!L10+'2.6 sz. Területi'!R10+'2.6 sz. Területi'!T10+'2.6 sz. Területi'!V10+'2.8. sz. Műv.Ház'!J10</f>
        <v>10343370</v>
      </c>
      <c r="G9" s="7">
        <f>+'2.6 sz. Területi'!K10+'2.6 sz. Területi'!M10+'2.6 sz. Területi'!S10+'2.6 sz. Területi'!U10+'2.6 sz. Területi'!W10+'2.8. sz. Műv.Ház'!K10</f>
        <v>10900828</v>
      </c>
      <c r="H9" s="7">
        <f>+'2.1. sz. PMH'!H10+'2.1. sz. PMH'!J10+'2.1. sz. PMH'!N10+'2.1. sz. PMH'!P10+'2.1. sz. PMH'!R10</f>
        <v>12470179</v>
      </c>
      <c r="I9" s="7">
        <f>+'2.1. sz. PMH'!I10+'2.1. sz. PMH'!K10+'2.1. sz. PMH'!O10+'2.1. sz. PMH'!Q10+'2.1. sz. PMH'!S10</f>
        <v>13307179</v>
      </c>
      <c r="J9" s="7">
        <f t="shared" ref="J9:J49" si="1">D9+F9+H9</f>
        <v>384375391</v>
      </c>
      <c r="K9" s="7">
        <f t="shared" ref="K9:K50" si="2">E9+G9+I9</f>
        <v>403693987</v>
      </c>
      <c r="L9" s="94">
        <f t="shared" si="0"/>
        <v>19318596</v>
      </c>
    </row>
    <row r="10" spans="1:128" ht="23.25" customHeight="1" x14ac:dyDescent="0.25">
      <c r="A10" s="29" t="s">
        <v>190</v>
      </c>
      <c r="B10" s="31" t="s">
        <v>330</v>
      </c>
      <c r="C10" s="30" t="s">
        <v>202</v>
      </c>
      <c r="D10" s="7">
        <f>+'2.1. sz. PMH'!D11+'2.1. sz. PMH'!F11+'2.1. sz. PMH'!L11+'2.1. sz. PMH'!T11+'2.2. sz. Hétszínvirág Óvoda'!D11+'2.2. sz. Hétszínvirág Óvoda'!F11+'2.2. sz. Hétszínvirág Óvoda'!H11+'2.2. sz. Hétszínvirág Óvoda'!J11+'2.2. sz. Hétszínvirág Óvoda'!L11+'2.2. sz. Hétszínvirág Óvoda'!N11+'2.2. sz. Hétszínvirág Óvoda'!R11+'2.3. sz. Mese Óvoda'!D11+'2.3. sz. Mese Óvoda'!F11+'2.3. sz. Mese Óvoda'!H11+'2.3. sz. Mese Óvoda'!J11+'2.3. sz. Mese Óvoda'!L11+'2.3. sz. Mese Óvoda'!N11+'2.4. sz. Bölcsőde'!D11+'2.4. sz. Bölcsőde'!F11+'2.4. sz. Bölcsőde'!H11+'2.4. sz. Bölcsőde'!J11+'2.4. sz. Bölcsőde'!L11+'2.5. sz. Gyermekjóléti'!D11+'2.5. sz. Gyermekjóléti'!F11+'2.5. sz. Gyermekjóléti'!H11+'2.5. sz. Gyermekjóléti'!J11+'2.5. sz. Gyermekjóléti'!L11+'2.5. sz. Gyermekjóléti'!N11+'2.5. sz. Gyermekjóléti'!P11+'2.6 sz. Területi'!D11+'2.6 sz. Területi'!F11+'2.6 sz. Területi'!H11+'2.6 sz. Területi'!N11+'2.6 sz. Területi'!P11+'2.6 sz. Területi'!X11+'2.6 sz. Területi'!Z11+'2.6 sz. Területi'!AB11+'2.6 sz. Területi'!AD11+'2.6 sz. Területi'!AF11+'2.6 sz. Területi'!AH11+'2.6 sz. Területi'!AJ11+'2.6 sz. Területi'!AL11+'2.6 sz. Területi'!AP11+'2.7. sz. Könyvtár'!D11+'2.7. sz. Könyvtár'!F11+'2.7. sz. Könyvtár'!H11+'2.7. sz. Könyvtár'!J11+'2.7. sz. Könyvtár'!L11+'2.7. sz. Könyvtár'!N11+'2.7. sz. Könyvtár'!P11+'2.7. sz. Könyvtár'!T11+'2.8. sz. Műv.Ház'!D11+'2.8. sz. Műv.Ház'!F11+'2.8. sz. Műv.Ház'!H11+'2.8. sz. Műv.Ház'!L11+'2.8. sz. Műv.Ház'!N11+'2.8. sz. Műv.Ház'!P11+'2.9. sz. Szivárvány Ó.'!D11+'2.9. sz. Szivárvány Ó.'!F11+'2.9. sz. Szivárvány Ó.'!H11+'2.9. sz. Szivárvány Ó.'!J11+'2.9. sz. Szivárvány Ó.'!L11+'2.9. sz. Szivárvány Ó.'!N11</f>
        <v>1655859952</v>
      </c>
      <c r="E10" s="7">
        <f>+'2.1. sz. PMH'!E11+'2.1. sz. PMH'!G11+'2.1. sz. PMH'!M11+'2.1. sz. PMH'!U11+'2.2. sz. Hétszínvirág Óvoda'!E11+'2.2. sz. Hétszínvirág Óvoda'!G11+'2.2. sz. Hétszínvirág Óvoda'!I11+'2.2. sz. Hétszínvirág Óvoda'!K11+'2.2. sz. Hétszínvirág Óvoda'!M11+'2.2. sz. Hétszínvirág Óvoda'!O11+'2.2. sz. Hétszínvirág Óvoda'!S11+'2.2. sz. Hétszínvirág Óvoda'!Q11+'2.3. sz. Mese Óvoda'!E11+'2.3. sz. Mese Óvoda'!G11+'2.3. sz. Mese Óvoda'!I11+'2.3. sz. Mese Óvoda'!K11+'2.3. sz. Mese Óvoda'!M11+'2.3. sz. Mese Óvoda'!O11+'2.4. sz. Bölcsőde'!E11+'2.4. sz. Bölcsőde'!G11+'2.4. sz. Bölcsőde'!I11+'2.4. sz. Bölcsőde'!K11+'2.4. sz. Bölcsőde'!M11+'2.5. sz. Gyermekjóléti'!E11+'2.5. sz. Gyermekjóléti'!G11+'2.5. sz. Gyermekjóléti'!I11+'2.5. sz. Gyermekjóléti'!K11+'2.5. sz. Gyermekjóléti'!M11+'2.5. sz. Gyermekjóléti'!O11+'2.5. sz. Gyermekjóléti'!Q11+'2.6 sz. Területi'!E11+'2.6 sz. Területi'!G11+'2.6 sz. Területi'!I11+'2.6 sz. Területi'!O11+'2.6 sz. Területi'!Q11+'2.6 sz. Területi'!Y11+'2.6 sz. Területi'!AA11+'2.6 sz. Területi'!AC11+'2.6 sz. Területi'!AE11+'2.6 sz. Területi'!AG11+'2.6 sz. Területi'!AI11+'2.6 sz. Területi'!AK11+'2.6 sz. Területi'!AM11+'2.6 sz. Területi'!AQ11+'2.7. sz. Könyvtár'!E11+'2.7. sz. Könyvtár'!G11+'2.7. sz. Könyvtár'!I11+'2.7. sz. Könyvtár'!K11+'2.7. sz. Könyvtár'!M11+'2.7. sz. Könyvtár'!O11+'2.7. sz. Könyvtár'!Q11+'2.7. sz. Könyvtár'!U11+'2.8. sz. Műv.Ház'!E11+'2.8. sz. Műv.Ház'!G11+'2.8. sz. Műv.Ház'!I11+'2.8. sz. Műv.Ház'!M11+'2.8. sz. Műv.Ház'!O11+'2.8. sz. Műv.Ház'!Q11+'2.9. sz. Szivárvány Ó.'!E11+'2.9. sz. Szivárvány Ó.'!G11+'2.9. sz. Szivárvány Ó.'!I11+'2.9. sz. Szivárvány Ó.'!K11+'2.9. sz. Szivárvány Ó.'!M11+'2.9. sz. Szivárvány Ó.'!O11+'2.7. sz. Könyvtár'!S11+'2.6 sz. Területi'!AO11</f>
        <v>1911665842</v>
      </c>
      <c r="F10" s="7">
        <f>+'2.6 sz. Területi'!J11+'2.6 sz. Területi'!L11+'2.6 sz. Területi'!R11+'2.6 sz. Területi'!T11+'2.6 sz. Területi'!V11+'2.8. sz. Műv.Ház'!J11</f>
        <v>50668277</v>
      </c>
      <c r="G10" s="7">
        <f>+'2.6 sz. Területi'!K11+'2.6 sz. Területi'!M11+'2.6 sz. Területi'!S11+'2.6 sz. Területi'!U11+'2.6 sz. Területi'!W11+'2.8. sz. Műv.Ház'!K11</f>
        <v>52263504</v>
      </c>
      <c r="H10" s="7">
        <f>+'2.1. sz. PMH'!H11+'2.1. sz. PMH'!J11+'2.1. sz. PMH'!N11+'2.1. sz. PMH'!P11+'2.1. sz. PMH'!R11</f>
        <v>45940612</v>
      </c>
      <c r="I10" s="7">
        <f>+'2.1. sz. PMH'!I11+'2.1. sz. PMH'!K11+'2.1. sz. PMH'!O11+'2.1. sz. PMH'!Q11+'2.1. sz. PMH'!S11</f>
        <v>43367011</v>
      </c>
      <c r="J10" s="7">
        <f>D10+F10+H10</f>
        <v>1752468841</v>
      </c>
      <c r="K10" s="7">
        <f>E10+G10+I10</f>
        <v>2007296357</v>
      </c>
      <c r="L10" s="94">
        <f t="shared" si="0"/>
        <v>254827516</v>
      </c>
      <c r="DX10" s="23" t="b">
        <f>'2.10. sz. Intézmények összesen'!D8=SUMIF($D$6:$DW$6,"kötelező",D10:DW10)</f>
        <v>0</v>
      </c>
    </row>
    <row r="11" spans="1:128" ht="23.25" customHeight="1" x14ac:dyDescent="0.25">
      <c r="A11" s="29" t="s">
        <v>191</v>
      </c>
      <c r="B11" s="32" t="s">
        <v>331</v>
      </c>
      <c r="C11" s="30" t="s">
        <v>203</v>
      </c>
      <c r="D11" s="7">
        <f>+'2.1. sz. PMH'!D12+'2.1. sz. PMH'!F12+'2.1. sz. PMH'!L12+'2.1. sz. PMH'!T12+'2.2. sz. Hétszínvirág Óvoda'!D12+'2.2. sz. Hétszínvirág Óvoda'!F12+'2.2. sz. Hétszínvirág Óvoda'!H12+'2.2. sz. Hétszínvirág Óvoda'!J12+'2.2. sz. Hétszínvirág Óvoda'!L12+'2.2. sz. Hétszínvirág Óvoda'!N12+'2.2. sz. Hétszínvirág Óvoda'!R12+'2.3. sz. Mese Óvoda'!D12+'2.3. sz. Mese Óvoda'!F12+'2.3. sz. Mese Óvoda'!H12+'2.3. sz. Mese Óvoda'!J12+'2.3. sz. Mese Óvoda'!L12+'2.3. sz. Mese Óvoda'!N12+'2.4. sz. Bölcsőde'!D12+'2.4. sz. Bölcsőde'!F12+'2.4. sz. Bölcsőde'!H12+'2.4. sz. Bölcsőde'!J12+'2.4. sz. Bölcsőde'!L12+'2.5. sz. Gyermekjóléti'!D12+'2.5. sz. Gyermekjóléti'!F12+'2.5. sz. Gyermekjóléti'!H12+'2.5. sz. Gyermekjóléti'!J12+'2.5. sz. Gyermekjóléti'!L12+'2.5. sz. Gyermekjóléti'!N12+'2.5. sz. Gyermekjóléti'!P12+'2.6 sz. Területi'!D12+'2.6 sz. Területi'!F12+'2.6 sz. Területi'!H12+'2.6 sz. Területi'!N12+'2.6 sz. Területi'!P12+'2.6 sz. Területi'!X12+'2.6 sz. Területi'!Z12+'2.6 sz. Területi'!AB12+'2.6 sz. Területi'!AD12+'2.6 sz. Területi'!AF12+'2.6 sz. Területi'!AH12+'2.6 sz. Területi'!AJ12+'2.6 sz. Területi'!AL12+'2.6 sz. Területi'!AP12+'2.7. sz. Könyvtár'!D12+'2.7. sz. Könyvtár'!F12+'2.7. sz. Könyvtár'!H12+'2.7. sz. Könyvtár'!J12+'2.7. sz. Könyvtár'!L12+'2.7. sz. Könyvtár'!N12+'2.7. sz. Könyvtár'!P12+'2.7. sz. Könyvtár'!T12+'2.8. sz. Műv.Ház'!D12+'2.8. sz. Műv.Ház'!F12+'2.8. sz. Műv.Ház'!H12+'2.8. sz. Műv.Ház'!L12+'2.8. sz. Műv.Ház'!N12+'2.8. sz. Műv.Ház'!P12+'2.9. sz. Szivárvány Ó.'!D12+'2.9. sz. Szivárvány Ó.'!F12+'2.9. sz. Szivárvány Ó.'!H12+'2.9. sz. Szivárvány Ó.'!J12+'2.9. sz. Szivárvány Ó.'!L12+'2.9. sz. Szivárvány Ó.'!N12</f>
        <v>0</v>
      </c>
      <c r="E11" s="7">
        <f>+'2.1. sz. PMH'!E12+'2.1. sz. PMH'!G12+'2.1. sz. PMH'!M12+'2.1. sz. PMH'!U12+'2.2. sz. Hétszínvirág Óvoda'!E12+'2.2. sz. Hétszínvirág Óvoda'!G12+'2.2. sz. Hétszínvirág Óvoda'!I12+'2.2. sz. Hétszínvirág Óvoda'!K12+'2.2. sz. Hétszínvirág Óvoda'!M12+'2.2. sz. Hétszínvirág Óvoda'!O12+'2.2. sz. Hétszínvirág Óvoda'!S12+'2.2. sz. Hétszínvirág Óvoda'!Q12+'2.3. sz. Mese Óvoda'!E12+'2.3. sz. Mese Óvoda'!G12+'2.3. sz. Mese Óvoda'!I12+'2.3. sz. Mese Óvoda'!K12+'2.3. sz. Mese Óvoda'!M12+'2.3. sz. Mese Óvoda'!O12+'2.4. sz. Bölcsőde'!E12+'2.4. sz. Bölcsőde'!G12+'2.4. sz. Bölcsőde'!I12+'2.4. sz. Bölcsőde'!K12+'2.4. sz. Bölcsőde'!M12+'2.5. sz. Gyermekjóléti'!E12+'2.5. sz. Gyermekjóléti'!G12+'2.5. sz. Gyermekjóléti'!I12+'2.5. sz. Gyermekjóléti'!K12+'2.5. sz. Gyermekjóléti'!M12+'2.5. sz. Gyermekjóléti'!O12+'2.5. sz. Gyermekjóléti'!Q12+'2.6 sz. Területi'!E12+'2.6 sz. Területi'!G12+'2.6 sz. Területi'!I12+'2.6 sz. Területi'!O12+'2.6 sz. Területi'!Q12+'2.6 sz. Területi'!Y12+'2.6 sz. Területi'!AA12+'2.6 sz. Területi'!AC12+'2.6 sz. Területi'!AE12+'2.6 sz. Területi'!AG12+'2.6 sz. Területi'!AI12+'2.6 sz. Területi'!AK12+'2.6 sz. Területi'!AM12+'2.6 sz. Területi'!AQ12+'2.7. sz. Könyvtár'!E12+'2.7. sz. Könyvtár'!G12+'2.7. sz. Könyvtár'!I12+'2.7. sz. Könyvtár'!K12+'2.7. sz. Könyvtár'!M12+'2.7. sz. Könyvtár'!O12+'2.7. sz. Könyvtár'!Q12+'2.7. sz. Könyvtár'!U12+'2.8. sz. Műv.Ház'!E12+'2.8. sz. Műv.Ház'!G12+'2.8. sz. Műv.Ház'!I12+'2.8. sz. Műv.Ház'!M12+'2.8. sz. Műv.Ház'!O12+'2.8. sz. Műv.Ház'!Q12+'2.9. sz. Szivárvány Ó.'!E12+'2.9. sz. Szivárvány Ó.'!G12+'2.9. sz. Szivárvány Ó.'!I12+'2.9. sz. Szivárvány Ó.'!K12+'2.9. sz. Szivárvány Ó.'!M12+'2.9. sz. Szivárvány Ó.'!O12+'2.7. sz. Könyvtár'!S12+'2.6 sz. Területi'!AO12</f>
        <v>0</v>
      </c>
      <c r="F11" s="7">
        <f>+'2.6 sz. Területi'!J12+'2.6 sz. Területi'!L12+'2.6 sz. Területi'!R12+'2.6 sz. Területi'!T12+'2.6 sz. Területi'!V12+'2.8. sz. Műv.Ház'!J12</f>
        <v>0</v>
      </c>
      <c r="G11" s="7">
        <f>+'2.6 sz. Területi'!K12+'2.6 sz. Területi'!M12+'2.6 sz. Területi'!S12+'2.6 sz. Területi'!U12+'2.6 sz. Területi'!W12+'2.8. sz. Műv.Ház'!K12</f>
        <v>0</v>
      </c>
      <c r="H11" s="7">
        <f>+'2.1. sz. PMH'!H12+'2.1. sz. PMH'!J12+'2.1. sz. PMH'!N12+'2.1. sz. PMH'!P12+'2.1. sz. PMH'!R12</f>
        <v>0</v>
      </c>
      <c r="I11" s="7">
        <f>+'2.1. sz. PMH'!I12+'2.1. sz. PMH'!K12+'2.1. sz. PMH'!O12+'2.1. sz. PMH'!Q12+'2.1. sz. PMH'!S12</f>
        <v>0</v>
      </c>
      <c r="J11" s="7">
        <f t="shared" si="1"/>
        <v>0</v>
      </c>
      <c r="K11" s="7">
        <f t="shared" si="2"/>
        <v>0</v>
      </c>
      <c r="L11" s="94">
        <f t="shared" si="0"/>
        <v>0</v>
      </c>
    </row>
    <row r="12" spans="1:128" ht="23.25" customHeight="1" x14ac:dyDescent="0.25">
      <c r="A12" s="29" t="s">
        <v>192</v>
      </c>
      <c r="B12" s="32" t="s">
        <v>234</v>
      </c>
      <c r="C12" s="30" t="s">
        <v>204</v>
      </c>
      <c r="D12" s="8">
        <f>+'2.1. sz. PMH'!D13+'2.1. sz. PMH'!F13+'2.1. sz. PMH'!L13+'2.1. sz. PMH'!T13+'2.2. sz. Hétszínvirág Óvoda'!D13+'2.2. sz. Hétszínvirág Óvoda'!F13+'2.2. sz. Hétszínvirág Óvoda'!H13+'2.2. sz. Hétszínvirág Óvoda'!J13+'2.2. sz. Hétszínvirág Óvoda'!L13+'2.2. sz. Hétszínvirág Óvoda'!N13+'2.2. sz. Hétszínvirág Óvoda'!R13+'2.3. sz. Mese Óvoda'!D13+'2.3. sz. Mese Óvoda'!F13+'2.3. sz. Mese Óvoda'!H13+'2.3. sz. Mese Óvoda'!J13+'2.3. sz. Mese Óvoda'!L13+'2.3. sz. Mese Óvoda'!N13+'2.4. sz. Bölcsőde'!D13+'2.4. sz. Bölcsőde'!F13+'2.4. sz. Bölcsőde'!H13+'2.4. sz. Bölcsőde'!J13+'2.4. sz. Bölcsőde'!L13+'2.5. sz. Gyermekjóléti'!D13+'2.5. sz. Gyermekjóléti'!F13+'2.5. sz. Gyermekjóléti'!H13+'2.5. sz. Gyermekjóléti'!J13+'2.5. sz. Gyermekjóléti'!L13+'2.5. sz. Gyermekjóléti'!N13+'2.5. sz. Gyermekjóléti'!P13+'2.6 sz. Területi'!D13+'2.6 sz. Területi'!F13+'2.6 sz. Területi'!H13+'2.6 sz. Területi'!N13+'2.6 sz. Területi'!P13+'2.6 sz. Területi'!X13+'2.6 sz. Területi'!Z13+'2.6 sz. Területi'!AB13+'2.6 sz. Területi'!AD13+'2.6 sz. Területi'!AF13+'2.6 sz. Területi'!AH13+'2.6 sz. Területi'!AJ13+'2.6 sz. Területi'!AL13+'2.6 sz. Területi'!AP13+'2.7. sz. Könyvtár'!D13+'2.7. sz. Könyvtár'!F13+'2.7. sz. Könyvtár'!H13+'2.7. sz. Könyvtár'!J13+'2.7. sz. Könyvtár'!L13+'2.7. sz. Könyvtár'!N13+'2.7. sz. Könyvtár'!P13+'2.7. sz. Könyvtár'!T13+'2.8. sz. Műv.Ház'!D13+'2.8. sz. Műv.Ház'!F13+'2.8. sz. Műv.Ház'!H13+'2.8. sz. Műv.Ház'!L13+'2.8. sz. Műv.Ház'!N13+'2.8. sz. Műv.Ház'!P13+'2.9. sz. Szivárvány Ó.'!D13+'2.9. sz. Szivárvány Ó.'!F13+'2.9. sz. Szivárvány Ó.'!H13+'2.9. sz. Szivárvány Ó.'!J13+'2.9. sz. Szivárvány Ó.'!L13+'2.9. sz. Szivárvány Ó.'!N13</f>
        <v>0</v>
      </c>
      <c r="E12" s="8">
        <f>+'2.1. sz. PMH'!E13+'2.1. sz. PMH'!G13+'2.1. sz. PMH'!M13+'2.1. sz. PMH'!U13+'2.2. sz. Hétszínvirág Óvoda'!E13+'2.2. sz. Hétszínvirág Óvoda'!G13+'2.2. sz. Hétszínvirág Óvoda'!I13+'2.2. sz. Hétszínvirág Óvoda'!K13+'2.2. sz. Hétszínvirág Óvoda'!M13+'2.2. sz. Hétszínvirág Óvoda'!O13+'2.2. sz. Hétszínvirág Óvoda'!S13+'2.2. sz. Hétszínvirág Óvoda'!Q13+'2.3. sz. Mese Óvoda'!E13+'2.3. sz. Mese Óvoda'!G13+'2.3. sz. Mese Óvoda'!I13+'2.3. sz. Mese Óvoda'!K13+'2.3. sz. Mese Óvoda'!M13+'2.3. sz. Mese Óvoda'!O13+'2.4. sz. Bölcsőde'!E13+'2.4. sz. Bölcsőde'!G13+'2.4. sz. Bölcsőde'!I13+'2.4. sz. Bölcsőde'!K13+'2.4. sz. Bölcsőde'!M13+'2.5. sz. Gyermekjóléti'!E13+'2.5. sz. Gyermekjóléti'!G13+'2.5. sz. Gyermekjóléti'!I13+'2.5. sz. Gyermekjóléti'!K13+'2.5. sz. Gyermekjóléti'!M13+'2.5. sz. Gyermekjóléti'!O13+'2.5. sz. Gyermekjóléti'!Q13+'2.6 sz. Területi'!E13+'2.6 sz. Területi'!G13+'2.6 sz. Területi'!I13+'2.6 sz. Területi'!O13+'2.6 sz. Területi'!Q13+'2.6 sz. Területi'!Y13+'2.6 sz. Területi'!AA13+'2.6 sz. Területi'!AC13+'2.6 sz. Területi'!AE13+'2.6 sz. Területi'!AG13+'2.6 sz. Területi'!AI13+'2.6 sz. Területi'!AK13+'2.6 sz. Területi'!AM13+'2.6 sz. Területi'!AQ13+'2.7. sz. Könyvtár'!E13+'2.7. sz. Könyvtár'!G13+'2.7. sz. Könyvtár'!I13+'2.7. sz. Könyvtár'!K13+'2.7. sz. Könyvtár'!M13+'2.7. sz. Könyvtár'!O13+'2.7. sz. Könyvtár'!Q13+'2.7. sz. Könyvtár'!U13+'2.8. sz. Műv.Ház'!E13+'2.8. sz. Műv.Ház'!G13+'2.8. sz. Műv.Ház'!I13+'2.8. sz. Műv.Ház'!M13+'2.8. sz. Műv.Ház'!O13+'2.8. sz. Műv.Ház'!Q13+'2.9. sz. Szivárvány Ó.'!E13+'2.9. sz. Szivárvány Ó.'!G13+'2.9. sz. Szivárvány Ó.'!I13+'2.9. sz. Szivárvány Ó.'!K13+'2.9. sz. Szivárvány Ó.'!M13+'2.9. sz. Szivárvány Ó.'!O13+'2.7. sz. Könyvtár'!S13+'2.6 sz. Területi'!AO13</f>
        <v>111988899</v>
      </c>
      <c r="F12" s="8">
        <f>+'2.6 sz. Területi'!J13+'2.6 sz. Területi'!L13+'2.6 sz. Területi'!R13+'2.6 sz. Területi'!T13+'2.6 sz. Területi'!V13+'2.8. sz. Műv.Ház'!J13</f>
        <v>0</v>
      </c>
      <c r="G12" s="8">
        <f>+'2.6 sz. Területi'!K13+'2.6 sz. Területi'!M13+'2.6 sz. Területi'!S13+'2.6 sz. Területi'!U13+'2.6 sz. Területi'!W13+'2.8. sz. Műv.Ház'!K13</f>
        <v>0</v>
      </c>
      <c r="H12" s="8">
        <f>+'2.1. sz. PMH'!H13+'2.1. sz. PMH'!J13+'2.1. sz. PMH'!N13+'2.1. sz. PMH'!P13+'2.1. sz. PMH'!R13</f>
        <v>0</v>
      </c>
      <c r="I12" s="8">
        <f>+'2.1. sz. PMH'!I13+'2.1. sz. PMH'!K13+'2.1. sz. PMH'!O13+'2.1. sz. PMH'!Q13+'2.1. sz. PMH'!S13</f>
        <v>5109250</v>
      </c>
      <c r="J12" s="8">
        <f t="shared" si="1"/>
        <v>0</v>
      </c>
      <c r="K12" s="8">
        <f t="shared" si="2"/>
        <v>117098149</v>
      </c>
      <c r="L12" s="94">
        <f t="shared" si="0"/>
        <v>117098149</v>
      </c>
    </row>
    <row r="13" spans="1:128" ht="23.25" customHeight="1" x14ac:dyDescent="0.25">
      <c r="A13" s="29" t="s">
        <v>193</v>
      </c>
      <c r="B13" s="33" t="s">
        <v>126</v>
      </c>
      <c r="C13" s="30"/>
      <c r="D13" s="7">
        <f>+'2.1. sz. PMH'!D14+'2.1. sz. PMH'!F14+'2.1. sz. PMH'!L14+'2.1. sz. PMH'!T14+'2.2. sz. Hétszínvirág Óvoda'!D14+'2.2. sz. Hétszínvirág Óvoda'!F14+'2.2. sz. Hétszínvirág Óvoda'!H14+'2.2. sz. Hétszínvirág Óvoda'!J14+'2.2. sz. Hétszínvirág Óvoda'!L14+'2.2. sz. Hétszínvirág Óvoda'!N14+'2.2. sz. Hétszínvirág Óvoda'!R14+'2.3. sz. Mese Óvoda'!D14+'2.3. sz. Mese Óvoda'!F14+'2.3. sz. Mese Óvoda'!H14+'2.3. sz. Mese Óvoda'!J14+'2.3. sz. Mese Óvoda'!L14+'2.3. sz. Mese Óvoda'!N14+'2.4. sz. Bölcsőde'!D14+'2.4. sz. Bölcsőde'!F14+'2.4. sz. Bölcsőde'!H14+'2.4. sz. Bölcsőde'!J14+'2.4. sz. Bölcsőde'!L14+'2.5. sz. Gyermekjóléti'!D14+'2.5. sz. Gyermekjóléti'!F14+'2.5. sz. Gyermekjóléti'!H14+'2.5. sz. Gyermekjóléti'!J14+'2.5. sz. Gyermekjóléti'!L14+'2.5. sz. Gyermekjóléti'!N14+'2.5. sz. Gyermekjóléti'!P14+'2.6 sz. Területi'!D14+'2.6 sz. Területi'!F14+'2.6 sz. Területi'!H14+'2.6 sz. Területi'!N14+'2.6 sz. Területi'!P14+'2.6 sz. Területi'!X14+'2.6 sz. Területi'!Z14+'2.6 sz. Területi'!AB14+'2.6 sz. Területi'!AD14+'2.6 sz. Területi'!AF14+'2.6 sz. Területi'!AH14+'2.6 sz. Területi'!AJ14+'2.6 sz. Területi'!AL14+'2.6 sz. Területi'!AP14+'2.7. sz. Könyvtár'!D14+'2.7. sz. Könyvtár'!F14+'2.7. sz. Könyvtár'!H14+'2.7. sz. Könyvtár'!J14+'2.7. sz. Könyvtár'!L14+'2.7. sz. Könyvtár'!N14+'2.7. sz. Könyvtár'!P14+'2.7. sz. Könyvtár'!T14+'2.8. sz. Műv.Ház'!D14+'2.8. sz. Műv.Ház'!F14+'2.8. sz. Műv.Ház'!H14+'2.8. sz. Műv.Ház'!L14+'2.8. sz. Műv.Ház'!N14+'2.8. sz. Műv.Ház'!P14+'2.9. sz. Szivárvány Ó.'!D14+'2.9. sz. Szivárvány Ó.'!F14+'2.9. sz. Szivárvány Ó.'!H14+'2.9. sz. Szivárvány Ó.'!J14+'2.9. sz. Szivárvány Ó.'!L14+'2.9. sz. Szivárvány Ó.'!N14</f>
        <v>0</v>
      </c>
      <c r="E13" s="7">
        <f>+'2.1. sz. PMH'!E14+'2.1. sz. PMH'!G14+'2.1. sz. PMH'!M14+'2.1. sz. PMH'!U14+'2.2. sz. Hétszínvirág Óvoda'!E14+'2.2. sz. Hétszínvirág Óvoda'!G14+'2.2. sz. Hétszínvirág Óvoda'!I14+'2.2. sz. Hétszínvirág Óvoda'!K14+'2.2. sz. Hétszínvirág Óvoda'!M14+'2.2. sz. Hétszínvirág Óvoda'!O14+'2.2. sz. Hétszínvirág Óvoda'!S14+'2.2. sz. Hétszínvirág Óvoda'!Q14+'2.3. sz. Mese Óvoda'!E14+'2.3. sz. Mese Óvoda'!G14+'2.3. sz. Mese Óvoda'!I14+'2.3. sz. Mese Óvoda'!K14+'2.3. sz. Mese Óvoda'!M14+'2.3. sz. Mese Óvoda'!O14+'2.4. sz. Bölcsőde'!E14+'2.4. sz. Bölcsőde'!G14+'2.4. sz. Bölcsőde'!I14+'2.4. sz. Bölcsőde'!K14+'2.4. sz. Bölcsőde'!M14+'2.5. sz. Gyermekjóléti'!E14+'2.5. sz. Gyermekjóléti'!G14+'2.5. sz. Gyermekjóléti'!I14+'2.5. sz. Gyermekjóléti'!K14+'2.5. sz. Gyermekjóléti'!M14+'2.5. sz. Gyermekjóléti'!O14+'2.5. sz. Gyermekjóléti'!Q14+'2.6 sz. Területi'!E14+'2.6 sz. Területi'!G14+'2.6 sz. Területi'!I14+'2.6 sz. Területi'!O14+'2.6 sz. Területi'!Q14+'2.6 sz. Területi'!Y14+'2.6 sz. Területi'!AA14+'2.6 sz. Területi'!AC14+'2.6 sz. Területi'!AE14+'2.6 sz. Területi'!AG14+'2.6 sz. Területi'!AI14+'2.6 sz. Területi'!AK14+'2.6 sz. Területi'!AM14+'2.6 sz. Területi'!AQ14+'2.7. sz. Könyvtár'!E14+'2.7. sz. Könyvtár'!G14+'2.7. sz. Könyvtár'!I14+'2.7. sz. Könyvtár'!K14+'2.7. sz. Könyvtár'!M14+'2.7. sz. Könyvtár'!O14+'2.7. sz. Könyvtár'!Q14+'2.7. sz. Könyvtár'!U14+'2.8. sz. Műv.Ház'!E14+'2.8. sz. Műv.Ház'!G14+'2.8. sz. Műv.Ház'!I14+'2.8. sz. Műv.Ház'!M14+'2.8. sz. Műv.Ház'!O14+'2.8. sz. Műv.Ház'!Q14+'2.9. sz. Szivárvány Ó.'!E14+'2.9. sz. Szivárvány Ó.'!G14+'2.9. sz. Szivárvány Ó.'!I14+'2.9. sz. Szivárvány Ó.'!K14+'2.9. sz. Szivárvány Ó.'!M14+'2.9. sz. Szivárvány Ó.'!O14+'2.7. sz. Könyvtár'!S14+'2.6 sz. Területi'!AO14</f>
        <v>0</v>
      </c>
      <c r="F13" s="7">
        <f>+'2.6 sz. Területi'!J14+'2.6 sz. Területi'!L14+'2.6 sz. Területi'!R14+'2.6 sz. Területi'!T14+'2.6 sz. Területi'!V14+'2.8. sz. Műv.Ház'!J14</f>
        <v>0</v>
      </c>
      <c r="G13" s="7">
        <f>+'2.6 sz. Területi'!K14+'2.6 sz. Területi'!M14+'2.6 sz. Területi'!S14+'2.6 sz. Területi'!U14+'2.6 sz. Területi'!W14+'2.8. sz. Műv.Ház'!K14</f>
        <v>0</v>
      </c>
      <c r="H13" s="7">
        <f>+'2.1. sz. PMH'!H14+'2.1. sz. PMH'!J14+'2.1. sz. PMH'!N14+'2.1. sz. PMH'!P14+'2.1. sz. PMH'!R14</f>
        <v>0</v>
      </c>
      <c r="I13" s="7">
        <f>+'2.1. sz. PMH'!I14+'2.1. sz. PMH'!K14+'2.1. sz. PMH'!O14+'2.1. sz. PMH'!Q14+'2.1. sz. PMH'!S14</f>
        <v>5109250</v>
      </c>
      <c r="J13" s="7">
        <f t="shared" si="1"/>
        <v>0</v>
      </c>
      <c r="K13" s="7">
        <f t="shared" si="2"/>
        <v>5109250</v>
      </c>
      <c r="L13" s="94">
        <f t="shared" si="0"/>
        <v>5109250</v>
      </c>
    </row>
    <row r="14" spans="1:128" ht="23.25" customHeight="1" x14ac:dyDescent="0.25">
      <c r="A14" s="29" t="s">
        <v>194</v>
      </c>
      <c r="B14" s="33" t="s">
        <v>116</v>
      </c>
      <c r="C14" s="34"/>
      <c r="D14" s="7">
        <f>+'2.1. sz. PMH'!D15+'2.1. sz. PMH'!F15+'2.1. sz. PMH'!L15+'2.1. sz. PMH'!T15+'2.2. sz. Hétszínvirág Óvoda'!D15+'2.2. sz. Hétszínvirág Óvoda'!F15+'2.2. sz. Hétszínvirág Óvoda'!H15+'2.2. sz. Hétszínvirág Óvoda'!J15+'2.2. sz. Hétszínvirág Óvoda'!L15+'2.2. sz. Hétszínvirág Óvoda'!N15+'2.2. sz. Hétszínvirág Óvoda'!R15+'2.3. sz. Mese Óvoda'!D15+'2.3. sz. Mese Óvoda'!F15+'2.3. sz. Mese Óvoda'!H15+'2.3. sz. Mese Óvoda'!J15+'2.3. sz. Mese Óvoda'!L15+'2.3. sz. Mese Óvoda'!N15+'2.4. sz. Bölcsőde'!D15+'2.4. sz. Bölcsőde'!F15+'2.4. sz. Bölcsőde'!H15+'2.4. sz. Bölcsőde'!J15+'2.4. sz. Bölcsőde'!L15+'2.5. sz. Gyermekjóléti'!D15+'2.5. sz. Gyermekjóléti'!F15+'2.5. sz. Gyermekjóléti'!H15+'2.5. sz. Gyermekjóléti'!J15+'2.5. sz. Gyermekjóléti'!L15+'2.5. sz. Gyermekjóléti'!N15+'2.5. sz. Gyermekjóléti'!P15+'2.6 sz. Területi'!D15+'2.6 sz. Területi'!F15+'2.6 sz. Területi'!H15+'2.6 sz. Területi'!N15+'2.6 sz. Területi'!P15+'2.6 sz. Területi'!X15+'2.6 sz. Területi'!Z15+'2.6 sz. Területi'!AB15+'2.6 sz. Területi'!AD15+'2.6 sz. Területi'!AF15+'2.6 sz. Területi'!AH15+'2.6 sz. Területi'!AJ15+'2.6 sz. Területi'!AL15+'2.6 sz. Területi'!AP15+'2.7. sz. Könyvtár'!D15+'2.7. sz. Könyvtár'!F15+'2.7. sz. Könyvtár'!H15+'2.7. sz. Könyvtár'!J15+'2.7. sz. Könyvtár'!L15+'2.7. sz. Könyvtár'!N15+'2.7. sz. Könyvtár'!P15+'2.7. sz. Könyvtár'!T15+'2.8. sz. Műv.Ház'!D15+'2.8. sz. Műv.Ház'!F15+'2.8. sz. Műv.Ház'!H15+'2.8. sz. Műv.Ház'!L15+'2.8. sz. Műv.Ház'!N15+'2.8. sz. Műv.Ház'!P15+'2.9. sz. Szivárvány Ó.'!D15+'2.9. sz. Szivárvány Ó.'!F15+'2.9. sz. Szivárvány Ó.'!H15+'2.9. sz. Szivárvány Ó.'!J15+'2.9. sz. Szivárvány Ó.'!L15+'2.9. sz. Szivárvány Ó.'!N15</f>
        <v>0</v>
      </c>
      <c r="E14" s="7">
        <f>+'2.1. sz. PMH'!E15+'2.1. sz. PMH'!G15+'2.1. sz. PMH'!M15+'2.1. sz. PMH'!U15+'2.2. sz. Hétszínvirág Óvoda'!E15+'2.2. sz. Hétszínvirág Óvoda'!G15+'2.2. sz. Hétszínvirág Óvoda'!I15+'2.2. sz. Hétszínvirág Óvoda'!K15+'2.2. sz. Hétszínvirág Óvoda'!M15+'2.2. sz. Hétszínvirág Óvoda'!O15+'2.2. sz. Hétszínvirág Óvoda'!S15+'2.2. sz. Hétszínvirág Óvoda'!Q15+'2.3. sz. Mese Óvoda'!E15+'2.3. sz. Mese Óvoda'!G15+'2.3. sz. Mese Óvoda'!I15+'2.3. sz. Mese Óvoda'!K15+'2.3. sz. Mese Óvoda'!M15+'2.3. sz. Mese Óvoda'!O15+'2.4. sz. Bölcsőde'!E15+'2.4. sz. Bölcsőde'!G15+'2.4. sz. Bölcsőde'!I15+'2.4. sz. Bölcsőde'!K15+'2.4. sz. Bölcsőde'!M15+'2.5. sz. Gyermekjóléti'!E15+'2.5. sz. Gyermekjóléti'!G15+'2.5. sz. Gyermekjóléti'!I15+'2.5. sz. Gyermekjóléti'!K15+'2.5. sz. Gyermekjóléti'!M15+'2.5. sz. Gyermekjóléti'!O15+'2.5. sz. Gyermekjóléti'!Q15+'2.6 sz. Területi'!E15+'2.6 sz. Területi'!G15+'2.6 sz. Területi'!I15+'2.6 sz. Területi'!O15+'2.6 sz. Területi'!Q15+'2.6 sz. Területi'!Y15+'2.6 sz. Területi'!AA15+'2.6 sz. Területi'!AC15+'2.6 sz. Területi'!AE15+'2.6 sz. Területi'!AG15+'2.6 sz. Területi'!AI15+'2.6 sz. Területi'!AK15+'2.6 sz. Területi'!AM15+'2.6 sz. Területi'!AQ15+'2.7. sz. Könyvtár'!E15+'2.7. sz. Könyvtár'!G15+'2.7. sz. Könyvtár'!I15+'2.7. sz. Könyvtár'!K15+'2.7. sz. Könyvtár'!M15+'2.7. sz. Könyvtár'!O15+'2.7. sz. Könyvtár'!Q15+'2.7. sz. Könyvtár'!U15+'2.8. sz. Műv.Ház'!E15+'2.8. sz. Műv.Ház'!G15+'2.8. sz. Műv.Ház'!I15+'2.8. sz. Műv.Ház'!M15+'2.8. sz. Műv.Ház'!O15+'2.8. sz. Műv.Ház'!Q15+'2.9. sz. Szivárvány Ó.'!E15+'2.9. sz. Szivárvány Ó.'!G15+'2.9. sz. Szivárvány Ó.'!I15+'2.9. sz. Szivárvány Ó.'!K15+'2.9. sz. Szivárvány Ó.'!M15+'2.9. sz. Szivárvány Ó.'!O15+'2.7. sz. Könyvtár'!S15+'2.6 sz. Területi'!AO15</f>
        <v>0</v>
      </c>
      <c r="F14" s="7">
        <f>+'2.6 sz. Területi'!J15+'2.6 sz. Területi'!L15+'2.6 sz. Területi'!R15+'2.6 sz. Területi'!T15+'2.6 sz. Területi'!V15+'2.8. sz. Műv.Ház'!J15</f>
        <v>0</v>
      </c>
      <c r="G14" s="7">
        <f>+'2.6 sz. Területi'!K15+'2.6 sz. Területi'!M15+'2.6 sz. Területi'!S15+'2.6 sz. Területi'!U15+'2.6 sz. Területi'!W15+'2.8. sz. Műv.Ház'!K15</f>
        <v>0</v>
      </c>
      <c r="H14" s="7">
        <f>+'2.1. sz. PMH'!H15+'2.1. sz. PMH'!J15+'2.1. sz. PMH'!N15+'2.1. sz. PMH'!P15+'2.1. sz. PMH'!R15</f>
        <v>0</v>
      </c>
      <c r="I14" s="7">
        <f>+'2.1. sz. PMH'!I15+'2.1. sz. PMH'!K15+'2.1. sz. PMH'!O15+'2.1. sz. PMH'!Q15+'2.1. sz. PMH'!S15</f>
        <v>0</v>
      </c>
      <c r="J14" s="7">
        <f t="shared" si="1"/>
        <v>0</v>
      </c>
      <c r="K14" s="7">
        <f t="shared" si="2"/>
        <v>0</v>
      </c>
      <c r="L14" s="94">
        <f t="shared" si="0"/>
        <v>0</v>
      </c>
    </row>
    <row r="15" spans="1:128" ht="23.25" customHeight="1" x14ac:dyDescent="0.25">
      <c r="A15" s="29" t="s">
        <v>195</v>
      </c>
      <c r="B15" s="103" t="s">
        <v>550</v>
      </c>
      <c r="C15" s="34"/>
      <c r="D15" s="7">
        <f>+'2.1. sz. PMH'!D16+'2.1. sz. PMH'!F16+'2.1. sz. PMH'!L16+'2.1. sz. PMH'!T16+'2.2. sz. Hétszínvirág Óvoda'!D16+'2.2. sz. Hétszínvirág Óvoda'!F16+'2.2. sz. Hétszínvirág Óvoda'!H16+'2.2. sz. Hétszínvirág Óvoda'!J16+'2.2. sz. Hétszínvirág Óvoda'!L16+'2.2. sz. Hétszínvirág Óvoda'!N16+'2.2. sz. Hétszínvirág Óvoda'!R16+'2.3. sz. Mese Óvoda'!D16+'2.3. sz. Mese Óvoda'!F16+'2.3. sz. Mese Óvoda'!H16+'2.3. sz. Mese Óvoda'!J16+'2.3. sz. Mese Óvoda'!L16+'2.3. sz. Mese Óvoda'!N16+'2.4. sz. Bölcsőde'!D16+'2.4. sz. Bölcsőde'!F16+'2.4. sz. Bölcsőde'!H16+'2.4. sz. Bölcsőde'!J16+'2.4. sz. Bölcsőde'!L16+'2.5. sz. Gyermekjóléti'!D16+'2.5. sz. Gyermekjóléti'!F16+'2.5. sz. Gyermekjóléti'!H16+'2.5. sz. Gyermekjóléti'!J16+'2.5. sz. Gyermekjóléti'!L16+'2.5. sz. Gyermekjóléti'!N16+'2.5. sz. Gyermekjóléti'!P16+'2.6 sz. Területi'!D16+'2.6 sz. Területi'!F16+'2.6 sz. Területi'!H16+'2.6 sz. Területi'!N16+'2.6 sz. Területi'!P16+'2.6 sz. Területi'!X16+'2.6 sz. Területi'!Z16+'2.6 sz. Területi'!AB16+'2.6 sz. Területi'!AD16+'2.6 sz. Területi'!AF16+'2.6 sz. Területi'!AH16+'2.6 sz. Területi'!AJ16+'2.6 sz. Területi'!AL16+'2.6 sz. Területi'!AP16+'2.7. sz. Könyvtár'!D16+'2.7. sz. Könyvtár'!F16+'2.7. sz. Könyvtár'!H16+'2.7. sz. Könyvtár'!J16+'2.7. sz. Könyvtár'!L16+'2.7. sz. Könyvtár'!N16+'2.7. sz. Könyvtár'!P16+'2.7. sz. Könyvtár'!T16+'2.8. sz. Műv.Ház'!D16+'2.8. sz. Műv.Ház'!F16+'2.8. sz. Műv.Ház'!H16+'2.8. sz. Műv.Ház'!L16+'2.8. sz. Műv.Ház'!N16+'2.8. sz. Műv.Ház'!P16+'2.9. sz. Szivárvány Ó.'!D16+'2.9. sz. Szivárvány Ó.'!F16+'2.9. sz. Szivárvány Ó.'!H16+'2.9. sz. Szivárvány Ó.'!J16+'2.9. sz. Szivárvány Ó.'!L16+'2.9. sz. Szivárvány Ó.'!N16</f>
        <v>0</v>
      </c>
      <c r="E15" s="7">
        <f>+'2.1. sz. PMH'!E16+'2.1. sz. PMH'!G16+'2.1. sz. PMH'!M16+'2.1. sz. PMH'!U16+'2.2. sz. Hétszínvirág Óvoda'!E16+'2.2. sz. Hétszínvirág Óvoda'!G16+'2.2. sz. Hétszínvirág Óvoda'!I16+'2.2. sz. Hétszínvirág Óvoda'!K16+'2.2. sz. Hétszínvirág Óvoda'!M16+'2.2. sz. Hétszínvirág Óvoda'!O16+'2.2. sz. Hétszínvirág Óvoda'!S16+'2.2. sz. Hétszínvirág Óvoda'!Q16+'2.3. sz. Mese Óvoda'!E16+'2.3. sz. Mese Óvoda'!G16+'2.3. sz. Mese Óvoda'!I16+'2.3. sz. Mese Óvoda'!K16+'2.3. sz. Mese Óvoda'!M16+'2.3. sz. Mese Óvoda'!O16+'2.4. sz. Bölcsőde'!E16+'2.4. sz. Bölcsőde'!G16+'2.4. sz. Bölcsőde'!I16+'2.4. sz. Bölcsőde'!K16+'2.4. sz. Bölcsőde'!M16+'2.5. sz. Gyermekjóléti'!E16+'2.5. sz. Gyermekjóléti'!G16+'2.5. sz. Gyermekjóléti'!I16+'2.5. sz. Gyermekjóléti'!K16+'2.5. sz. Gyermekjóléti'!M16+'2.5. sz. Gyermekjóléti'!O16+'2.5. sz. Gyermekjóléti'!Q16+'2.6 sz. Területi'!E16+'2.6 sz. Területi'!G16+'2.6 sz. Területi'!I16+'2.6 sz. Területi'!O16+'2.6 sz. Területi'!Q16+'2.6 sz. Területi'!Y16+'2.6 sz. Területi'!AA16+'2.6 sz. Területi'!AC16+'2.6 sz. Területi'!AE16+'2.6 sz. Területi'!AG16+'2.6 sz. Területi'!AI16+'2.6 sz. Területi'!AK16+'2.6 sz. Területi'!AM16+'2.6 sz. Területi'!AQ16+'2.7. sz. Könyvtár'!E16+'2.7. sz. Könyvtár'!G16+'2.7. sz. Könyvtár'!I16+'2.7. sz. Könyvtár'!K16+'2.7. sz. Könyvtár'!M16+'2.7. sz. Könyvtár'!O16+'2.7. sz. Könyvtár'!Q16+'2.7. sz. Könyvtár'!U16+'2.8. sz. Műv.Ház'!E16+'2.8. sz. Műv.Ház'!G16+'2.8. sz. Műv.Ház'!I16+'2.8. sz. Műv.Ház'!M16+'2.8. sz. Műv.Ház'!O16+'2.8. sz. Műv.Ház'!Q16+'2.9. sz. Szivárvány Ó.'!E16+'2.9. sz. Szivárvány Ó.'!G16+'2.9. sz. Szivárvány Ó.'!I16+'2.9. sz. Szivárvány Ó.'!K16+'2.9. sz. Szivárvány Ó.'!M16+'2.9. sz. Szivárvány Ó.'!O16+'2.7. sz. Könyvtár'!S16+'2.6 sz. Területi'!AO16</f>
        <v>111988899</v>
      </c>
      <c r="F15" s="7">
        <f>+'2.6 sz. Területi'!J16+'2.6 sz. Területi'!L16+'2.6 sz. Területi'!R16+'2.6 sz. Területi'!T16+'2.6 sz. Területi'!V16+'2.8. sz. Műv.Ház'!J16</f>
        <v>0</v>
      </c>
      <c r="G15" s="7">
        <f>+'2.6 sz. Területi'!K16+'2.6 sz. Területi'!M16+'2.6 sz. Területi'!S16+'2.6 sz. Területi'!U16+'2.6 sz. Területi'!W16+'2.8. sz. Műv.Ház'!K16</f>
        <v>0</v>
      </c>
      <c r="H15" s="7">
        <f>+'2.1. sz. PMH'!H16+'2.1. sz. PMH'!J16+'2.1. sz. PMH'!N16+'2.1. sz. PMH'!P16+'2.1. sz. PMH'!R16</f>
        <v>0</v>
      </c>
      <c r="I15" s="7">
        <f>+'2.1. sz. PMH'!I16+'2.1. sz. PMH'!K16+'2.1. sz. PMH'!O16+'2.1. sz. PMH'!Q16+'2.1. sz. PMH'!S16</f>
        <v>0</v>
      </c>
      <c r="J15" s="7">
        <f t="shared" si="1"/>
        <v>0</v>
      </c>
      <c r="K15" s="7">
        <f t="shared" si="2"/>
        <v>111988899</v>
      </c>
      <c r="L15" s="94"/>
    </row>
    <row r="16" spans="1:128" ht="23.25" customHeight="1" x14ac:dyDescent="0.25">
      <c r="A16" s="29" t="s">
        <v>196</v>
      </c>
      <c r="B16" s="35" t="s">
        <v>241</v>
      </c>
      <c r="C16" s="30" t="s">
        <v>205</v>
      </c>
      <c r="D16" s="7">
        <f>+'2.1. sz. PMH'!D17+'2.1. sz. PMH'!F17+'2.1. sz. PMH'!L17+'2.1. sz. PMH'!T17+'2.2. sz. Hétszínvirág Óvoda'!D17+'2.2. sz. Hétszínvirág Óvoda'!F17+'2.2. sz. Hétszínvirág Óvoda'!H17+'2.2. sz. Hétszínvirág Óvoda'!J17+'2.2. sz. Hétszínvirág Óvoda'!L17+'2.2. sz. Hétszínvirág Óvoda'!N17+'2.2. sz. Hétszínvirág Óvoda'!R17+'2.3. sz. Mese Óvoda'!D17+'2.3. sz. Mese Óvoda'!F17+'2.3. sz. Mese Óvoda'!H17+'2.3. sz. Mese Óvoda'!J17+'2.3. sz. Mese Óvoda'!L17+'2.3. sz. Mese Óvoda'!N17+'2.4. sz. Bölcsőde'!D17+'2.4. sz. Bölcsőde'!F17+'2.4. sz. Bölcsőde'!H17+'2.4. sz. Bölcsőde'!J17+'2.4. sz. Bölcsőde'!L17+'2.5. sz. Gyermekjóléti'!D17+'2.5. sz. Gyermekjóléti'!F17+'2.5. sz. Gyermekjóléti'!H17+'2.5. sz. Gyermekjóléti'!J17+'2.5. sz. Gyermekjóléti'!L17+'2.5. sz. Gyermekjóléti'!N17+'2.5. sz. Gyermekjóléti'!P17+'2.6 sz. Területi'!D17+'2.6 sz. Területi'!F17+'2.6 sz. Területi'!H17+'2.6 sz. Területi'!N17+'2.6 sz. Területi'!P17+'2.6 sz. Területi'!X17+'2.6 sz. Területi'!Z17+'2.6 sz. Területi'!AB17+'2.6 sz. Területi'!AD17+'2.6 sz. Területi'!AF17+'2.6 sz. Területi'!AH17+'2.6 sz. Területi'!AJ17+'2.6 sz. Területi'!AL17+'2.6 sz. Területi'!AP17+'2.7. sz. Könyvtár'!D17+'2.7. sz. Könyvtár'!F17+'2.7. sz. Könyvtár'!H17+'2.7. sz. Könyvtár'!J17+'2.7. sz. Könyvtár'!L17+'2.7. sz. Könyvtár'!N17+'2.7. sz. Könyvtár'!P17+'2.7. sz. Könyvtár'!T17+'2.8. sz. Műv.Ház'!D17+'2.8. sz. Műv.Ház'!F17+'2.8. sz. Műv.Ház'!H17+'2.8. sz. Műv.Ház'!L17+'2.8. sz. Műv.Ház'!N17+'2.8. sz. Műv.Ház'!P17+'2.9. sz. Szivárvány Ó.'!D17+'2.9. sz. Szivárvány Ó.'!F17+'2.9. sz. Szivárvány Ó.'!H17+'2.9. sz. Szivárvány Ó.'!J17+'2.9. sz. Szivárvány Ó.'!L17+'2.9. sz. Szivárvány Ó.'!N17</f>
        <v>54612921</v>
      </c>
      <c r="E16" s="7">
        <f>+'2.1. sz. PMH'!E17+'2.1. sz. PMH'!G17+'2.1. sz. PMH'!M17+'2.1. sz. PMH'!U17+'2.2. sz. Hétszínvirág Óvoda'!E17+'2.2. sz. Hétszínvirág Óvoda'!G17+'2.2. sz. Hétszínvirág Óvoda'!I17+'2.2. sz. Hétszínvirág Óvoda'!K17+'2.2. sz. Hétszínvirág Óvoda'!M17+'2.2. sz. Hétszínvirág Óvoda'!O17+'2.2. sz. Hétszínvirág Óvoda'!S17+'2.2. sz. Hétszínvirág Óvoda'!Q17+'2.3. sz. Mese Óvoda'!E17+'2.3. sz. Mese Óvoda'!G17+'2.3. sz. Mese Óvoda'!I17+'2.3. sz. Mese Óvoda'!K17+'2.3. sz. Mese Óvoda'!M17+'2.3. sz. Mese Óvoda'!O17+'2.4. sz. Bölcsőde'!E17+'2.4. sz. Bölcsőde'!G17+'2.4. sz. Bölcsőde'!I17+'2.4. sz. Bölcsőde'!K17+'2.4. sz. Bölcsőde'!M17+'2.5. sz. Gyermekjóléti'!E17+'2.5. sz. Gyermekjóléti'!G17+'2.5. sz. Gyermekjóléti'!I17+'2.5. sz. Gyermekjóléti'!K17+'2.5. sz. Gyermekjóléti'!M17+'2.5. sz. Gyermekjóléti'!O17+'2.5. sz. Gyermekjóléti'!Q17+'2.6 sz. Területi'!E17+'2.6 sz. Területi'!G17+'2.6 sz. Területi'!I17+'2.6 sz. Területi'!O17+'2.6 sz. Területi'!Q17+'2.6 sz. Területi'!Y17+'2.6 sz. Területi'!AA17+'2.6 sz. Területi'!AC17+'2.6 sz. Területi'!AE17+'2.6 sz. Területi'!AG17+'2.6 sz. Területi'!AI17+'2.6 sz. Területi'!AK17+'2.6 sz. Területi'!AM17+'2.6 sz. Területi'!AQ17+'2.7. sz. Könyvtár'!E17+'2.7. sz. Könyvtár'!G17+'2.7. sz. Könyvtár'!I17+'2.7. sz. Könyvtár'!K17+'2.7. sz. Könyvtár'!M17+'2.7. sz. Könyvtár'!O17+'2.7. sz. Könyvtár'!Q17+'2.7. sz. Könyvtár'!U17+'2.8. sz. Műv.Ház'!E17+'2.8. sz. Műv.Ház'!G17+'2.8. sz. Műv.Ház'!I17+'2.8. sz. Műv.Ház'!M17+'2.8. sz. Műv.Ház'!O17+'2.8. sz. Műv.Ház'!Q17+'2.9. sz. Szivárvány Ó.'!E17+'2.9. sz. Szivárvány Ó.'!G17+'2.9. sz. Szivárvány Ó.'!I17+'2.9. sz. Szivárvány Ó.'!K17+'2.9. sz. Szivárvány Ó.'!M17+'2.9. sz. Szivárvány Ó.'!O17+'2.7. sz. Könyvtár'!S17+'2.6 sz. Területi'!AO17</f>
        <v>70423670</v>
      </c>
      <c r="F16" s="7">
        <f>+'2.6 sz. Területi'!J17+'2.6 sz. Területi'!L17+'2.6 sz. Területi'!R17+'2.6 sz. Területi'!T17+'2.6 sz. Területi'!V17+'2.8. sz. Műv.Ház'!J17</f>
        <v>2222500</v>
      </c>
      <c r="G16" s="7">
        <f>+'2.6 sz. Területi'!K17+'2.6 sz. Területi'!M17+'2.6 sz. Területi'!S17+'2.6 sz. Területi'!U17+'2.6 sz. Területi'!W17+'2.8. sz. Műv.Ház'!K17</f>
        <v>3143250</v>
      </c>
      <c r="H16" s="7">
        <f>+'2.1. sz. PMH'!H17+'2.1. sz. PMH'!J17+'2.1. sz. PMH'!N17+'2.1. sz. PMH'!P17+'2.1. sz. PMH'!R17</f>
        <v>13754100</v>
      </c>
      <c r="I16" s="7">
        <f>+'2.1. sz. PMH'!I17+'2.1. sz. PMH'!K17+'2.1. sz. PMH'!O17+'2.1. sz. PMH'!Q17+'2.1. sz. PMH'!S17</f>
        <v>13754100</v>
      </c>
      <c r="J16" s="7">
        <f t="shared" si="1"/>
        <v>70589521</v>
      </c>
      <c r="K16" s="7">
        <f t="shared" si="2"/>
        <v>87321020</v>
      </c>
      <c r="L16" s="94">
        <f t="shared" ref="L16:L25" si="3">K16-J16</f>
        <v>16731499</v>
      </c>
    </row>
    <row r="17" spans="1:13" ht="23.25" customHeight="1" x14ac:dyDescent="0.25">
      <c r="A17" s="29" t="s">
        <v>197</v>
      </c>
      <c r="B17" s="32" t="s">
        <v>332</v>
      </c>
      <c r="C17" s="30" t="s">
        <v>206</v>
      </c>
      <c r="D17" s="7">
        <f>+'2.1. sz. PMH'!D18+'2.1. sz. PMH'!F18+'2.1. sz. PMH'!L18+'2.1. sz. PMH'!T18+'2.2. sz. Hétszínvirág Óvoda'!D18+'2.2. sz. Hétszínvirág Óvoda'!F18+'2.2. sz. Hétszínvirág Óvoda'!H18+'2.2. sz. Hétszínvirág Óvoda'!J18+'2.2. sz. Hétszínvirág Óvoda'!L18+'2.2. sz. Hétszínvirág Óvoda'!N18+'2.2. sz. Hétszínvirág Óvoda'!R18+'2.3. sz. Mese Óvoda'!D18+'2.3. sz. Mese Óvoda'!F18+'2.3. sz. Mese Óvoda'!H18+'2.3. sz. Mese Óvoda'!J18+'2.3. sz. Mese Óvoda'!L18+'2.3. sz. Mese Óvoda'!N18+'2.4. sz. Bölcsőde'!D18+'2.4. sz. Bölcsőde'!F18+'2.4. sz. Bölcsőde'!H18+'2.4. sz. Bölcsőde'!J18+'2.4. sz. Bölcsőde'!L18+'2.5. sz. Gyermekjóléti'!D18+'2.5. sz. Gyermekjóléti'!F18+'2.5. sz. Gyermekjóléti'!H18+'2.5. sz. Gyermekjóléti'!J18+'2.5. sz. Gyermekjóléti'!L18+'2.5. sz. Gyermekjóléti'!N18+'2.5. sz. Gyermekjóléti'!P18+'2.6 sz. Területi'!D18+'2.6 sz. Területi'!F18+'2.6 sz. Területi'!H18+'2.6 sz. Területi'!N18+'2.6 sz. Területi'!P18+'2.6 sz. Területi'!X18+'2.6 sz. Területi'!Z18+'2.6 sz. Területi'!AB18+'2.6 sz. Területi'!AD18+'2.6 sz. Területi'!AF18+'2.6 sz. Területi'!AH18+'2.6 sz. Területi'!AJ18+'2.6 sz. Területi'!AL18+'2.6 sz. Területi'!AP18+'2.7. sz. Könyvtár'!D18+'2.7. sz. Könyvtár'!F18+'2.7. sz. Könyvtár'!H18+'2.7. sz. Könyvtár'!J18+'2.7. sz. Könyvtár'!L18+'2.7. sz. Könyvtár'!N18+'2.7. sz. Könyvtár'!P18+'2.7. sz. Könyvtár'!T18+'2.8. sz. Műv.Ház'!D18+'2.8. sz. Műv.Ház'!F18+'2.8. sz. Műv.Ház'!H18+'2.8. sz. Műv.Ház'!L18+'2.8. sz. Műv.Ház'!N18+'2.8. sz. Műv.Ház'!P18+'2.9. sz. Szivárvány Ó.'!D18+'2.9. sz. Szivárvány Ó.'!F18+'2.9. sz. Szivárvány Ó.'!H18+'2.9. sz. Szivárvány Ó.'!J18+'2.9. sz. Szivárvány Ó.'!L18+'2.9. sz. Szivárvány Ó.'!N18</f>
        <v>0</v>
      </c>
      <c r="E17" s="7">
        <f>+'2.1. sz. PMH'!E18+'2.1. sz. PMH'!G18+'2.1. sz. PMH'!M18+'2.1. sz. PMH'!U18+'2.2. sz. Hétszínvirág Óvoda'!E18+'2.2. sz. Hétszínvirág Óvoda'!G18+'2.2. sz. Hétszínvirág Óvoda'!I18+'2.2. sz. Hétszínvirág Óvoda'!K18+'2.2. sz. Hétszínvirág Óvoda'!M18+'2.2. sz. Hétszínvirág Óvoda'!O18+'2.2. sz. Hétszínvirág Óvoda'!S18+'2.2. sz. Hétszínvirág Óvoda'!Q18+'2.3. sz. Mese Óvoda'!E18+'2.3. sz. Mese Óvoda'!G18+'2.3. sz. Mese Óvoda'!I18+'2.3. sz. Mese Óvoda'!K18+'2.3. sz. Mese Óvoda'!M18+'2.3. sz. Mese Óvoda'!O18+'2.4. sz. Bölcsőde'!E18+'2.4. sz. Bölcsőde'!G18+'2.4. sz. Bölcsőde'!I18+'2.4. sz. Bölcsőde'!K18+'2.4. sz. Bölcsőde'!M18+'2.5. sz. Gyermekjóléti'!E18+'2.5. sz. Gyermekjóléti'!G18+'2.5. sz. Gyermekjóléti'!I18+'2.5. sz. Gyermekjóléti'!K18+'2.5. sz. Gyermekjóléti'!M18+'2.5. sz. Gyermekjóléti'!O18+'2.5. sz. Gyermekjóléti'!Q18+'2.6 sz. Területi'!E18+'2.6 sz. Területi'!G18+'2.6 sz. Területi'!I18+'2.6 sz. Területi'!O18+'2.6 sz. Területi'!Q18+'2.6 sz. Területi'!Y18+'2.6 sz. Területi'!AA18+'2.6 sz. Területi'!AC18+'2.6 sz. Területi'!AE18+'2.6 sz. Területi'!AG18+'2.6 sz. Területi'!AI18+'2.6 sz. Területi'!AK18+'2.6 sz. Területi'!AM18+'2.6 sz. Területi'!AQ18+'2.7. sz. Könyvtár'!E18+'2.7. sz. Könyvtár'!G18+'2.7. sz. Könyvtár'!I18+'2.7. sz. Könyvtár'!K18+'2.7. sz. Könyvtár'!M18+'2.7. sz. Könyvtár'!O18+'2.7. sz. Könyvtár'!Q18+'2.7. sz. Könyvtár'!U18+'2.8. sz. Műv.Ház'!E18+'2.8. sz. Műv.Ház'!G18+'2.8. sz. Műv.Ház'!I18+'2.8. sz. Műv.Ház'!M18+'2.8. sz. Műv.Ház'!O18+'2.8. sz. Műv.Ház'!Q18+'2.9. sz. Szivárvány Ó.'!E18+'2.9. sz. Szivárvány Ó.'!G18+'2.9. sz. Szivárvány Ó.'!I18+'2.9. sz. Szivárvány Ó.'!K18+'2.9. sz. Szivárvány Ó.'!M18+'2.9. sz. Szivárvány Ó.'!O18+'2.7. sz. Könyvtár'!S18+'2.6 sz. Területi'!AO18</f>
        <v>0</v>
      </c>
      <c r="F17" s="7">
        <f>+'2.6 sz. Területi'!J18+'2.6 sz. Területi'!L18+'2.6 sz. Területi'!R18+'2.6 sz. Területi'!T18+'2.6 sz. Területi'!V18+'2.8. sz. Műv.Ház'!J18</f>
        <v>0</v>
      </c>
      <c r="G17" s="7">
        <f>+'2.6 sz. Területi'!K18+'2.6 sz. Területi'!M18+'2.6 sz. Területi'!S18+'2.6 sz. Területi'!U18+'2.6 sz. Területi'!W18+'2.8. sz. Műv.Ház'!K18</f>
        <v>0</v>
      </c>
      <c r="H17" s="7">
        <f>+'2.1. sz. PMH'!H18+'2.1. sz. PMH'!J18+'2.1. sz. PMH'!N18+'2.1. sz. PMH'!P18+'2.1. sz. PMH'!R18</f>
        <v>0</v>
      </c>
      <c r="I17" s="7">
        <f>+'2.1. sz. PMH'!I18+'2.1. sz. PMH'!K18+'2.1. sz. PMH'!O18+'2.1. sz. PMH'!Q18+'2.1. sz. PMH'!S18</f>
        <v>0</v>
      </c>
      <c r="J17" s="7">
        <f t="shared" si="1"/>
        <v>0</v>
      </c>
      <c r="K17" s="7">
        <f t="shared" si="2"/>
        <v>0</v>
      </c>
      <c r="L17" s="94">
        <f t="shared" si="3"/>
        <v>0</v>
      </c>
    </row>
    <row r="18" spans="1:13" ht="23.25" customHeight="1" x14ac:dyDescent="0.25">
      <c r="A18" s="29" t="s">
        <v>198</v>
      </c>
      <c r="B18" s="32" t="s">
        <v>235</v>
      </c>
      <c r="C18" s="30" t="s">
        <v>207</v>
      </c>
      <c r="D18" s="8">
        <f>+'2.1. sz. PMH'!D19+'2.1. sz. PMH'!F19+'2.1. sz. PMH'!L19+'2.1. sz. PMH'!T19+'2.2. sz. Hétszínvirág Óvoda'!D19+'2.2. sz. Hétszínvirág Óvoda'!F19+'2.2. sz. Hétszínvirág Óvoda'!H19+'2.2. sz. Hétszínvirág Óvoda'!J19+'2.2. sz. Hétszínvirág Óvoda'!L19+'2.2. sz. Hétszínvirág Óvoda'!N19+'2.2. sz. Hétszínvirág Óvoda'!R19+'2.3. sz. Mese Óvoda'!D19+'2.3. sz. Mese Óvoda'!F19+'2.3. sz. Mese Óvoda'!H19+'2.3. sz. Mese Óvoda'!J19+'2.3. sz. Mese Óvoda'!L19+'2.3. sz. Mese Óvoda'!N19+'2.4. sz. Bölcsőde'!D19+'2.4. sz. Bölcsőde'!F19+'2.4. sz. Bölcsőde'!H19+'2.4. sz. Bölcsőde'!J19+'2.4. sz. Bölcsőde'!L19+'2.5. sz. Gyermekjóléti'!D19+'2.5. sz. Gyermekjóléti'!F19+'2.5. sz. Gyermekjóléti'!H19+'2.5. sz. Gyermekjóléti'!J19+'2.5. sz. Gyermekjóléti'!L19+'2.5. sz. Gyermekjóléti'!N19+'2.5. sz. Gyermekjóléti'!P19+'2.6 sz. Területi'!D19+'2.6 sz. Területi'!F19+'2.6 sz. Területi'!H19+'2.6 sz. Területi'!N19+'2.6 sz. Területi'!P19+'2.6 sz. Területi'!X19+'2.6 sz. Területi'!Z19+'2.6 sz. Területi'!AB19+'2.6 sz. Területi'!AD19+'2.6 sz. Területi'!AF19+'2.6 sz. Területi'!AH19+'2.6 sz. Területi'!AJ19+'2.6 sz. Területi'!AL19+'2.6 sz. Területi'!AP19+'2.7. sz. Könyvtár'!D19+'2.7. sz. Könyvtár'!F19+'2.7. sz. Könyvtár'!H19+'2.7. sz. Könyvtár'!J19+'2.7. sz. Könyvtár'!L19+'2.7. sz. Könyvtár'!N19+'2.7. sz. Könyvtár'!P19+'2.7. sz. Könyvtár'!T19+'2.8. sz. Műv.Ház'!D19+'2.8. sz. Műv.Ház'!F19+'2.8. sz. Műv.Ház'!H19+'2.8. sz. Műv.Ház'!L19+'2.8. sz. Műv.Ház'!N19+'2.8. sz. Műv.Ház'!P19+'2.9. sz. Szivárvány Ó.'!D19+'2.9. sz. Szivárvány Ó.'!F19+'2.9. sz. Szivárvány Ó.'!H19+'2.9. sz. Szivárvány Ó.'!J19+'2.9. sz. Szivárvány Ó.'!L19+'2.9. sz. Szivárvány Ó.'!N19</f>
        <v>10000000</v>
      </c>
      <c r="E18" s="8">
        <f>+'2.1. sz. PMH'!E19+'2.1. sz. PMH'!G19+'2.1. sz. PMH'!M19+'2.1. sz. PMH'!U19+'2.2. sz. Hétszínvirág Óvoda'!E19+'2.2. sz. Hétszínvirág Óvoda'!G19+'2.2. sz. Hétszínvirág Óvoda'!I19+'2.2. sz. Hétszínvirág Óvoda'!K19+'2.2. sz. Hétszínvirág Óvoda'!M19+'2.2. sz. Hétszínvirág Óvoda'!O19+'2.2. sz. Hétszínvirág Óvoda'!S19+'2.2. sz. Hétszínvirág Óvoda'!Q19+'2.3. sz. Mese Óvoda'!E19+'2.3. sz. Mese Óvoda'!G19+'2.3. sz. Mese Óvoda'!I19+'2.3. sz. Mese Óvoda'!K19+'2.3. sz. Mese Óvoda'!M19+'2.3. sz. Mese Óvoda'!O19+'2.4. sz. Bölcsőde'!E19+'2.4. sz. Bölcsőde'!G19+'2.4. sz. Bölcsőde'!I19+'2.4. sz. Bölcsőde'!K19+'2.4. sz. Bölcsőde'!M19+'2.5. sz. Gyermekjóléti'!E19+'2.5. sz. Gyermekjóléti'!G19+'2.5. sz. Gyermekjóléti'!I19+'2.5. sz. Gyermekjóléti'!K19+'2.5. sz. Gyermekjóléti'!M19+'2.5. sz. Gyermekjóléti'!O19+'2.5. sz. Gyermekjóléti'!Q19+'2.6 sz. Területi'!E19+'2.6 sz. Területi'!G19+'2.6 sz. Területi'!I19+'2.6 sz. Területi'!O19+'2.6 sz. Területi'!Q19+'2.6 sz. Területi'!Y19+'2.6 sz. Területi'!AA19+'2.6 sz. Területi'!AC19+'2.6 sz. Területi'!AE19+'2.6 sz. Területi'!AG19+'2.6 sz. Területi'!AI19+'2.6 sz. Területi'!AK19+'2.6 sz. Területi'!AM19+'2.6 sz. Területi'!AQ19+'2.7. sz. Könyvtár'!E19+'2.7. sz. Könyvtár'!G19+'2.7. sz. Könyvtár'!I19+'2.7. sz. Könyvtár'!K19+'2.7. sz. Könyvtár'!M19+'2.7. sz. Könyvtár'!O19+'2.7. sz. Könyvtár'!Q19+'2.7. sz. Könyvtár'!U19+'2.8. sz. Műv.Ház'!E19+'2.8. sz. Műv.Ház'!G19+'2.8. sz. Műv.Ház'!I19+'2.8. sz. Műv.Ház'!M19+'2.8. sz. Műv.Ház'!O19+'2.8. sz. Műv.Ház'!Q19+'2.9. sz. Szivárvány Ó.'!E19+'2.9. sz. Szivárvány Ó.'!G19+'2.9. sz. Szivárvány Ó.'!I19+'2.9. sz. Szivárvány Ó.'!K19+'2.9. sz. Szivárvány Ó.'!M19+'2.9. sz. Szivárvány Ó.'!O19+'2.7. sz. Könyvtár'!S19+'2.6 sz. Területi'!AO19</f>
        <v>14000000</v>
      </c>
      <c r="F18" s="8">
        <f>+'2.6 sz. Területi'!J19+'2.6 sz. Területi'!L19+'2.6 sz. Területi'!R19+'2.6 sz. Területi'!T19+'2.6 sz. Területi'!V19+'2.8. sz. Műv.Ház'!J19</f>
        <v>0</v>
      </c>
      <c r="G18" s="8">
        <f>+'2.6 sz. Területi'!K19+'2.6 sz. Területi'!M19+'2.6 sz. Területi'!S19+'2.6 sz. Területi'!U19+'2.6 sz. Területi'!W19+'2.8. sz. Műv.Ház'!K19</f>
        <v>0</v>
      </c>
      <c r="H18" s="8">
        <f>+'2.1. sz. PMH'!H19+'2.1. sz. PMH'!J19+'2.1. sz. PMH'!N19+'2.1. sz. PMH'!P19+'2.1. sz. PMH'!R19</f>
        <v>0</v>
      </c>
      <c r="I18" s="8">
        <f>+'2.1. sz. PMH'!I19+'2.1. sz. PMH'!K19+'2.1. sz. PMH'!O19+'2.1. sz. PMH'!Q19+'2.1. sz. PMH'!S19</f>
        <v>0</v>
      </c>
      <c r="J18" s="8">
        <f t="shared" si="1"/>
        <v>10000000</v>
      </c>
      <c r="K18" s="8">
        <f t="shared" si="2"/>
        <v>14000000</v>
      </c>
      <c r="L18" s="94">
        <f t="shared" si="3"/>
        <v>4000000</v>
      </c>
    </row>
    <row r="19" spans="1:13" ht="23.25" customHeight="1" x14ac:dyDescent="0.25">
      <c r="A19" s="29" t="s">
        <v>225</v>
      </c>
      <c r="B19" s="33" t="s">
        <v>125</v>
      </c>
      <c r="C19" s="30"/>
      <c r="D19" s="7">
        <f>+'2.1. sz. PMH'!D20+'2.1. sz. PMH'!F20+'2.1. sz. PMH'!L20+'2.1. sz. PMH'!T20+'2.2. sz. Hétszínvirág Óvoda'!D20+'2.2. sz. Hétszínvirág Óvoda'!F20+'2.2. sz. Hétszínvirág Óvoda'!H20+'2.2. sz. Hétszínvirág Óvoda'!J20+'2.2. sz. Hétszínvirág Óvoda'!L20+'2.2. sz. Hétszínvirág Óvoda'!N20+'2.2. sz. Hétszínvirág Óvoda'!R20+'2.3. sz. Mese Óvoda'!D20+'2.3. sz. Mese Óvoda'!F20+'2.3. sz. Mese Óvoda'!H20+'2.3. sz. Mese Óvoda'!J20+'2.3. sz. Mese Óvoda'!L20+'2.3. sz. Mese Óvoda'!N20+'2.4. sz. Bölcsőde'!D20+'2.4. sz. Bölcsőde'!F20+'2.4. sz. Bölcsőde'!H20+'2.4. sz. Bölcsőde'!J20+'2.4. sz. Bölcsőde'!L20+'2.5. sz. Gyermekjóléti'!D20+'2.5. sz. Gyermekjóléti'!F20+'2.5. sz. Gyermekjóléti'!H20+'2.5. sz. Gyermekjóléti'!J20+'2.5. sz. Gyermekjóléti'!L20+'2.5. sz. Gyermekjóléti'!N20+'2.5. sz. Gyermekjóléti'!P20+'2.6 sz. Területi'!D20+'2.6 sz. Területi'!F20+'2.6 sz. Területi'!H20+'2.6 sz. Területi'!N20+'2.6 sz. Területi'!P20+'2.6 sz. Területi'!X20+'2.6 sz. Területi'!Z20+'2.6 sz. Területi'!AB20+'2.6 sz. Területi'!AD20+'2.6 sz. Területi'!AF20+'2.6 sz. Területi'!AH20+'2.6 sz. Területi'!AJ20+'2.6 sz. Területi'!AL20+'2.6 sz. Területi'!AP20+'2.7. sz. Könyvtár'!D20+'2.7. sz. Könyvtár'!F20+'2.7. sz. Könyvtár'!H20+'2.7. sz. Könyvtár'!J20+'2.7. sz. Könyvtár'!L20+'2.7. sz. Könyvtár'!N20+'2.7. sz. Könyvtár'!P20+'2.7. sz. Könyvtár'!T20+'2.8. sz. Műv.Ház'!D20+'2.8. sz. Műv.Ház'!F20+'2.8. sz. Műv.Ház'!H20+'2.8. sz. Műv.Ház'!L20+'2.8. sz. Műv.Ház'!N20+'2.8. sz. Műv.Ház'!P20+'2.9. sz. Szivárvány Ó.'!D20+'2.9. sz. Szivárvány Ó.'!F20+'2.9. sz. Szivárvány Ó.'!H20+'2.9. sz. Szivárvány Ó.'!J20+'2.9. sz. Szivárvány Ó.'!L20+'2.9. sz. Szivárvány Ó.'!N20</f>
        <v>10000000</v>
      </c>
      <c r="E19" s="7">
        <f>+'2.1. sz. PMH'!E20+'2.1. sz. PMH'!G20+'2.1. sz. PMH'!M20+'2.1. sz. PMH'!U20+'2.2. sz. Hétszínvirág Óvoda'!E20+'2.2. sz. Hétszínvirág Óvoda'!G20+'2.2. sz. Hétszínvirág Óvoda'!I20+'2.2. sz. Hétszínvirág Óvoda'!K20+'2.2. sz. Hétszínvirág Óvoda'!M20+'2.2. sz. Hétszínvirág Óvoda'!O20+'2.2. sz. Hétszínvirág Óvoda'!S20+'2.2. sz. Hétszínvirág Óvoda'!Q20+'2.3. sz. Mese Óvoda'!E20+'2.3. sz. Mese Óvoda'!G20+'2.3. sz. Mese Óvoda'!I20+'2.3. sz. Mese Óvoda'!K20+'2.3. sz. Mese Óvoda'!M20+'2.3. sz. Mese Óvoda'!O20+'2.4. sz. Bölcsőde'!E20+'2.4. sz. Bölcsőde'!G20+'2.4. sz. Bölcsőde'!I20+'2.4. sz. Bölcsőde'!K20+'2.4. sz. Bölcsőde'!M20+'2.5. sz. Gyermekjóléti'!E20+'2.5. sz. Gyermekjóléti'!G20+'2.5. sz. Gyermekjóléti'!I20+'2.5. sz. Gyermekjóléti'!K20+'2.5. sz. Gyermekjóléti'!M20+'2.5. sz. Gyermekjóléti'!O20+'2.5. sz. Gyermekjóléti'!Q20+'2.6 sz. Területi'!E20+'2.6 sz. Területi'!G20+'2.6 sz. Területi'!I20+'2.6 sz. Területi'!O20+'2.6 sz. Területi'!Q20+'2.6 sz. Területi'!Y20+'2.6 sz. Területi'!AA20+'2.6 sz. Területi'!AC20+'2.6 sz. Területi'!AE20+'2.6 sz. Területi'!AG20+'2.6 sz. Területi'!AI20+'2.6 sz. Területi'!AK20+'2.6 sz. Területi'!AM20+'2.6 sz. Területi'!AQ20+'2.7. sz. Könyvtár'!E20+'2.7. sz. Könyvtár'!G20+'2.7. sz. Könyvtár'!I20+'2.7. sz. Könyvtár'!K20+'2.7. sz. Könyvtár'!M20+'2.7. sz. Könyvtár'!O20+'2.7. sz. Könyvtár'!Q20+'2.7. sz. Könyvtár'!U20+'2.8. sz. Műv.Ház'!E20+'2.8. sz. Műv.Ház'!G20+'2.8. sz. Műv.Ház'!I20+'2.8. sz. Műv.Ház'!M20+'2.8. sz. Műv.Ház'!O20+'2.8. sz. Műv.Ház'!Q20+'2.9. sz. Szivárvány Ó.'!E20+'2.9. sz. Szivárvány Ó.'!G20+'2.9. sz. Szivárvány Ó.'!I20+'2.9. sz. Szivárvány Ó.'!K20+'2.9. sz. Szivárvány Ó.'!M20+'2.9. sz. Szivárvány Ó.'!O20+'2.7. sz. Könyvtár'!S20+'2.6 sz. Területi'!AO20</f>
        <v>14000000</v>
      </c>
      <c r="F19" s="7">
        <f>+'2.6 sz. Területi'!J20+'2.6 sz. Területi'!L20+'2.6 sz. Területi'!R20+'2.6 sz. Területi'!T20+'2.6 sz. Területi'!V20+'2.8. sz. Műv.Ház'!J20</f>
        <v>0</v>
      </c>
      <c r="G19" s="7">
        <f>+'2.6 sz. Területi'!K20+'2.6 sz. Területi'!M20+'2.6 sz. Területi'!S20+'2.6 sz. Területi'!U20+'2.6 sz. Területi'!W20+'2.8. sz. Műv.Ház'!K20</f>
        <v>0</v>
      </c>
      <c r="H19" s="7">
        <f>+'2.1. sz. PMH'!H20+'2.1. sz. PMH'!J20+'2.1. sz. PMH'!N20+'2.1. sz. PMH'!P20+'2.1. sz. PMH'!R20</f>
        <v>0</v>
      </c>
      <c r="I19" s="7">
        <f>+'2.1. sz. PMH'!I20+'2.1. sz. PMH'!K20+'2.1. sz. PMH'!O20+'2.1. sz. PMH'!Q20+'2.1. sz. PMH'!S20</f>
        <v>0</v>
      </c>
      <c r="J19" s="7">
        <f t="shared" si="1"/>
        <v>10000000</v>
      </c>
      <c r="K19" s="7">
        <f t="shared" si="2"/>
        <v>14000000</v>
      </c>
      <c r="L19" s="94">
        <f t="shared" si="3"/>
        <v>4000000</v>
      </c>
    </row>
    <row r="20" spans="1:13" ht="23.25" customHeight="1" x14ac:dyDescent="0.25">
      <c r="A20" s="29" t="s">
        <v>226</v>
      </c>
      <c r="B20" s="35" t="s">
        <v>236</v>
      </c>
      <c r="C20" s="30" t="s">
        <v>208</v>
      </c>
      <c r="D20" s="8">
        <f>+'2.1. sz. PMH'!D21+'2.1. sz. PMH'!F21+'2.1. sz. PMH'!L21+'2.1. sz. PMH'!T21+'2.2. sz. Hétszínvirág Óvoda'!D21+'2.2. sz. Hétszínvirág Óvoda'!F21+'2.2. sz. Hétszínvirág Óvoda'!H21+'2.2. sz. Hétszínvirág Óvoda'!J21+'2.2. sz. Hétszínvirág Óvoda'!L21+'2.2. sz. Hétszínvirág Óvoda'!N21+'2.2. sz. Hétszínvirág Óvoda'!R21+'2.3. sz. Mese Óvoda'!D21+'2.3. sz. Mese Óvoda'!F21+'2.3. sz. Mese Óvoda'!H21+'2.3. sz. Mese Óvoda'!J21+'2.3. sz. Mese Óvoda'!L21+'2.3. sz. Mese Óvoda'!N21+'2.4. sz. Bölcsőde'!D21+'2.4. sz. Bölcsőde'!F21+'2.4. sz. Bölcsőde'!H21+'2.4. sz. Bölcsőde'!J21+'2.4. sz. Bölcsőde'!L21+'2.5. sz. Gyermekjóléti'!D21+'2.5. sz. Gyermekjóléti'!F21+'2.5. sz. Gyermekjóléti'!H21+'2.5. sz. Gyermekjóléti'!J21+'2.5. sz. Gyermekjóléti'!L21+'2.5. sz. Gyermekjóléti'!N21+'2.5. sz. Gyermekjóléti'!P21+'2.6 sz. Területi'!D21+'2.6 sz. Területi'!F21+'2.6 sz. Területi'!H21+'2.6 sz. Területi'!N21+'2.6 sz. Területi'!P21+'2.6 sz. Területi'!X21+'2.6 sz. Területi'!Z21+'2.6 sz. Területi'!AB21+'2.6 sz. Területi'!AD21+'2.6 sz. Területi'!AF21+'2.6 sz. Területi'!AH21+'2.6 sz. Területi'!AJ21+'2.6 sz. Területi'!AL21+'2.6 sz. Területi'!AP21+'2.7. sz. Könyvtár'!D21+'2.7. sz. Könyvtár'!F21+'2.7. sz. Könyvtár'!H21+'2.7. sz. Könyvtár'!J21+'2.7. sz. Könyvtár'!L21+'2.7. sz. Könyvtár'!N21+'2.7. sz. Könyvtár'!P21+'2.7. sz. Könyvtár'!T21+'2.8. sz. Műv.Ház'!D21+'2.8. sz. Műv.Ház'!F21+'2.8. sz. Műv.Ház'!H21+'2.8. sz. Műv.Ház'!L21+'2.8. sz. Műv.Ház'!N21+'2.8. sz. Műv.Ház'!P21+'2.9. sz. Szivárvány Ó.'!D21+'2.9. sz. Szivárvány Ó.'!F21+'2.9. sz. Szivárvány Ó.'!H21+'2.9. sz. Szivárvány Ó.'!J21+'2.9. sz. Szivárvány Ó.'!L21+'2.9. sz. Szivárvány Ó.'!N21</f>
        <v>4512386721</v>
      </c>
      <c r="E20" s="8">
        <f>+'2.1. sz. PMH'!E21+'2.1. sz. PMH'!G21+'2.1. sz. PMH'!M21+'2.1. sz. PMH'!U21+'2.2. sz. Hétszínvirág Óvoda'!E21+'2.2. sz. Hétszínvirág Óvoda'!G21+'2.2. sz. Hétszínvirág Óvoda'!I21+'2.2. sz. Hétszínvirág Óvoda'!K21+'2.2. sz. Hétszínvirág Óvoda'!M21+'2.2. sz. Hétszínvirág Óvoda'!O21+'2.2. sz. Hétszínvirág Óvoda'!S21+'2.2. sz. Hétszínvirág Óvoda'!Q21+'2.3. sz. Mese Óvoda'!E21+'2.3. sz. Mese Óvoda'!G21+'2.3. sz. Mese Óvoda'!I21+'2.3. sz. Mese Óvoda'!K21+'2.3. sz. Mese Óvoda'!M21+'2.3. sz. Mese Óvoda'!O21+'2.4. sz. Bölcsőde'!E21+'2.4. sz. Bölcsőde'!G21+'2.4. sz. Bölcsőde'!I21+'2.4. sz. Bölcsőde'!K21+'2.4. sz. Bölcsőde'!M21+'2.5. sz. Gyermekjóléti'!E21+'2.5. sz. Gyermekjóléti'!G21+'2.5. sz. Gyermekjóléti'!I21+'2.5. sz. Gyermekjóléti'!K21+'2.5. sz. Gyermekjóléti'!M21+'2.5. sz. Gyermekjóléti'!O21+'2.5. sz. Gyermekjóléti'!Q21+'2.6 sz. Területi'!E21+'2.6 sz. Területi'!G21+'2.6 sz. Területi'!I21+'2.6 sz. Területi'!O21+'2.6 sz. Területi'!Q21+'2.6 sz. Területi'!Y21+'2.6 sz. Területi'!AA21+'2.6 sz. Területi'!AC21+'2.6 sz. Területi'!AE21+'2.6 sz. Területi'!AG21+'2.6 sz. Területi'!AI21+'2.6 sz. Területi'!AK21+'2.6 sz. Területi'!AM21+'2.6 sz. Területi'!AQ21+'2.7. sz. Könyvtár'!E21+'2.7. sz. Könyvtár'!G21+'2.7. sz. Könyvtár'!I21+'2.7. sz. Könyvtár'!K21+'2.7. sz. Könyvtár'!M21+'2.7. sz. Könyvtár'!O21+'2.7. sz. Könyvtár'!Q21+'2.7. sz. Könyvtár'!U21+'2.8. sz. Műv.Ház'!E21+'2.8. sz. Műv.Ház'!G21+'2.8. sz. Műv.Ház'!I21+'2.8. sz. Műv.Ház'!M21+'2.8. sz. Műv.Ház'!O21+'2.8. sz. Műv.Ház'!Q21+'2.9. sz. Szivárvány Ó.'!E21+'2.9. sz. Szivárvány Ó.'!G21+'2.9. sz. Szivárvány Ó.'!I21+'2.9. sz. Szivárvány Ó.'!K21+'2.9. sz. Szivárvány Ó.'!M21+'2.9. sz. Szivárvány Ó.'!O21+'2.7. sz. Könyvtár'!S21+'2.6 sz. Területi'!AO21</f>
        <v>5026420680</v>
      </c>
      <c r="F20" s="8">
        <f>+'2.6 sz. Területi'!J21+'2.6 sz. Területi'!L21+'2.6 sz. Területi'!R21+'2.6 sz. Területi'!T21+'2.6 sz. Területi'!V21+'2.8. sz. Műv.Ház'!J21</f>
        <v>142413914</v>
      </c>
      <c r="G20" s="8">
        <f>+'2.6 sz. Területi'!K21+'2.6 sz. Területi'!M21+'2.6 sz. Területi'!S21+'2.6 sz. Területi'!U21+'2.6 sz. Területi'!W21+'2.8. sz. Műv.Ház'!K21</f>
        <v>147987349</v>
      </c>
      <c r="H20" s="8">
        <f>+'2.1. sz. PMH'!H21+'2.1. sz. PMH'!J21+'2.1. sz. PMH'!N21+'2.1. sz. PMH'!P21+'2.1. sz. PMH'!R21</f>
        <v>161300884</v>
      </c>
      <c r="I20" s="8">
        <f>+'2.1. sz. PMH'!I21+'2.1. sz. PMH'!K21+'2.1. sz. PMH'!O21+'2.1. sz. PMH'!Q21+'2.1. sz. PMH'!S21</f>
        <v>170068636</v>
      </c>
      <c r="J20" s="8">
        <f t="shared" si="1"/>
        <v>4816101519</v>
      </c>
      <c r="K20" s="8">
        <f t="shared" si="2"/>
        <v>5344476665</v>
      </c>
      <c r="L20" s="94">
        <f t="shared" si="3"/>
        <v>528375146</v>
      </c>
      <c r="M20" s="94">
        <f>+H8+H9+H10+H16</f>
        <v>161300884</v>
      </c>
    </row>
    <row r="21" spans="1:13" ht="23.25" customHeight="1" x14ac:dyDescent="0.25">
      <c r="A21" s="29" t="s">
        <v>227</v>
      </c>
      <c r="B21" s="35" t="s">
        <v>221</v>
      </c>
      <c r="C21" s="30" t="s">
        <v>217</v>
      </c>
      <c r="D21" s="8">
        <f>+'2.1. sz. PMH'!D22+'2.1. sz. PMH'!F22+'2.1. sz. PMH'!L22+'2.1. sz. PMH'!T22+'2.2. sz. Hétszínvirág Óvoda'!D22+'2.2. sz. Hétszínvirág Óvoda'!F22+'2.2. sz. Hétszínvirág Óvoda'!H22+'2.2. sz. Hétszínvirág Óvoda'!J22+'2.2. sz. Hétszínvirág Óvoda'!L22+'2.2. sz. Hétszínvirág Óvoda'!N22+'2.2. sz. Hétszínvirág Óvoda'!R22+'2.3. sz. Mese Óvoda'!D22+'2.3. sz. Mese Óvoda'!F22+'2.3. sz. Mese Óvoda'!H22+'2.3. sz. Mese Óvoda'!J22+'2.3. sz. Mese Óvoda'!L22+'2.3. sz. Mese Óvoda'!N22+'2.4. sz. Bölcsőde'!D22+'2.4. sz. Bölcsőde'!F22+'2.4. sz. Bölcsőde'!H22+'2.4. sz. Bölcsőde'!J22+'2.4. sz. Bölcsőde'!L22+'2.5. sz. Gyermekjóléti'!D22+'2.5. sz. Gyermekjóléti'!F22+'2.5. sz. Gyermekjóléti'!H22+'2.5. sz. Gyermekjóléti'!J22+'2.5. sz. Gyermekjóléti'!L22+'2.5. sz. Gyermekjóléti'!N22+'2.5. sz. Gyermekjóléti'!P22+'2.6 sz. Területi'!D22+'2.6 sz. Területi'!F22+'2.6 sz. Területi'!H22+'2.6 sz. Területi'!N22+'2.6 sz. Területi'!P22+'2.6 sz. Területi'!X22+'2.6 sz. Területi'!Z22+'2.6 sz. Területi'!AB22+'2.6 sz. Területi'!AD22+'2.6 sz. Területi'!AF22+'2.6 sz. Területi'!AH22+'2.6 sz. Területi'!AJ22+'2.6 sz. Területi'!AL22+'2.6 sz. Területi'!AP22+'2.7. sz. Könyvtár'!D22+'2.7. sz. Könyvtár'!F22+'2.7. sz. Könyvtár'!H22+'2.7. sz. Könyvtár'!J22+'2.7. sz. Könyvtár'!L22+'2.7. sz. Könyvtár'!N22+'2.7. sz. Könyvtár'!P22+'2.7. sz. Könyvtár'!T22+'2.8. sz. Műv.Ház'!D22+'2.8. sz. Műv.Ház'!F22+'2.8. sz. Műv.Ház'!H22+'2.8. sz. Műv.Ház'!L22+'2.8. sz. Műv.Ház'!N22+'2.8. sz. Műv.Ház'!P22+'2.9. sz. Szivárvány Ó.'!D22+'2.9. sz. Szivárvány Ó.'!F22+'2.9. sz. Szivárvány Ó.'!H22+'2.9. sz. Szivárvány Ó.'!J22+'2.9. sz. Szivárvány Ó.'!L22+'2.9. sz. Szivárvány Ó.'!N22</f>
        <v>0</v>
      </c>
      <c r="E21" s="8">
        <f>+'2.1. sz. PMH'!E22+'2.1. sz. PMH'!G22+'2.1. sz. PMH'!M22+'2.1. sz. PMH'!U22+'2.2. sz. Hétszínvirág Óvoda'!E22+'2.2. sz. Hétszínvirág Óvoda'!G22+'2.2. sz. Hétszínvirág Óvoda'!I22+'2.2. sz. Hétszínvirág Óvoda'!K22+'2.2. sz. Hétszínvirág Óvoda'!M22+'2.2. sz. Hétszínvirág Óvoda'!O22+'2.2. sz. Hétszínvirág Óvoda'!S22+'2.2. sz. Hétszínvirág Óvoda'!Q22+'2.3. sz. Mese Óvoda'!E22+'2.3. sz. Mese Óvoda'!G22+'2.3. sz. Mese Óvoda'!I22+'2.3. sz. Mese Óvoda'!K22+'2.3. sz. Mese Óvoda'!M22+'2.3. sz. Mese Óvoda'!O22+'2.4. sz. Bölcsőde'!E22+'2.4. sz. Bölcsőde'!G22+'2.4. sz. Bölcsőde'!I22+'2.4. sz. Bölcsőde'!K22+'2.4. sz. Bölcsőde'!M22+'2.5. sz. Gyermekjóléti'!E22+'2.5. sz. Gyermekjóléti'!G22+'2.5. sz. Gyermekjóléti'!I22+'2.5. sz. Gyermekjóléti'!K22+'2.5. sz. Gyermekjóléti'!M22+'2.5. sz. Gyermekjóléti'!O22+'2.5. sz. Gyermekjóléti'!Q22+'2.6 sz. Területi'!E22+'2.6 sz. Területi'!G22+'2.6 sz. Területi'!I22+'2.6 sz. Területi'!O22+'2.6 sz. Területi'!Q22+'2.6 sz. Területi'!Y22+'2.6 sz. Területi'!AA22+'2.6 sz. Területi'!AC22+'2.6 sz. Területi'!AE22+'2.6 sz. Területi'!AG22+'2.6 sz. Területi'!AI22+'2.6 sz. Területi'!AK22+'2.6 sz. Területi'!AM22+'2.6 sz. Területi'!AQ22+'2.7. sz. Könyvtár'!E22+'2.7. sz. Könyvtár'!G22+'2.7. sz. Könyvtár'!I22+'2.7. sz. Könyvtár'!K22+'2.7. sz. Könyvtár'!M22+'2.7. sz. Könyvtár'!O22+'2.7. sz. Könyvtár'!Q22+'2.7. sz. Könyvtár'!U22+'2.8. sz. Műv.Ház'!E22+'2.8. sz. Műv.Ház'!G22+'2.8. sz. Műv.Ház'!I22+'2.8. sz. Műv.Ház'!M22+'2.8. sz. Műv.Ház'!O22+'2.8. sz. Műv.Ház'!Q22+'2.9. sz. Szivárvány Ó.'!E22+'2.9. sz. Szivárvány Ó.'!G22+'2.9. sz. Szivárvány Ó.'!I22+'2.9. sz. Szivárvány Ó.'!K22+'2.9. sz. Szivárvány Ó.'!M22+'2.9. sz. Szivárvány Ó.'!O22+'2.7. sz. Könyvtár'!S22+'2.6 sz. Területi'!AO22</f>
        <v>0</v>
      </c>
      <c r="F21" s="8">
        <f>+'2.6 sz. Területi'!J22+'2.6 sz. Területi'!L22+'2.6 sz. Területi'!R22+'2.6 sz. Területi'!T22+'2.6 sz. Területi'!V22+'2.8. sz. Műv.Ház'!J22</f>
        <v>0</v>
      </c>
      <c r="G21" s="8">
        <f>+'2.6 sz. Területi'!K22+'2.6 sz. Területi'!M22+'2.6 sz. Területi'!S22+'2.6 sz. Területi'!U22+'2.6 sz. Területi'!W22+'2.8. sz. Műv.Ház'!K22</f>
        <v>0</v>
      </c>
      <c r="H21" s="8">
        <f>+'2.1. sz. PMH'!H22+'2.1. sz. PMH'!J22+'2.1. sz. PMH'!N22+'2.1. sz. PMH'!P22+'2.1. sz. PMH'!R22</f>
        <v>0</v>
      </c>
      <c r="I21" s="8">
        <f>+'2.1. sz. PMH'!I22+'2.1. sz. PMH'!K22+'2.1. sz. PMH'!O22+'2.1. sz. PMH'!Q22+'2.1. sz. PMH'!S22</f>
        <v>0</v>
      </c>
      <c r="J21" s="8">
        <f t="shared" si="1"/>
        <v>0</v>
      </c>
      <c r="K21" s="8">
        <f t="shared" si="2"/>
        <v>0</v>
      </c>
      <c r="L21" s="94">
        <f t="shared" si="3"/>
        <v>0</v>
      </c>
    </row>
    <row r="22" spans="1:13" ht="23.25" customHeight="1" x14ac:dyDescent="0.25">
      <c r="A22" s="29" t="s">
        <v>228</v>
      </c>
      <c r="B22" s="105" t="s">
        <v>183</v>
      </c>
      <c r="C22" s="34"/>
      <c r="D22" s="7">
        <f>+'2.1. sz. PMH'!D23+'2.1. sz. PMH'!F23+'2.1. sz. PMH'!L23+'2.1. sz. PMH'!T23+'2.2. sz. Hétszínvirág Óvoda'!D23+'2.2. sz. Hétszínvirág Óvoda'!F23+'2.2. sz. Hétszínvirág Óvoda'!H23+'2.2. sz. Hétszínvirág Óvoda'!J23+'2.2. sz. Hétszínvirág Óvoda'!L23+'2.2. sz. Hétszínvirág Óvoda'!N23+'2.2. sz. Hétszínvirág Óvoda'!R23+'2.3. sz. Mese Óvoda'!D23+'2.3. sz. Mese Óvoda'!F23+'2.3. sz. Mese Óvoda'!H23+'2.3. sz. Mese Óvoda'!J23+'2.3. sz. Mese Óvoda'!L23+'2.3. sz. Mese Óvoda'!N23+'2.4. sz. Bölcsőde'!D23+'2.4. sz. Bölcsőde'!F23+'2.4. sz. Bölcsőde'!H23+'2.4. sz. Bölcsőde'!J23+'2.4. sz. Bölcsőde'!L23+'2.5. sz. Gyermekjóléti'!D23+'2.5. sz. Gyermekjóléti'!F23+'2.5. sz. Gyermekjóléti'!H23+'2.5. sz. Gyermekjóléti'!J23+'2.5. sz. Gyermekjóléti'!L23+'2.5. sz. Gyermekjóléti'!N23+'2.5. sz. Gyermekjóléti'!P23+'2.6 sz. Területi'!D23+'2.6 sz. Területi'!F23+'2.6 sz. Területi'!H23+'2.6 sz. Területi'!N23+'2.6 sz. Területi'!P23+'2.6 sz. Területi'!X23+'2.6 sz. Területi'!Z23+'2.6 sz. Területi'!AB23+'2.6 sz. Területi'!AD23+'2.6 sz. Területi'!AF23+'2.6 sz. Területi'!AH23+'2.6 sz. Területi'!AJ23+'2.6 sz. Területi'!AL23+'2.6 sz. Területi'!AP23+'2.7. sz. Könyvtár'!D23+'2.7. sz. Könyvtár'!F23+'2.7. sz. Könyvtár'!H23+'2.7. sz. Könyvtár'!J23+'2.7. sz. Könyvtár'!L23+'2.7. sz. Könyvtár'!N23+'2.7. sz. Könyvtár'!P23+'2.7. sz. Könyvtár'!T23+'2.8. sz. Műv.Ház'!D23+'2.8. sz. Műv.Ház'!F23+'2.8. sz. Műv.Ház'!H23+'2.8. sz. Műv.Ház'!L23+'2.8. sz. Műv.Ház'!N23+'2.8. sz. Műv.Ház'!P23+'2.9. sz. Szivárvány Ó.'!D23+'2.9. sz. Szivárvány Ó.'!F23+'2.9. sz. Szivárvány Ó.'!H23+'2.9. sz. Szivárvány Ó.'!J23+'2.9. sz. Szivárvány Ó.'!L23+'2.9. sz. Szivárvány Ó.'!N23</f>
        <v>0</v>
      </c>
      <c r="E22" s="7">
        <f>+'2.1. sz. PMH'!E23+'2.1. sz. PMH'!G23+'2.1. sz. PMH'!M23+'2.1. sz. PMH'!U23+'2.2. sz. Hétszínvirág Óvoda'!E23+'2.2. sz. Hétszínvirág Óvoda'!G23+'2.2. sz. Hétszínvirág Óvoda'!I23+'2.2. sz. Hétszínvirág Óvoda'!K23+'2.2. sz. Hétszínvirág Óvoda'!M23+'2.2. sz. Hétszínvirág Óvoda'!O23+'2.2. sz. Hétszínvirág Óvoda'!S23+'2.2. sz. Hétszínvirág Óvoda'!Q23+'2.3. sz. Mese Óvoda'!E23+'2.3. sz. Mese Óvoda'!G23+'2.3. sz. Mese Óvoda'!I23+'2.3. sz. Mese Óvoda'!K23+'2.3. sz. Mese Óvoda'!M23+'2.3. sz. Mese Óvoda'!O23+'2.4. sz. Bölcsőde'!E23+'2.4. sz. Bölcsőde'!G23+'2.4. sz. Bölcsőde'!I23+'2.4. sz. Bölcsőde'!K23+'2.4. sz. Bölcsőde'!M23+'2.5. sz. Gyermekjóléti'!E23+'2.5. sz. Gyermekjóléti'!G23+'2.5. sz. Gyermekjóléti'!I23+'2.5. sz. Gyermekjóléti'!K23+'2.5. sz. Gyermekjóléti'!M23+'2.5. sz. Gyermekjóléti'!O23+'2.5. sz. Gyermekjóléti'!Q23+'2.6 sz. Területi'!E23+'2.6 sz. Területi'!G23+'2.6 sz. Területi'!I23+'2.6 sz. Területi'!O23+'2.6 sz. Területi'!Q23+'2.6 sz. Területi'!Y23+'2.6 sz. Területi'!AA23+'2.6 sz. Területi'!AC23+'2.6 sz. Területi'!AE23+'2.6 sz. Területi'!AG23+'2.6 sz. Területi'!AI23+'2.6 sz. Területi'!AK23+'2.6 sz. Területi'!AM23+'2.6 sz. Területi'!AQ23+'2.7. sz. Könyvtár'!E23+'2.7. sz. Könyvtár'!G23+'2.7. sz. Könyvtár'!I23+'2.7. sz. Könyvtár'!K23+'2.7. sz. Könyvtár'!M23+'2.7. sz. Könyvtár'!O23+'2.7. sz. Könyvtár'!Q23+'2.7. sz. Könyvtár'!U23+'2.8. sz. Műv.Ház'!E23+'2.8. sz. Műv.Ház'!G23+'2.8. sz. Műv.Ház'!I23+'2.8. sz. Műv.Ház'!M23+'2.8. sz. Műv.Ház'!O23+'2.8. sz. Műv.Ház'!Q23+'2.9. sz. Szivárvány Ó.'!E23+'2.9. sz. Szivárvány Ó.'!G23+'2.9. sz. Szivárvány Ó.'!I23+'2.9. sz. Szivárvány Ó.'!K23+'2.9. sz. Szivárvány Ó.'!M23+'2.9. sz. Szivárvány Ó.'!O23+'2.7. sz. Könyvtár'!S23+'2.6 sz. Területi'!AO23</f>
        <v>0</v>
      </c>
      <c r="F22" s="7">
        <f>+'2.6 sz. Területi'!J23+'2.6 sz. Területi'!L23+'2.6 sz. Területi'!R23+'2.6 sz. Területi'!T23+'2.6 sz. Területi'!V23+'2.8. sz. Műv.Ház'!J23</f>
        <v>0</v>
      </c>
      <c r="G22" s="7">
        <f>+'2.6 sz. Területi'!K23+'2.6 sz. Területi'!M23+'2.6 sz. Területi'!S23+'2.6 sz. Területi'!U23+'2.6 sz. Területi'!W23+'2.8. sz. Műv.Ház'!K23</f>
        <v>0</v>
      </c>
      <c r="H22" s="7">
        <f>+'2.1. sz. PMH'!H23+'2.1. sz. PMH'!J23+'2.1. sz. PMH'!N23+'2.1. sz. PMH'!P23+'2.1. sz. PMH'!R23</f>
        <v>0</v>
      </c>
      <c r="I22" s="7">
        <f>+'2.1. sz. PMH'!I23+'2.1. sz. PMH'!K23+'2.1. sz. PMH'!O23+'2.1. sz. PMH'!Q23+'2.1. sz. PMH'!S23</f>
        <v>0</v>
      </c>
      <c r="J22" s="7">
        <f t="shared" si="1"/>
        <v>0</v>
      </c>
      <c r="K22" s="7">
        <f t="shared" si="2"/>
        <v>0</v>
      </c>
      <c r="L22" s="94">
        <f t="shared" si="3"/>
        <v>0</v>
      </c>
    </row>
    <row r="23" spans="1:13" ht="23.25" customHeight="1" x14ac:dyDescent="0.25">
      <c r="A23" s="29" t="s">
        <v>229</v>
      </c>
      <c r="B23" s="36" t="s">
        <v>553</v>
      </c>
      <c r="C23" s="34"/>
      <c r="D23" s="7">
        <f>+'2.1. sz. PMH'!D24+'2.1. sz. PMH'!F24+'2.1. sz. PMH'!L24+'2.1. sz. PMH'!T24+'2.2. sz. Hétszínvirág Óvoda'!D24+'2.2. sz. Hétszínvirág Óvoda'!F24+'2.2. sz. Hétszínvirág Óvoda'!H24+'2.2. sz. Hétszínvirág Óvoda'!J24+'2.2. sz. Hétszínvirág Óvoda'!L24+'2.2. sz. Hétszínvirág Óvoda'!N24+'2.2. sz. Hétszínvirág Óvoda'!R24+'2.3. sz. Mese Óvoda'!D24+'2.3. sz. Mese Óvoda'!F24+'2.3. sz. Mese Óvoda'!H24+'2.3. sz. Mese Óvoda'!J24+'2.3. sz. Mese Óvoda'!L24+'2.3. sz. Mese Óvoda'!N24+'2.4. sz. Bölcsőde'!D24+'2.4. sz. Bölcsőde'!F24+'2.4. sz. Bölcsőde'!H24+'2.4. sz. Bölcsőde'!J24+'2.4. sz. Bölcsőde'!L24+'2.5. sz. Gyermekjóléti'!D24+'2.5. sz. Gyermekjóléti'!F24+'2.5. sz. Gyermekjóléti'!H24+'2.5. sz. Gyermekjóléti'!J24+'2.5. sz. Gyermekjóléti'!L24+'2.5. sz. Gyermekjóléti'!N24+'2.5. sz. Gyermekjóléti'!P24+'2.6 sz. Területi'!D24+'2.6 sz. Területi'!F24+'2.6 sz. Területi'!H24+'2.6 sz. Területi'!N24+'2.6 sz. Területi'!P24+'2.6 sz. Területi'!X24+'2.6 sz. Területi'!Z24+'2.6 sz. Területi'!AB24+'2.6 sz. Területi'!AD24+'2.6 sz. Területi'!AF24+'2.6 sz. Területi'!AH24+'2.6 sz. Területi'!AJ24+'2.6 sz. Területi'!AL24+'2.6 sz. Területi'!AP24+'2.7. sz. Könyvtár'!D24+'2.7. sz. Könyvtár'!F24+'2.7. sz. Könyvtár'!H24+'2.7. sz. Könyvtár'!J24+'2.7. sz. Könyvtár'!L24+'2.7. sz. Könyvtár'!N24+'2.7. sz. Könyvtár'!P24+'2.7. sz. Könyvtár'!T24+'2.8. sz. Műv.Ház'!D24+'2.8. sz. Műv.Ház'!F24+'2.8. sz. Műv.Ház'!H24+'2.8. sz. Műv.Ház'!L24+'2.8. sz. Műv.Ház'!N24+'2.8. sz. Műv.Ház'!P24+'2.9. sz. Szivárvány Ó.'!D24+'2.9. sz. Szivárvány Ó.'!F24+'2.9. sz. Szivárvány Ó.'!H24+'2.9. sz. Szivárvány Ó.'!J24+'2.9. sz. Szivárvány Ó.'!L24+'2.9. sz. Szivárvány Ó.'!N24</f>
        <v>0</v>
      </c>
      <c r="E23" s="7">
        <f>+'2.1. sz. PMH'!E24+'2.1. sz. PMH'!G24+'2.1. sz. PMH'!M24+'2.1. sz. PMH'!U24+'2.2. sz. Hétszínvirág Óvoda'!E24+'2.2. sz. Hétszínvirág Óvoda'!G24+'2.2. sz. Hétszínvirág Óvoda'!I24+'2.2. sz. Hétszínvirág Óvoda'!K24+'2.2. sz. Hétszínvirág Óvoda'!M24+'2.2. sz. Hétszínvirág Óvoda'!O24+'2.2. sz. Hétszínvirág Óvoda'!S24+'2.2. sz. Hétszínvirág Óvoda'!Q24+'2.3. sz. Mese Óvoda'!E24+'2.3. sz. Mese Óvoda'!G24+'2.3. sz. Mese Óvoda'!I24+'2.3. sz. Mese Óvoda'!K24+'2.3. sz. Mese Óvoda'!M24+'2.3. sz. Mese Óvoda'!O24+'2.4. sz. Bölcsőde'!E24+'2.4. sz. Bölcsőde'!G24+'2.4. sz. Bölcsőde'!I24+'2.4. sz. Bölcsőde'!K24+'2.4. sz. Bölcsőde'!M24+'2.5. sz. Gyermekjóléti'!E24+'2.5. sz. Gyermekjóléti'!G24+'2.5. sz. Gyermekjóléti'!I24+'2.5. sz. Gyermekjóléti'!K24+'2.5. sz. Gyermekjóléti'!M24+'2.5. sz. Gyermekjóléti'!O24+'2.5. sz. Gyermekjóléti'!Q24+'2.6 sz. Területi'!E24+'2.6 sz. Területi'!G24+'2.6 sz. Területi'!I24+'2.6 sz. Területi'!O24+'2.6 sz. Területi'!Q24+'2.6 sz. Területi'!Y24+'2.6 sz. Területi'!AA24+'2.6 sz. Területi'!AC24+'2.6 sz. Területi'!AE24+'2.6 sz. Területi'!AG24+'2.6 sz. Területi'!AI24+'2.6 sz. Területi'!AK24+'2.6 sz. Területi'!AM24+'2.6 sz. Területi'!AQ24+'2.7. sz. Könyvtár'!E24+'2.7. sz. Könyvtár'!G24+'2.7. sz. Könyvtár'!I24+'2.7. sz. Könyvtár'!K24+'2.7. sz. Könyvtár'!M24+'2.7. sz. Könyvtár'!O24+'2.7. sz. Könyvtár'!Q24+'2.7. sz. Könyvtár'!U24+'2.8. sz. Műv.Ház'!E24+'2.8. sz. Műv.Ház'!G24+'2.8. sz. Műv.Ház'!I24+'2.8. sz. Műv.Ház'!M24+'2.8. sz. Műv.Ház'!O24+'2.8. sz. Műv.Ház'!Q24+'2.9. sz. Szivárvány Ó.'!E24+'2.9. sz. Szivárvány Ó.'!G24+'2.9. sz. Szivárvány Ó.'!I24+'2.9. sz. Szivárvány Ó.'!K24+'2.9. sz. Szivárvány Ó.'!M24+'2.9. sz. Szivárvány Ó.'!O24+'2.7. sz. Könyvtár'!S24+'2.6 sz. Területi'!AO24</f>
        <v>0</v>
      </c>
      <c r="F23" s="7">
        <f>+'2.6 sz. Területi'!J24+'2.6 sz. Területi'!L24+'2.6 sz. Területi'!R24+'2.6 sz. Területi'!T24+'2.6 sz. Területi'!V24+'2.8. sz. Műv.Ház'!J24</f>
        <v>0</v>
      </c>
      <c r="G23" s="7">
        <f>+'2.6 sz. Területi'!K24+'2.6 sz. Területi'!M24+'2.6 sz. Területi'!S24+'2.6 sz. Területi'!U24+'2.6 sz. Területi'!W24+'2.8. sz. Műv.Ház'!K24</f>
        <v>0</v>
      </c>
      <c r="H23" s="7">
        <f>+'2.1. sz. PMH'!H24+'2.1. sz. PMH'!J24+'2.1. sz. PMH'!N24+'2.1. sz. PMH'!P24+'2.1. sz. PMH'!R24</f>
        <v>0</v>
      </c>
      <c r="I23" s="7">
        <f>+'2.1. sz. PMH'!I24+'2.1. sz. PMH'!K24+'2.1. sz. PMH'!O24+'2.1. sz. PMH'!Q24+'2.1. sz. PMH'!S24</f>
        <v>0</v>
      </c>
      <c r="J23" s="7">
        <f t="shared" si="1"/>
        <v>0</v>
      </c>
      <c r="K23" s="7">
        <f t="shared" si="2"/>
        <v>0</v>
      </c>
      <c r="L23" s="94">
        <f t="shared" si="3"/>
        <v>0</v>
      </c>
    </row>
    <row r="24" spans="1:13" ht="23.25" customHeight="1" x14ac:dyDescent="0.25">
      <c r="A24" s="29" t="s">
        <v>230</v>
      </c>
      <c r="B24" s="36" t="s">
        <v>554</v>
      </c>
      <c r="C24" s="34"/>
      <c r="D24" s="7">
        <f>+'2.1. sz. PMH'!D25+'2.1. sz. PMH'!F25+'2.1. sz. PMH'!L25+'2.1. sz. PMH'!T25+'2.2. sz. Hétszínvirág Óvoda'!D25+'2.2. sz. Hétszínvirág Óvoda'!F25+'2.2. sz. Hétszínvirág Óvoda'!H25+'2.2. sz. Hétszínvirág Óvoda'!J25+'2.2. sz. Hétszínvirág Óvoda'!L25+'2.2. sz. Hétszínvirág Óvoda'!N25+'2.2. sz. Hétszínvirág Óvoda'!R25+'2.3. sz. Mese Óvoda'!D25+'2.3. sz. Mese Óvoda'!F25+'2.3. sz. Mese Óvoda'!H25+'2.3. sz. Mese Óvoda'!J25+'2.3. sz. Mese Óvoda'!L25+'2.3. sz. Mese Óvoda'!N25+'2.4. sz. Bölcsőde'!D25+'2.4. sz. Bölcsőde'!F25+'2.4. sz. Bölcsőde'!H25+'2.4. sz. Bölcsőde'!J25+'2.4. sz. Bölcsőde'!L25+'2.5. sz. Gyermekjóléti'!D25+'2.5. sz. Gyermekjóléti'!F25+'2.5. sz. Gyermekjóléti'!H25+'2.5. sz. Gyermekjóléti'!J25+'2.5. sz. Gyermekjóléti'!L25+'2.5. sz. Gyermekjóléti'!N25+'2.5. sz. Gyermekjóléti'!P25+'2.6 sz. Területi'!D25+'2.6 sz. Területi'!F25+'2.6 sz. Területi'!H25+'2.6 sz. Területi'!N25+'2.6 sz. Területi'!P25+'2.6 sz. Területi'!X25+'2.6 sz. Területi'!Z25+'2.6 sz. Területi'!AB25+'2.6 sz. Területi'!AD25+'2.6 sz. Területi'!AF25+'2.6 sz. Területi'!AH25+'2.6 sz. Területi'!AJ25+'2.6 sz. Területi'!AL25+'2.6 sz. Területi'!AP25+'2.7. sz. Könyvtár'!D25+'2.7. sz. Könyvtár'!F25+'2.7. sz. Könyvtár'!H25+'2.7. sz. Könyvtár'!J25+'2.7. sz. Könyvtár'!L25+'2.7. sz. Könyvtár'!N25+'2.7. sz. Könyvtár'!P25+'2.7. sz. Könyvtár'!T25+'2.8. sz. Műv.Ház'!D25+'2.8. sz. Műv.Ház'!F25+'2.8. sz. Műv.Ház'!H25+'2.8. sz. Műv.Ház'!L25+'2.8. sz. Műv.Ház'!N25+'2.8. sz. Műv.Ház'!P25+'2.9. sz. Szivárvány Ó.'!D25+'2.9. sz. Szivárvány Ó.'!F25+'2.9. sz. Szivárvány Ó.'!H25+'2.9. sz. Szivárvány Ó.'!J25+'2.9. sz. Szivárvány Ó.'!L25+'2.9. sz. Szivárvány Ó.'!N25</f>
        <v>0</v>
      </c>
      <c r="E24" s="7">
        <f>+'2.1. sz. PMH'!E25+'2.1. sz. PMH'!G25+'2.1. sz. PMH'!M25+'2.1. sz. PMH'!U25+'2.2. sz. Hétszínvirág Óvoda'!E25+'2.2. sz. Hétszínvirág Óvoda'!G25+'2.2. sz. Hétszínvirág Óvoda'!I25+'2.2. sz. Hétszínvirág Óvoda'!K25+'2.2. sz. Hétszínvirág Óvoda'!M25+'2.2. sz. Hétszínvirág Óvoda'!O25+'2.2. sz. Hétszínvirág Óvoda'!S25+'2.2. sz. Hétszínvirág Óvoda'!Q25+'2.3. sz. Mese Óvoda'!E25+'2.3. sz. Mese Óvoda'!G25+'2.3. sz. Mese Óvoda'!I25+'2.3. sz. Mese Óvoda'!K25+'2.3. sz. Mese Óvoda'!M25+'2.3. sz. Mese Óvoda'!O25+'2.4. sz. Bölcsőde'!E25+'2.4. sz. Bölcsőde'!G25+'2.4. sz. Bölcsőde'!I25+'2.4. sz. Bölcsőde'!K25+'2.4. sz. Bölcsőde'!M25+'2.5. sz. Gyermekjóléti'!E25+'2.5. sz. Gyermekjóléti'!G25+'2.5. sz. Gyermekjóléti'!I25+'2.5. sz. Gyermekjóléti'!K25+'2.5. sz. Gyermekjóléti'!M25+'2.5. sz. Gyermekjóléti'!O25+'2.5. sz. Gyermekjóléti'!Q25+'2.6 sz. Területi'!E25+'2.6 sz. Területi'!G25+'2.6 sz. Területi'!I25+'2.6 sz. Területi'!O25+'2.6 sz. Területi'!Q25+'2.6 sz. Területi'!Y25+'2.6 sz. Területi'!AA25+'2.6 sz. Területi'!AC25+'2.6 sz. Területi'!AE25+'2.6 sz. Területi'!AG25+'2.6 sz. Területi'!AI25+'2.6 sz. Területi'!AK25+'2.6 sz. Területi'!AM25+'2.6 sz. Területi'!AQ25+'2.7. sz. Könyvtár'!E25+'2.7. sz. Könyvtár'!G25+'2.7. sz. Könyvtár'!I25+'2.7. sz. Könyvtár'!K25+'2.7. sz. Könyvtár'!M25+'2.7. sz. Könyvtár'!O25+'2.7. sz. Könyvtár'!Q25+'2.7. sz. Könyvtár'!U25+'2.8. sz. Műv.Ház'!E25+'2.8. sz. Műv.Ház'!G25+'2.8. sz. Műv.Ház'!I25+'2.8. sz. Műv.Ház'!M25+'2.8. sz. Műv.Ház'!O25+'2.8. sz. Műv.Ház'!Q25+'2.9. sz. Szivárvány Ó.'!E25+'2.9. sz. Szivárvány Ó.'!G25+'2.9. sz. Szivárvány Ó.'!I25+'2.9. sz. Szivárvány Ó.'!K25+'2.9. sz. Szivárvány Ó.'!M25+'2.9. sz. Szivárvány Ó.'!O25+'2.7. sz. Könyvtár'!S25+'2.6 sz. Területi'!AO25</f>
        <v>0</v>
      </c>
      <c r="F24" s="7">
        <f>+'2.6 sz. Területi'!J25+'2.6 sz. Területi'!L25+'2.6 sz. Területi'!R25+'2.6 sz. Területi'!T25+'2.6 sz. Területi'!V25+'2.8. sz. Műv.Ház'!J25</f>
        <v>0</v>
      </c>
      <c r="G24" s="7">
        <f>+'2.6 sz. Területi'!K25+'2.6 sz. Területi'!M25+'2.6 sz. Területi'!S25+'2.6 sz. Területi'!U25+'2.6 sz. Területi'!W25+'2.8. sz. Műv.Ház'!K25</f>
        <v>0</v>
      </c>
      <c r="H24" s="7">
        <f>+'2.1. sz. PMH'!H25+'2.1. sz. PMH'!J25+'2.1. sz. PMH'!N25+'2.1. sz. PMH'!P25+'2.1. sz. PMH'!R25</f>
        <v>0</v>
      </c>
      <c r="I24" s="7">
        <f>+'2.1. sz. PMH'!I25+'2.1. sz. PMH'!K25+'2.1. sz. PMH'!O25+'2.1. sz. PMH'!Q25+'2.1. sz. PMH'!S25</f>
        <v>0</v>
      </c>
      <c r="J24" s="7">
        <f t="shared" si="1"/>
        <v>0</v>
      </c>
      <c r="K24" s="7">
        <f t="shared" si="2"/>
        <v>0</v>
      </c>
      <c r="L24" s="94">
        <f t="shared" si="3"/>
        <v>0</v>
      </c>
    </row>
    <row r="25" spans="1:13" ht="23.25" customHeight="1" x14ac:dyDescent="0.25">
      <c r="A25" s="29" t="s">
        <v>231</v>
      </c>
      <c r="B25" s="36" t="s">
        <v>127</v>
      </c>
      <c r="C25" s="34"/>
      <c r="D25" s="7">
        <f>+'2.1. sz. PMH'!D26+'2.1. sz. PMH'!F26+'2.1. sz. PMH'!L26+'2.1. sz. PMH'!T26+'2.2. sz. Hétszínvirág Óvoda'!D26+'2.2. sz. Hétszínvirág Óvoda'!F26+'2.2. sz. Hétszínvirág Óvoda'!H26+'2.2. sz. Hétszínvirág Óvoda'!J26+'2.2. sz. Hétszínvirág Óvoda'!L26+'2.2. sz. Hétszínvirág Óvoda'!N26+'2.2. sz. Hétszínvirág Óvoda'!R26+'2.3. sz. Mese Óvoda'!D26+'2.3. sz. Mese Óvoda'!F26+'2.3. sz. Mese Óvoda'!H26+'2.3. sz. Mese Óvoda'!J26+'2.3. sz. Mese Óvoda'!L26+'2.3. sz. Mese Óvoda'!N26+'2.4. sz. Bölcsőde'!D26+'2.4. sz. Bölcsőde'!F26+'2.4. sz. Bölcsőde'!H26+'2.4. sz. Bölcsőde'!J26+'2.4. sz. Bölcsőde'!L26+'2.5. sz. Gyermekjóléti'!D26+'2.5. sz. Gyermekjóléti'!F26+'2.5. sz. Gyermekjóléti'!H26+'2.5. sz. Gyermekjóléti'!J26+'2.5. sz. Gyermekjóléti'!L26+'2.5. sz. Gyermekjóléti'!N26+'2.5. sz. Gyermekjóléti'!P26+'2.6 sz. Területi'!D26+'2.6 sz. Területi'!F26+'2.6 sz. Területi'!H26+'2.6 sz. Területi'!N26+'2.6 sz. Területi'!P26+'2.6 sz. Területi'!X26+'2.6 sz. Területi'!Z26+'2.6 sz. Területi'!AB26+'2.6 sz. Területi'!AD26+'2.6 sz. Területi'!AF26+'2.6 sz. Területi'!AH26+'2.6 sz. Területi'!AJ26+'2.6 sz. Területi'!AL26+'2.6 sz. Területi'!AP26+'2.7. sz. Könyvtár'!D26+'2.7. sz. Könyvtár'!F26+'2.7. sz. Könyvtár'!H26+'2.7. sz. Könyvtár'!J26+'2.7. sz. Könyvtár'!L26+'2.7. sz. Könyvtár'!N26+'2.7. sz. Könyvtár'!P26+'2.7. sz. Könyvtár'!T26+'2.8. sz. Műv.Ház'!D26+'2.8. sz. Műv.Ház'!F26+'2.8. sz. Műv.Ház'!H26+'2.8. sz. Műv.Ház'!L26+'2.8. sz. Műv.Ház'!N26+'2.8. sz. Műv.Ház'!P26+'2.9. sz. Szivárvány Ó.'!D26+'2.9. sz. Szivárvány Ó.'!F26+'2.9. sz. Szivárvány Ó.'!H26+'2.9. sz. Szivárvány Ó.'!J26+'2.9. sz. Szivárvány Ó.'!L26+'2.9. sz. Szivárvány Ó.'!N26</f>
        <v>0</v>
      </c>
      <c r="E25" s="7">
        <f>+'2.1. sz. PMH'!E26+'2.1. sz. PMH'!G26+'2.1. sz. PMH'!M26+'2.1. sz. PMH'!U26+'2.2. sz. Hétszínvirág Óvoda'!E26+'2.2. sz. Hétszínvirág Óvoda'!G26+'2.2. sz. Hétszínvirág Óvoda'!I26+'2.2. sz. Hétszínvirág Óvoda'!K26+'2.2. sz. Hétszínvirág Óvoda'!M26+'2.2. sz. Hétszínvirág Óvoda'!O26+'2.2. sz. Hétszínvirág Óvoda'!S26+'2.2. sz. Hétszínvirág Óvoda'!Q26+'2.3. sz. Mese Óvoda'!E26+'2.3. sz. Mese Óvoda'!G26+'2.3. sz. Mese Óvoda'!I26+'2.3. sz. Mese Óvoda'!K26+'2.3. sz. Mese Óvoda'!M26+'2.3. sz. Mese Óvoda'!O26+'2.4. sz. Bölcsőde'!E26+'2.4. sz. Bölcsőde'!G26+'2.4. sz. Bölcsőde'!I26+'2.4. sz. Bölcsőde'!K26+'2.4. sz. Bölcsőde'!M26+'2.5. sz. Gyermekjóléti'!E26+'2.5. sz. Gyermekjóléti'!G26+'2.5. sz. Gyermekjóléti'!I26+'2.5. sz. Gyermekjóléti'!K26+'2.5. sz. Gyermekjóléti'!M26+'2.5. sz. Gyermekjóléti'!O26+'2.5. sz. Gyermekjóléti'!Q26+'2.6 sz. Területi'!E26+'2.6 sz. Területi'!G26+'2.6 sz. Területi'!I26+'2.6 sz. Területi'!O26+'2.6 sz. Területi'!Q26+'2.6 sz. Területi'!Y26+'2.6 sz. Területi'!AA26+'2.6 sz. Területi'!AC26+'2.6 sz. Területi'!AE26+'2.6 sz. Területi'!AG26+'2.6 sz. Területi'!AI26+'2.6 sz. Területi'!AK26+'2.6 sz. Területi'!AM26+'2.6 sz. Területi'!AQ26+'2.7. sz. Könyvtár'!E26+'2.7. sz. Könyvtár'!G26+'2.7. sz. Könyvtár'!I26+'2.7. sz. Könyvtár'!K26+'2.7. sz. Könyvtár'!M26+'2.7. sz. Könyvtár'!O26+'2.7. sz. Könyvtár'!Q26+'2.7. sz. Könyvtár'!U26+'2.8. sz. Műv.Ház'!E26+'2.8. sz. Műv.Ház'!G26+'2.8. sz. Műv.Ház'!I26+'2.8. sz. Műv.Ház'!M26+'2.8. sz. Műv.Ház'!O26+'2.8. sz. Műv.Ház'!Q26+'2.9. sz. Szivárvány Ó.'!E26+'2.9. sz. Szivárvány Ó.'!G26+'2.9. sz. Szivárvány Ó.'!I26+'2.9. sz. Szivárvány Ó.'!K26+'2.9. sz. Szivárvány Ó.'!M26+'2.9. sz. Szivárvány Ó.'!O26+'2.7. sz. Könyvtár'!S26+'2.6 sz. Területi'!AO26</f>
        <v>0</v>
      </c>
      <c r="F25" s="7">
        <f>+'2.6 sz. Területi'!J26+'2.6 sz. Területi'!L26+'2.6 sz. Területi'!R26+'2.6 sz. Területi'!T26+'2.6 sz. Területi'!V26+'2.8. sz. Műv.Ház'!J26</f>
        <v>0</v>
      </c>
      <c r="G25" s="7">
        <f>+'2.6 sz. Területi'!K26+'2.6 sz. Területi'!M26+'2.6 sz. Területi'!S26+'2.6 sz. Területi'!U26+'2.6 sz. Területi'!W26+'2.8. sz. Műv.Ház'!K26</f>
        <v>0</v>
      </c>
      <c r="H25" s="7">
        <f>+'2.1. sz. PMH'!H26+'2.1. sz. PMH'!J26+'2.1. sz. PMH'!N26+'2.1. sz. PMH'!P26+'2.1. sz. PMH'!R26</f>
        <v>0</v>
      </c>
      <c r="I25" s="7">
        <f>+'2.1. sz. PMH'!I26+'2.1. sz. PMH'!K26+'2.1. sz. PMH'!O26+'2.1. sz. PMH'!Q26+'2.1. sz. PMH'!S26</f>
        <v>0</v>
      </c>
      <c r="J25" s="7">
        <f t="shared" si="1"/>
        <v>0</v>
      </c>
      <c r="K25" s="7">
        <f t="shared" si="2"/>
        <v>0</v>
      </c>
      <c r="L25" s="94">
        <f t="shared" si="3"/>
        <v>0</v>
      </c>
    </row>
    <row r="26" spans="1:13" ht="23.25" customHeight="1" x14ac:dyDescent="0.25">
      <c r="A26" s="29" t="s">
        <v>232</v>
      </c>
      <c r="B26" s="267" t="s">
        <v>816</v>
      </c>
      <c r="C26" s="34"/>
      <c r="D26" s="7">
        <f>+'2.1. sz. PMH'!D27+'2.1. sz. PMH'!F27+'2.1. sz. PMH'!L27+'2.1. sz. PMH'!T27+'2.2. sz. Hétszínvirág Óvoda'!D27+'2.2. sz. Hétszínvirág Óvoda'!F27+'2.2. sz. Hétszínvirág Óvoda'!H27+'2.2. sz. Hétszínvirág Óvoda'!J27+'2.2. sz. Hétszínvirág Óvoda'!L27+'2.2. sz. Hétszínvirág Óvoda'!N27+'2.2. sz. Hétszínvirág Óvoda'!R27+'2.3. sz. Mese Óvoda'!D27+'2.3. sz. Mese Óvoda'!F27+'2.3. sz. Mese Óvoda'!H27+'2.3. sz. Mese Óvoda'!J27+'2.3. sz. Mese Óvoda'!L27+'2.3. sz. Mese Óvoda'!N27+'2.4. sz. Bölcsőde'!D27+'2.4. sz. Bölcsőde'!F27+'2.4. sz. Bölcsőde'!H27+'2.4. sz. Bölcsőde'!J27+'2.4. sz. Bölcsőde'!L27+'2.5. sz. Gyermekjóléti'!D27+'2.5. sz. Gyermekjóléti'!F27+'2.5. sz. Gyermekjóléti'!H27+'2.5. sz. Gyermekjóléti'!J27+'2.5. sz. Gyermekjóléti'!L27+'2.5. sz. Gyermekjóléti'!N27+'2.5. sz. Gyermekjóléti'!P27+'2.6 sz. Területi'!D27+'2.6 sz. Területi'!F27+'2.6 sz. Területi'!H27+'2.6 sz. Területi'!N27+'2.6 sz. Területi'!P27+'2.6 sz. Területi'!X27+'2.6 sz. Területi'!Z27+'2.6 sz. Területi'!AB27+'2.6 sz. Területi'!AD27+'2.6 sz. Területi'!AF27+'2.6 sz. Területi'!AH27+'2.6 sz. Területi'!AJ27+'2.6 sz. Területi'!AL27+'2.6 sz. Területi'!AP27+'2.7. sz. Könyvtár'!D27+'2.7. sz. Könyvtár'!F27+'2.7. sz. Könyvtár'!H27+'2.7. sz. Könyvtár'!J27+'2.7. sz. Könyvtár'!L27+'2.7. sz. Könyvtár'!N27+'2.7. sz. Könyvtár'!P27+'2.7. sz. Könyvtár'!T27+'2.8. sz. Műv.Ház'!D27+'2.8. sz. Műv.Ház'!F27+'2.8. sz. Műv.Ház'!H27+'2.8. sz. Műv.Ház'!L27+'2.8. sz. Műv.Ház'!N27+'2.8. sz. Műv.Ház'!P27+'2.9. sz. Szivárvány Ó.'!D27+'2.9. sz. Szivárvány Ó.'!F27+'2.9. sz. Szivárvány Ó.'!H27+'2.9. sz. Szivárvány Ó.'!J27+'2.9. sz. Szivárvány Ó.'!L27+'2.9. sz. Szivárvány Ó.'!N27</f>
        <v>0</v>
      </c>
      <c r="E26" s="7">
        <f>+'2.1. sz. PMH'!E27+'2.1. sz. PMH'!G27+'2.1. sz. PMH'!M27+'2.1. sz. PMH'!U27+'2.2. sz. Hétszínvirág Óvoda'!E27+'2.2. sz. Hétszínvirág Óvoda'!G27+'2.2. sz. Hétszínvirág Óvoda'!I27+'2.2. sz. Hétszínvirág Óvoda'!K27+'2.2. sz. Hétszínvirág Óvoda'!M27+'2.2. sz. Hétszínvirág Óvoda'!O27+'2.2. sz. Hétszínvirág Óvoda'!S27+'2.2. sz. Hétszínvirág Óvoda'!Q27+'2.3. sz. Mese Óvoda'!E27+'2.3. sz. Mese Óvoda'!G27+'2.3. sz. Mese Óvoda'!I27+'2.3. sz. Mese Óvoda'!K27+'2.3. sz. Mese Óvoda'!M27+'2.3. sz. Mese Óvoda'!O27+'2.4. sz. Bölcsőde'!E27+'2.4. sz. Bölcsőde'!G27+'2.4. sz. Bölcsőde'!I27+'2.4. sz. Bölcsőde'!K27+'2.4. sz. Bölcsőde'!M27+'2.5. sz. Gyermekjóléti'!E27+'2.5. sz. Gyermekjóléti'!G27+'2.5. sz. Gyermekjóléti'!I27+'2.5. sz. Gyermekjóléti'!K27+'2.5. sz. Gyermekjóléti'!M27+'2.5. sz. Gyermekjóléti'!O27+'2.5. sz. Gyermekjóléti'!Q27+'2.6 sz. Területi'!E27+'2.6 sz. Területi'!G27+'2.6 sz. Területi'!I27+'2.6 sz. Területi'!O27+'2.6 sz. Területi'!Q27+'2.6 sz. Területi'!Y27+'2.6 sz. Területi'!AA27+'2.6 sz. Területi'!AC27+'2.6 sz. Területi'!AE27+'2.6 sz. Területi'!AG27+'2.6 sz. Területi'!AI27+'2.6 sz. Területi'!AK27+'2.6 sz. Területi'!AM27+'2.6 sz. Területi'!AQ27+'2.7. sz. Könyvtár'!E27+'2.7. sz. Könyvtár'!G27+'2.7. sz. Könyvtár'!I27+'2.7. sz. Könyvtár'!K27+'2.7. sz. Könyvtár'!M27+'2.7. sz. Könyvtár'!O27+'2.7. sz. Könyvtár'!Q27+'2.7. sz. Könyvtár'!U27+'2.8. sz. Műv.Ház'!E27+'2.8. sz. Műv.Ház'!G27+'2.8. sz. Műv.Ház'!I27+'2.8. sz. Műv.Ház'!M27+'2.8. sz. Műv.Ház'!O27+'2.8. sz. Műv.Ház'!Q27+'2.9. sz. Szivárvány Ó.'!E27+'2.9. sz. Szivárvány Ó.'!G27+'2.9. sz. Szivárvány Ó.'!I27+'2.9. sz. Szivárvány Ó.'!K27+'2.9. sz. Szivárvány Ó.'!M27+'2.9. sz. Szivárvány Ó.'!O27+'2.7. sz. Könyvtár'!S27+'2.6 sz. Területi'!AO27</f>
        <v>0</v>
      </c>
      <c r="F26" s="7">
        <f>+'2.6 sz. Területi'!J27+'2.6 sz. Területi'!L27+'2.6 sz. Területi'!R27+'2.6 sz. Területi'!T27+'2.6 sz. Területi'!V27+'2.8. sz. Műv.Ház'!J27</f>
        <v>0</v>
      </c>
      <c r="G26" s="7">
        <f>+'2.6 sz. Területi'!K27+'2.6 sz. Területi'!M27+'2.6 sz. Területi'!S27+'2.6 sz. Területi'!U27+'2.6 sz. Területi'!W27+'2.8. sz. Műv.Ház'!K27</f>
        <v>0</v>
      </c>
      <c r="H26" s="7">
        <f>+'2.1. sz. PMH'!H27+'2.1. sz. PMH'!J27+'2.1. sz. PMH'!N27+'2.1. sz. PMH'!P27+'2.1. sz. PMH'!R27</f>
        <v>0</v>
      </c>
      <c r="I26" s="7">
        <f>+'2.1. sz. PMH'!I27+'2.1. sz. PMH'!K27+'2.1. sz. PMH'!O27+'2.1. sz. PMH'!Q27+'2.1. sz. PMH'!S27</f>
        <v>0</v>
      </c>
      <c r="J26" s="7">
        <f t="shared" si="1"/>
        <v>0</v>
      </c>
      <c r="K26" s="7">
        <f t="shared" si="2"/>
        <v>0</v>
      </c>
      <c r="L26" s="94"/>
    </row>
    <row r="27" spans="1:13" s="39" customFormat="1" ht="23.25" customHeight="1" x14ac:dyDescent="0.25">
      <c r="A27" s="29" t="s">
        <v>233</v>
      </c>
      <c r="B27" s="37" t="s">
        <v>32</v>
      </c>
      <c r="C27" s="30"/>
      <c r="D27" s="8">
        <f>+'2.1. sz. PMH'!D28+'2.1. sz. PMH'!F28+'2.1. sz. PMH'!L28+'2.1. sz. PMH'!T28+'2.2. sz. Hétszínvirág Óvoda'!D28+'2.2. sz. Hétszínvirág Óvoda'!F28+'2.2. sz. Hétszínvirág Óvoda'!H28+'2.2. sz. Hétszínvirág Óvoda'!J28+'2.2. sz. Hétszínvirág Óvoda'!L28+'2.2. sz. Hétszínvirág Óvoda'!N28+'2.2. sz. Hétszínvirág Óvoda'!R28+'2.3. sz. Mese Óvoda'!D28+'2.3. sz. Mese Óvoda'!F28+'2.3. sz. Mese Óvoda'!H28+'2.3. sz. Mese Óvoda'!J28+'2.3. sz. Mese Óvoda'!L28+'2.3. sz. Mese Óvoda'!N28+'2.4. sz. Bölcsőde'!D28+'2.4. sz. Bölcsőde'!F28+'2.4. sz. Bölcsőde'!H28+'2.4. sz. Bölcsőde'!J28+'2.4. sz. Bölcsőde'!L28+'2.5. sz. Gyermekjóléti'!D28+'2.5. sz. Gyermekjóléti'!F28+'2.5. sz. Gyermekjóléti'!H28+'2.5. sz. Gyermekjóléti'!J28+'2.5. sz. Gyermekjóléti'!L28+'2.5. sz. Gyermekjóléti'!N28+'2.5. sz. Gyermekjóléti'!P28+'2.6 sz. Területi'!D28+'2.6 sz. Területi'!F28+'2.6 sz. Területi'!H28+'2.6 sz. Területi'!N28+'2.6 sz. Területi'!P28+'2.6 sz. Területi'!X28+'2.6 sz. Területi'!Z28+'2.6 sz. Területi'!AB28+'2.6 sz. Területi'!AD28+'2.6 sz. Területi'!AF28+'2.6 sz. Területi'!AH28+'2.6 sz. Területi'!AJ28+'2.6 sz. Területi'!AL28+'2.6 sz. Területi'!AP28+'2.7. sz. Könyvtár'!D28+'2.7. sz. Könyvtár'!F28+'2.7. sz. Könyvtár'!H28+'2.7. sz. Könyvtár'!J28+'2.7. sz. Könyvtár'!L28+'2.7. sz. Könyvtár'!N28+'2.7. sz. Könyvtár'!P28+'2.7. sz. Könyvtár'!T28+'2.8. sz. Műv.Ház'!D28+'2.8. sz. Műv.Ház'!F28+'2.8. sz. Műv.Ház'!H28+'2.8. sz. Műv.Ház'!L28+'2.8. sz. Műv.Ház'!N28+'2.8. sz. Műv.Ház'!P28+'2.9. sz. Szivárvány Ó.'!D28+'2.9. sz. Szivárvány Ó.'!F28+'2.9. sz. Szivárvány Ó.'!H28+'2.9. sz. Szivárvány Ó.'!J28+'2.9. sz. Szivárvány Ó.'!L28+'2.9. sz. Szivárvány Ó.'!N28</f>
        <v>4447773800</v>
      </c>
      <c r="E27" s="8">
        <f>+'2.1. sz. PMH'!E28+'2.1. sz. PMH'!G28+'2.1. sz. PMH'!M28+'2.1. sz. PMH'!U28+'2.2. sz. Hétszínvirág Óvoda'!E28+'2.2. sz. Hétszínvirág Óvoda'!G28+'2.2. sz. Hétszínvirág Óvoda'!I28+'2.2. sz. Hétszínvirág Óvoda'!K28+'2.2. sz. Hétszínvirág Óvoda'!M28+'2.2. sz. Hétszínvirág Óvoda'!O28+'2.2. sz. Hétszínvirág Óvoda'!S28+'2.2. sz. Hétszínvirág Óvoda'!Q28+'2.3. sz. Mese Óvoda'!E28+'2.3. sz. Mese Óvoda'!G28+'2.3. sz. Mese Óvoda'!I28+'2.3. sz. Mese Óvoda'!K28+'2.3. sz. Mese Óvoda'!M28+'2.3. sz. Mese Óvoda'!O28+'2.4. sz. Bölcsőde'!E28+'2.4. sz. Bölcsőde'!G28+'2.4. sz. Bölcsőde'!I28+'2.4. sz. Bölcsőde'!K28+'2.4. sz. Bölcsőde'!M28+'2.5. sz. Gyermekjóléti'!E28+'2.5. sz. Gyermekjóléti'!G28+'2.5. sz. Gyermekjóléti'!I28+'2.5. sz. Gyermekjóléti'!K28+'2.5. sz. Gyermekjóléti'!M28+'2.5. sz. Gyermekjóléti'!O28+'2.5. sz. Gyermekjóléti'!Q28+'2.6 sz. Területi'!E28+'2.6 sz. Területi'!G28+'2.6 sz. Területi'!I28+'2.6 sz. Területi'!O28+'2.6 sz. Területi'!Q28+'2.6 sz. Területi'!Y28+'2.6 sz. Területi'!AA28+'2.6 sz. Területi'!AC28+'2.6 sz. Területi'!AE28+'2.6 sz. Területi'!AG28+'2.6 sz. Területi'!AI28+'2.6 sz. Területi'!AK28+'2.6 sz. Területi'!AM28+'2.6 sz. Területi'!AQ28+'2.7. sz. Könyvtár'!E28+'2.7. sz. Könyvtár'!G28+'2.7. sz. Könyvtár'!I28+'2.7. sz. Könyvtár'!K28+'2.7. sz. Könyvtár'!M28+'2.7. sz. Könyvtár'!O28+'2.7. sz. Könyvtár'!Q28+'2.7. sz. Könyvtár'!U28+'2.8. sz. Műv.Ház'!E28+'2.8. sz. Műv.Ház'!G28+'2.8. sz. Műv.Ház'!I28+'2.8. sz. Műv.Ház'!M28+'2.8. sz. Műv.Ház'!O28+'2.8. sz. Műv.Ház'!Q28+'2.9. sz. Szivárvány Ó.'!E28+'2.9. sz. Szivárvány Ó.'!G28+'2.9. sz. Szivárvány Ó.'!I28+'2.9. sz. Szivárvány Ó.'!K28+'2.9. sz. Szivárvány Ó.'!M28+'2.9. sz. Szivárvány Ó.'!O28+'2.7. sz. Könyvtár'!S28+'2.6 sz. Területi'!AO28</f>
        <v>4941997010</v>
      </c>
      <c r="F27" s="8">
        <f>+'2.6 sz. Területi'!J28+'2.6 sz. Területi'!L28+'2.6 sz. Területi'!R28+'2.6 sz. Területi'!T28+'2.6 sz. Területi'!V28+'2.8. sz. Műv.Ház'!J28</f>
        <v>140191414</v>
      </c>
      <c r="G27" s="8">
        <f>+'2.6 sz. Területi'!K28+'2.6 sz. Területi'!M28+'2.6 sz. Területi'!S28+'2.6 sz. Területi'!U28+'2.6 sz. Területi'!W28+'2.8. sz. Műv.Ház'!K28</f>
        <v>144844099</v>
      </c>
      <c r="H27" s="8">
        <f>+'2.1. sz. PMH'!H28+'2.1. sz. PMH'!J28+'2.1. sz. PMH'!N28+'2.1. sz. PMH'!P28+'2.1. sz. PMH'!R28</f>
        <v>147546784</v>
      </c>
      <c r="I27" s="8">
        <f>+'2.1. sz. PMH'!I28+'2.1. sz. PMH'!K28+'2.1. sz. PMH'!O28+'2.1. sz. PMH'!Q28+'2.1. sz. PMH'!S28</f>
        <v>156314536</v>
      </c>
      <c r="J27" s="8">
        <f t="shared" si="1"/>
        <v>4735511998</v>
      </c>
      <c r="K27" s="8">
        <f t="shared" si="2"/>
        <v>5243155645</v>
      </c>
      <c r="L27" s="94">
        <f t="shared" ref="L27:L38" si="4">K27-J27</f>
        <v>507643647</v>
      </c>
      <c r="M27" s="95">
        <f>+J8+J9+J10+J11+J13+J14+J15</f>
        <v>4735511998</v>
      </c>
    </row>
    <row r="28" spans="1:13" s="39" customFormat="1" ht="23.25" customHeight="1" x14ac:dyDescent="0.25">
      <c r="A28" s="29" t="s">
        <v>260</v>
      </c>
      <c r="B28" s="37" t="s">
        <v>33</v>
      </c>
      <c r="C28" s="30"/>
      <c r="D28" s="8">
        <f>+'2.1. sz. PMH'!D29+'2.1. sz. PMH'!F29+'2.1. sz. PMH'!L29+'2.1. sz. PMH'!T29+'2.2. sz. Hétszínvirág Óvoda'!D29+'2.2. sz. Hétszínvirág Óvoda'!F29+'2.2. sz. Hétszínvirág Óvoda'!H29+'2.2. sz. Hétszínvirág Óvoda'!J29+'2.2. sz. Hétszínvirág Óvoda'!L29+'2.2. sz. Hétszínvirág Óvoda'!N29+'2.2. sz. Hétszínvirág Óvoda'!R29+'2.3. sz. Mese Óvoda'!D29+'2.3. sz. Mese Óvoda'!F29+'2.3. sz. Mese Óvoda'!H29+'2.3. sz. Mese Óvoda'!J29+'2.3. sz. Mese Óvoda'!L29+'2.3. sz. Mese Óvoda'!N29+'2.4. sz. Bölcsőde'!D29+'2.4. sz. Bölcsőde'!F29+'2.4. sz. Bölcsőde'!H29+'2.4. sz. Bölcsőde'!J29+'2.4. sz. Bölcsőde'!L29+'2.5. sz. Gyermekjóléti'!D29+'2.5. sz. Gyermekjóléti'!F29+'2.5. sz. Gyermekjóléti'!H29+'2.5. sz. Gyermekjóléti'!J29+'2.5. sz. Gyermekjóléti'!L29+'2.5. sz. Gyermekjóléti'!N29+'2.5. sz. Gyermekjóléti'!P29+'2.6 sz. Területi'!D29+'2.6 sz. Területi'!F29+'2.6 sz. Területi'!H29+'2.6 sz. Területi'!N29+'2.6 sz. Területi'!P29+'2.6 sz. Területi'!X29+'2.6 sz. Területi'!Z29+'2.6 sz. Területi'!AB29+'2.6 sz. Területi'!AD29+'2.6 sz. Területi'!AF29+'2.6 sz. Területi'!AH29+'2.6 sz. Területi'!AJ29+'2.6 sz. Területi'!AL29+'2.6 sz. Területi'!AP29+'2.7. sz. Könyvtár'!D29+'2.7. sz. Könyvtár'!F29+'2.7. sz. Könyvtár'!H29+'2.7. sz. Könyvtár'!J29+'2.7. sz. Könyvtár'!L29+'2.7. sz. Könyvtár'!N29+'2.7. sz. Könyvtár'!P29+'2.7. sz. Könyvtár'!T29+'2.8. sz. Műv.Ház'!D29+'2.8. sz. Műv.Ház'!F29+'2.8. sz. Műv.Ház'!H29+'2.8. sz. Műv.Ház'!L29+'2.8. sz. Műv.Ház'!N29+'2.8. sz. Műv.Ház'!P29+'2.9. sz. Szivárvány Ó.'!D29+'2.9. sz. Szivárvány Ó.'!F29+'2.9. sz. Szivárvány Ó.'!H29+'2.9. sz. Szivárvány Ó.'!J29+'2.9. sz. Szivárvány Ó.'!L29+'2.9. sz. Szivárvány Ó.'!N29</f>
        <v>64612921</v>
      </c>
      <c r="E28" s="8">
        <f>+'2.1. sz. PMH'!E29+'2.1. sz. PMH'!G29+'2.1. sz. PMH'!M29+'2.1. sz. PMH'!U29+'2.2. sz. Hétszínvirág Óvoda'!E29+'2.2. sz. Hétszínvirág Óvoda'!G29+'2.2. sz. Hétszínvirág Óvoda'!I29+'2.2. sz. Hétszínvirág Óvoda'!K29+'2.2. sz. Hétszínvirág Óvoda'!M29+'2.2. sz. Hétszínvirág Óvoda'!O29+'2.2. sz. Hétszínvirág Óvoda'!S29+'2.2. sz. Hétszínvirág Óvoda'!Q29+'2.3. sz. Mese Óvoda'!E29+'2.3. sz. Mese Óvoda'!G29+'2.3. sz. Mese Óvoda'!I29+'2.3. sz. Mese Óvoda'!K29+'2.3. sz. Mese Óvoda'!M29+'2.3. sz. Mese Óvoda'!O29+'2.4. sz. Bölcsőde'!E29+'2.4. sz. Bölcsőde'!G29+'2.4. sz. Bölcsőde'!I29+'2.4. sz. Bölcsőde'!K29+'2.4. sz. Bölcsőde'!M29+'2.5. sz. Gyermekjóléti'!E29+'2.5. sz. Gyermekjóléti'!G29+'2.5. sz. Gyermekjóléti'!I29+'2.5. sz. Gyermekjóléti'!K29+'2.5. sz. Gyermekjóléti'!M29+'2.5. sz. Gyermekjóléti'!O29+'2.5. sz. Gyermekjóléti'!Q29+'2.6 sz. Területi'!E29+'2.6 sz. Területi'!G29+'2.6 sz. Területi'!I29+'2.6 sz. Területi'!O29+'2.6 sz. Területi'!Q29+'2.6 sz. Területi'!Y29+'2.6 sz. Területi'!AA29+'2.6 sz. Területi'!AC29+'2.6 sz. Területi'!AE29+'2.6 sz. Területi'!AG29+'2.6 sz. Területi'!AI29+'2.6 sz. Területi'!AK29+'2.6 sz. Területi'!AM29+'2.6 sz. Területi'!AQ29+'2.7. sz. Könyvtár'!E29+'2.7. sz. Könyvtár'!G29+'2.7. sz. Könyvtár'!I29+'2.7. sz. Könyvtár'!K29+'2.7. sz. Könyvtár'!M29+'2.7. sz. Könyvtár'!O29+'2.7. sz. Könyvtár'!Q29+'2.7. sz. Könyvtár'!U29+'2.8. sz. Műv.Ház'!E29+'2.8. sz. Műv.Ház'!G29+'2.8. sz. Műv.Ház'!I29+'2.8. sz. Műv.Ház'!M29+'2.8. sz. Műv.Ház'!O29+'2.8. sz. Műv.Ház'!Q29+'2.9. sz. Szivárvány Ó.'!E29+'2.9. sz. Szivárvány Ó.'!G29+'2.9. sz. Szivárvány Ó.'!I29+'2.9. sz. Szivárvány Ó.'!K29+'2.9. sz. Szivárvány Ó.'!M29+'2.9. sz. Szivárvány Ó.'!O29+'2.7. sz. Könyvtár'!S29+'2.6 sz. Területi'!AO29</f>
        <v>84423670</v>
      </c>
      <c r="F28" s="8">
        <f>+'2.6 sz. Területi'!J29+'2.6 sz. Területi'!L29+'2.6 sz. Területi'!R29+'2.6 sz. Területi'!T29+'2.6 sz. Területi'!V29+'2.8. sz. Műv.Ház'!J29</f>
        <v>2222500</v>
      </c>
      <c r="G28" s="8">
        <f>+'2.6 sz. Területi'!K29+'2.6 sz. Területi'!M29+'2.6 sz. Területi'!S29+'2.6 sz. Területi'!U29+'2.6 sz. Területi'!W29+'2.8. sz. Műv.Ház'!K29</f>
        <v>3143250</v>
      </c>
      <c r="H28" s="8">
        <f>+'2.1. sz. PMH'!H29+'2.1. sz. PMH'!J29+'2.1. sz. PMH'!N29+'2.1. sz. PMH'!P29+'2.1. sz. PMH'!R29</f>
        <v>13754100</v>
      </c>
      <c r="I28" s="8">
        <f>+'2.1. sz. PMH'!I29+'2.1. sz. PMH'!K29+'2.1. sz. PMH'!O29+'2.1. sz. PMH'!Q29+'2.1. sz. PMH'!S29</f>
        <v>13754100</v>
      </c>
      <c r="J28" s="8">
        <f t="shared" si="1"/>
        <v>80589521</v>
      </c>
      <c r="K28" s="8">
        <f t="shared" si="2"/>
        <v>101321020</v>
      </c>
      <c r="L28" s="94">
        <f t="shared" si="4"/>
        <v>20731499</v>
      </c>
    </row>
    <row r="29" spans="1:13" s="39" customFormat="1" ht="23.25" customHeight="1" x14ac:dyDescent="0.25">
      <c r="A29" s="29" t="s">
        <v>261</v>
      </c>
      <c r="B29" s="37" t="s">
        <v>327</v>
      </c>
      <c r="C29" s="30" t="s">
        <v>31</v>
      </c>
      <c r="D29" s="8">
        <f>+'2.1. sz. PMH'!D30+'2.1. sz. PMH'!F30+'2.1. sz. PMH'!L30+'2.1. sz. PMH'!T30+'2.2. sz. Hétszínvirág Óvoda'!D30+'2.2. sz. Hétszínvirág Óvoda'!F30+'2.2. sz. Hétszínvirág Óvoda'!H30+'2.2. sz. Hétszínvirág Óvoda'!J30+'2.2. sz. Hétszínvirág Óvoda'!L30+'2.2. sz. Hétszínvirág Óvoda'!N30+'2.2. sz. Hétszínvirág Óvoda'!R30+'2.3. sz. Mese Óvoda'!D30+'2.3. sz. Mese Óvoda'!F30+'2.3. sz. Mese Óvoda'!H30+'2.3. sz. Mese Óvoda'!J30+'2.3. sz. Mese Óvoda'!L30+'2.3. sz. Mese Óvoda'!N30+'2.4. sz. Bölcsőde'!D30+'2.4. sz. Bölcsőde'!F30+'2.4. sz. Bölcsőde'!H30+'2.4. sz. Bölcsőde'!J30+'2.4. sz. Bölcsőde'!L30+'2.5. sz. Gyermekjóléti'!D30+'2.5. sz. Gyermekjóléti'!F30+'2.5. sz. Gyermekjóléti'!H30+'2.5. sz. Gyermekjóléti'!J30+'2.5. sz. Gyermekjóléti'!L30+'2.5. sz. Gyermekjóléti'!N30+'2.5. sz. Gyermekjóléti'!P30+'2.6 sz. Területi'!D30+'2.6 sz. Területi'!F30+'2.6 sz. Területi'!H30+'2.6 sz. Területi'!N30+'2.6 sz. Területi'!P30+'2.6 sz. Területi'!X30+'2.6 sz. Területi'!Z30+'2.6 sz. Területi'!AB30+'2.6 sz. Területi'!AD30+'2.6 sz. Területi'!AF30+'2.6 sz. Területi'!AH30+'2.6 sz. Területi'!AJ30+'2.6 sz. Területi'!AL30+'2.6 sz. Területi'!AP30+'2.7. sz. Könyvtár'!D30+'2.7. sz. Könyvtár'!F30+'2.7. sz. Könyvtár'!H30+'2.7. sz. Könyvtár'!J30+'2.7. sz. Könyvtár'!L30+'2.7. sz. Könyvtár'!N30+'2.7. sz. Könyvtár'!P30+'2.7. sz. Könyvtár'!T30+'2.8. sz. Műv.Ház'!D30+'2.8. sz. Műv.Ház'!F30+'2.8. sz. Műv.Ház'!H30+'2.8. sz. Műv.Ház'!L30+'2.8. sz. Műv.Ház'!N30+'2.8. sz. Műv.Ház'!P30+'2.9. sz. Szivárvány Ó.'!D30+'2.9. sz. Szivárvány Ó.'!F30+'2.9. sz. Szivárvány Ó.'!H30+'2.9. sz. Szivárvány Ó.'!J30+'2.9. sz. Szivárvány Ó.'!L30+'2.9. sz. Szivárvány Ó.'!N30</f>
        <v>4512386721</v>
      </c>
      <c r="E29" s="8">
        <f>+'2.1. sz. PMH'!E30+'2.1. sz. PMH'!G30+'2.1. sz. PMH'!M30+'2.1. sz. PMH'!U30+'2.2. sz. Hétszínvirág Óvoda'!E30+'2.2. sz. Hétszínvirág Óvoda'!G30+'2.2. sz. Hétszínvirág Óvoda'!I30+'2.2. sz. Hétszínvirág Óvoda'!K30+'2.2. sz. Hétszínvirág Óvoda'!M30+'2.2. sz. Hétszínvirág Óvoda'!O30+'2.2. sz. Hétszínvirág Óvoda'!S30+'2.2. sz. Hétszínvirág Óvoda'!Q30+'2.3. sz. Mese Óvoda'!E30+'2.3. sz. Mese Óvoda'!G30+'2.3. sz. Mese Óvoda'!I30+'2.3. sz. Mese Óvoda'!K30+'2.3. sz. Mese Óvoda'!M30+'2.3. sz. Mese Óvoda'!O30+'2.4. sz. Bölcsőde'!E30+'2.4. sz. Bölcsőde'!G30+'2.4. sz. Bölcsőde'!I30+'2.4. sz. Bölcsőde'!K30+'2.4. sz. Bölcsőde'!M30+'2.5. sz. Gyermekjóléti'!E30+'2.5. sz. Gyermekjóléti'!G30+'2.5. sz. Gyermekjóléti'!I30+'2.5. sz. Gyermekjóléti'!K30+'2.5. sz. Gyermekjóléti'!M30+'2.5. sz. Gyermekjóléti'!O30+'2.5. sz. Gyermekjóléti'!Q30+'2.6 sz. Területi'!E30+'2.6 sz. Területi'!G30+'2.6 sz. Területi'!I30+'2.6 sz. Területi'!O30+'2.6 sz. Területi'!Q30+'2.6 sz. Területi'!Y30+'2.6 sz. Területi'!AA30+'2.6 sz. Területi'!AC30+'2.6 sz. Területi'!AE30+'2.6 sz. Területi'!AG30+'2.6 sz. Területi'!AI30+'2.6 sz. Területi'!AK30+'2.6 sz. Területi'!AM30+'2.6 sz. Területi'!AQ30+'2.7. sz. Könyvtár'!E30+'2.7. sz. Könyvtár'!G30+'2.7. sz. Könyvtár'!I30+'2.7. sz. Könyvtár'!K30+'2.7. sz. Könyvtár'!M30+'2.7. sz. Könyvtár'!O30+'2.7. sz. Könyvtár'!Q30+'2.7. sz. Könyvtár'!U30+'2.8. sz. Műv.Ház'!E30+'2.8. sz. Műv.Ház'!G30+'2.8. sz. Műv.Ház'!I30+'2.8. sz. Műv.Ház'!M30+'2.8. sz. Műv.Ház'!O30+'2.8. sz. Műv.Ház'!Q30+'2.9. sz. Szivárvány Ó.'!E30+'2.9. sz. Szivárvány Ó.'!G30+'2.9. sz. Szivárvány Ó.'!I30+'2.9. sz. Szivárvány Ó.'!K30+'2.9. sz. Szivárvány Ó.'!M30+'2.9. sz. Szivárvány Ó.'!O30+'2.7. sz. Könyvtár'!S30+'2.6 sz. Területi'!AO30</f>
        <v>5026420680</v>
      </c>
      <c r="F29" s="8">
        <f>+'2.6 sz. Területi'!J30+'2.6 sz. Területi'!L30+'2.6 sz. Területi'!R30+'2.6 sz. Területi'!T30+'2.6 sz. Területi'!V30+'2.8. sz. Műv.Ház'!J30</f>
        <v>142413914</v>
      </c>
      <c r="G29" s="8">
        <f>+'2.6 sz. Területi'!K30+'2.6 sz. Területi'!M30+'2.6 sz. Területi'!S30+'2.6 sz. Területi'!U30+'2.6 sz. Területi'!W30+'2.8. sz. Műv.Ház'!K30</f>
        <v>147987349</v>
      </c>
      <c r="H29" s="8">
        <f>+'2.1. sz. PMH'!H30+'2.1. sz. PMH'!J30+'2.1. sz. PMH'!N30+'2.1. sz. PMH'!P30+'2.1. sz. PMH'!R30</f>
        <v>161300884</v>
      </c>
      <c r="I29" s="8">
        <f>+'2.1. sz. PMH'!I30+'2.1. sz. PMH'!K30+'2.1. sz. PMH'!O30+'2.1. sz. PMH'!Q30+'2.1. sz. PMH'!S30</f>
        <v>170068636</v>
      </c>
      <c r="J29" s="8">
        <f t="shared" si="1"/>
        <v>4816101519</v>
      </c>
      <c r="K29" s="8">
        <f t="shared" si="2"/>
        <v>5344476665</v>
      </c>
      <c r="L29" s="94">
        <f t="shared" si="4"/>
        <v>528375146</v>
      </c>
    </row>
    <row r="30" spans="1:13" ht="23.25" customHeight="1" x14ac:dyDescent="0.25">
      <c r="A30" s="29" t="s">
        <v>262</v>
      </c>
      <c r="B30" s="31" t="s">
        <v>52</v>
      </c>
      <c r="C30" s="35" t="s">
        <v>209</v>
      </c>
      <c r="D30" s="7">
        <f>+'2.1. sz. PMH'!D31+'2.1. sz. PMH'!F31+'2.1. sz. PMH'!L31+'2.1. sz. PMH'!T31+'2.2. sz. Hétszínvirág Óvoda'!D31+'2.2. sz. Hétszínvirág Óvoda'!F31+'2.2. sz. Hétszínvirág Óvoda'!H31+'2.2. sz. Hétszínvirág Óvoda'!J31+'2.2. sz. Hétszínvirág Óvoda'!L31+'2.2. sz. Hétszínvirág Óvoda'!N31+'2.2. sz. Hétszínvirág Óvoda'!R31+'2.3. sz. Mese Óvoda'!D31+'2.3. sz. Mese Óvoda'!F31+'2.3. sz. Mese Óvoda'!H31+'2.3. sz. Mese Óvoda'!J31+'2.3. sz. Mese Óvoda'!L31+'2.3. sz. Mese Óvoda'!N31+'2.4. sz. Bölcsőde'!D31+'2.4. sz. Bölcsőde'!F31+'2.4. sz. Bölcsőde'!H31+'2.4. sz. Bölcsőde'!J31+'2.4. sz. Bölcsőde'!L31+'2.5. sz. Gyermekjóléti'!D31+'2.5. sz. Gyermekjóléti'!F31+'2.5. sz. Gyermekjóléti'!H31+'2.5. sz. Gyermekjóléti'!J31+'2.5. sz. Gyermekjóléti'!L31+'2.5. sz. Gyermekjóléti'!N31+'2.5. sz. Gyermekjóléti'!P31+'2.6 sz. Területi'!D31+'2.6 sz. Területi'!F31+'2.6 sz. Területi'!H31+'2.6 sz. Területi'!N31+'2.6 sz. Területi'!P31+'2.6 sz. Területi'!X31+'2.6 sz. Területi'!Z31+'2.6 sz. Területi'!AB31+'2.6 sz. Területi'!AD31+'2.6 sz. Területi'!AF31+'2.6 sz. Területi'!AH31+'2.6 sz. Területi'!AJ31+'2.6 sz. Területi'!AL31+'2.6 sz. Területi'!AP31+'2.7. sz. Könyvtár'!D31+'2.7. sz. Könyvtár'!F31+'2.7. sz. Könyvtár'!H31+'2.7. sz. Könyvtár'!J31+'2.7. sz. Könyvtár'!L31+'2.7. sz. Könyvtár'!N31+'2.7. sz. Könyvtár'!P31+'2.7. sz. Könyvtár'!T31+'2.8. sz. Műv.Ház'!D31+'2.8. sz. Műv.Ház'!F31+'2.8. sz. Műv.Ház'!H31+'2.8. sz. Műv.Ház'!L31+'2.8. sz. Műv.Ház'!N31+'2.8. sz. Műv.Ház'!P31+'2.9. sz. Szivárvány Ó.'!D31+'2.9. sz. Szivárvány Ó.'!F31+'2.9. sz. Szivárvány Ó.'!H31+'2.9. sz. Szivárvány Ó.'!J31+'2.9. sz. Szivárvány Ó.'!L31+'2.9. sz. Szivárvány Ó.'!N31</f>
        <v>92000000</v>
      </c>
      <c r="E30" s="7">
        <f>+'2.1. sz. PMH'!E31+'2.1. sz. PMH'!G31+'2.1. sz. PMH'!M31+'2.1. sz. PMH'!U31+'2.2. sz. Hétszínvirág Óvoda'!E31+'2.2. sz. Hétszínvirág Óvoda'!G31+'2.2. sz. Hétszínvirág Óvoda'!I31+'2.2. sz. Hétszínvirág Óvoda'!K31+'2.2. sz. Hétszínvirág Óvoda'!M31+'2.2. sz. Hétszínvirág Óvoda'!O31+'2.2. sz. Hétszínvirág Óvoda'!S31+'2.2. sz. Hétszínvirág Óvoda'!Q31+'2.3. sz. Mese Óvoda'!E31+'2.3. sz. Mese Óvoda'!G31+'2.3. sz. Mese Óvoda'!I31+'2.3. sz. Mese Óvoda'!K31+'2.3. sz. Mese Óvoda'!M31+'2.3. sz. Mese Óvoda'!O31+'2.4. sz. Bölcsőde'!E31+'2.4. sz. Bölcsőde'!G31+'2.4. sz. Bölcsőde'!I31+'2.4. sz. Bölcsőde'!K31+'2.4. sz. Bölcsőde'!M31+'2.5. sz. Gyermekjóléti'!E31+'2.5. sz. Gyermekjóléti'!G31+'2.5. sz. Gyermekjóléti'!I31+'2.5. sz. Gyermekjóléti'!K31+'2.5. sz. Gyermekjóléti'!M31+'2.5. sz. Gyermekjóléti'!O31+'2.5. sz. Gyermekjóléti'!Q31+'2.6 sz. Területi'!E31+'2.6 sz. Területi'!G31+'2.6 sz. Területi'!I31+'2.6 sz. Területi'!O31+'2.6 sz. Területi'!Q31+'2.6 sz. Területi'!Y31+'2.6 sz. Területi'!AA31+'2.6 sz. Területi'!AC31+'2.6 sz. Területi'!AE31+'2.6 sz. Területi'!AG31+'2.6 sz. Területi'!AI31+'2.6 sz. Területi'!AK31+'2.6 sz. Területi'!AM31+'2.6 sz. Területi'!AQ31+'2.7. sz. Könyvtár'!E31+'2.7. sz. Könyvtár'!G31+'2.7. sz. Könyvtár'!I31+'2.7. sz. Könyvtár'!K31+'2.7. sz. Könyvtár'!M31+'2.7. sz. Könyvtár'!O31+'2.7. sz. Könyvtár'!Q31+'2.7. sz. Könyvtár'!U31+'2.8. sz. Műv.Ház'!E31+'2.8. sz. Műv.Ház'!G31+'2.8. sz. Műv.Ház'!I31+'2.8. sz. Műv.Ház'!M31+'2.8. sz. Műv.Ház'!O31+'2.8. sz. Műv.Ház'!Q31+'2.9. sz. Szivárvány Ó.'!E31+'2.9. sz. Szivárvány Ó.'!G31+'2.9. sz. Szivárvány Ó.'!I31+'2.9. sz. Szivárvány Ó.'!K31+'2.9. sz. Szivárvány Ó.'!M31+'2.9. sz. Szivárvány Ó.'!O31+'2.7. sz. Könyvtár'!S31+'2.6 sz. Területi'!AO31</f>
        <v>105624600</v>
      </c>
      <c r="F30" s="7">
        <f>+'2.6 sz. Területi'!J31+'2.6 sz. Területi'!L31+'2.6 sz. Területi'!R31+'2.6 sz. Területi'!T31+'2.6 sz. Területi'!V31+'2.8. sz. Műv.Ház'!J31</f>
        <v>0</v>
      </c>
      <c r="G30" s="7">
        <f>+'2.6 sz. Területi'!K31+'2.6 sz. Területi'!M31+'2.6 sz. Területi'!S31+'2.6 sz. Területi'!U31+'2.6 sz. Területi'!W31+'2.8. sz. Műv.Ház'!K31</f>
        <v>0</v>
      </c>
      <c r="H30" s="7">
        <f>+'2.1. sz. PMH'!H31+'2.1. sz. PMH'!J31+'2.1. sz. PMH'!N31+'2.1. sz. PMH'!P31+'2.1. sz. PMH'!R31</f>
        <v>0</v>
      </c>
      <c r="I30" s="7">
        <f>+'2.1. sz. PMH'!I31+'2.1. sz. PMH'!K31+'2.1. sz. PMH'!O31+'2.1. sz. PMH'!Q31+'2.1. sz. PMH'!S31</f>
        <v>0</v>
      </c>
      <c r="J30" s="7">
        <f t="shared" si="1"/>
        <v>92000000</v>
      </c>
      <c r="K30" s="7">
        <f t="shared" si="2"/>
        <v>105624600</v>
      </c>
      <c r="L30" s="94">
        <f t="shared" si="4"/>
        <v>13624600</v>
      </c>
    </row>
    <row r="31" spans="1:13" ht="23.25" customHeight="1" x14ac:dyDescent="0.25">
      <c r="A31" s="29" t="s">
        <v>263</v>
      </c>
      <c r="B31" s="31" t="s">
        <v>220</v>
      </c>
      <c r="C31" s="35" t="s">
        <v>210</v>
      </c>
      <c r="D31" s="7">
        <f>+'2.1. sz. PMH'!D32+'2.1. sz. PMH'!F32+'2.1. sz. PMH'!L32+'2.1. sz. PMH'!T32+'2.2. sz. Hétszínvirág Óvoda'!D32+'2.2. sz. Hétszínvirág Óvoda'!F32+'2.2. sz. Hétszínvirág Óvoda'!H32+'2.2. sz. Hétszínvirág Óvoda'!J32+'2.2. sz. Hétszínvirág Óvoda'!L32+'2.2. sz. Hétszínvirág Óvoda'!N32+'2.2. sz. Hétszínvirág Óvoda'!R32+'2.3. sz. Mese Óvoda'!D32+'2.3. sz. Mese Óvoda'!F32+'2.3. sz. Mese Óvoda'!H32+'2.3. sz. Mese Óvoda'!J32+'2.3. sz. Mese Óvoda'!L32+'2.3. sz. Mese Óvoda'!N32+'2.4. sz. Bölcsőde'!D32+'2.4. sz. Bölcsőde'!F32+'2.4. sz. Bölcsőde'!H32+'2.4. sz. Bölcsőde'!J32+'2.4. sz. Bölcsőde'!L32+'2.5. sz. Gyermekjóléti'!D32+'2.5. sz. Gyermekjóléti'!F32+'2.5. sz. Gyermekjóléti'!H32+'2.5. sz. Gyermekjóléti'!J32+'2.5. sz. Gyermekjóléti'!L32+'2.5. sz. Gyermekjóléti'!N32+'2.5. sz. Gyermekjóléti'!P32+'2.6 sz. Területi'!D32+'2.6 sz. Területi'!F32+'2.6 sz. Területi'!H32+'2.6 sz. Területi'!N32+'2.6 sz. Területi'!P32+'2.6 sz. Területi'!X32+'2.6 sz. Területi'!Z32+'2.6 sz. Területi'!AB32+'2.6 sz. Területi'!AD32+'2.6 sz. Területi'!AF32+'2.6 sz. Területi'!AH32+'2.6 sz. Területi'!AJ32+'2.6 sz. Területi'!AL32+'2.6 sz. Területi'!AP32+'2.7. sz. Könyvtár'!D32+'2.7. sz. Könyvtár'!F32+'2.7. sz. Könyvtár'!H32+'2.7. sz. Könyvtár'!J32+'2.7. sz. Könyvtár'!L32+'2.7. sz. Könyvtár'!N32+'2.7. sz. Könyvtár'!P32+'2.7. sz. Könyvtár'!T32+'2.8. sz. Műv.Ház'!D32+'2.8. sz. Műv.Ház'!F32+'2.8. sz. Műv.Ház'!H32+'2.8. sz. Műv.Ház'!L32+'2.8. sz. Műv.Ház'!N32+'2.8. sz. Műv.Ház'!P32+'2.9. sz. Szivárvány Ó.'!D32+'2.9. sz. Szivárvány Ó.'!F32+'2.9. sz. Szivárvány Ó.'!H32+'2.9. sz. Szivárvány Ó.'!J32+'2.9. sz. Szivárvány Ó.'!L32+'2.9. sz. Szivárvány Ó.'!N32</f>
        <v>0</v>
      </c>
      <c r="E31" s="7">
        <f>+'2.1. sz. PMH'!E32+'2.1. sz. PMH'!G32+'2.1. sz. PMH'!M32+'2.1. sz. PMH'!U32+'2.2. sz. Hétszínvirág Óvoda'!E32+'2.2. sz. Hétszínvirág Óvoda'!G32+'2.2. sz. Hétszínvirág Óvoda'!I32+'2.2. sz. Hétszínvirág Óvoda'!K32+'2.2. sz. Hétszínvirág Óvoda'!M32+'2.2. sz. Hétszínvirág Óvoda'!O32+'2.2. sz. Hétszínvirág Óvoda'!S32+'2.2. sz. Hétszínvirág Óvoda'!Q32+'2.3. sz. Mese Óvoda'!E32+'2.3. sz. Mese Óvoda'!G32+'2.3. sz. Mese Óvoda'!I32+'2.3. sz. Mese Óvoda'!K32+'2.3. sz. Mese Óvoda'!M32+'2.3. sz. Mese Óvoda'!O32+'2.4. sz. Bölcsőde'!E32+'2.4. sz. Bölcsőde'!G32+'2.4. sz. Bölcsőde'!I32+'2.4. sz. Bölcsőde'!K32+'2.4. sz. Bölcsőde'!M32+'2.5. sz. Gyermekjóléti'!E32+'2.5. sz. Gyermekjóléti'!G32+'2.5. sz. Gyermekjóléti'!I32+'2.5. sz. Gyermekjóléti'!K32+'2.5. sz. Gyermekjóléti'!M32+'2.5. sz. Gyermekjóléti'!O32+'2.5. sz. Gyermekjóléti'!Q32+'2.6 sz. Területi'!E32+'2.6 sz. Területi'!G32+'2.6 sz. Területi'!I32+'2.6 sz. Területi'!O32+'2.6 sz. Területi'!Q32+'2.6 sz. Területi'!Y32+'2.6 sz. Területi'!AA32+'2.6 sz. Területi'!AC32+'2.6 sz. Területi'!AE32+'2.6 sz. Területi'!AG32+'2.6 sz. Területi'!AI32+'2.6 sz. Területi'!AK32+'2.6 sz. Területi'!AM32+'2.6 sz. Területi'!AQ32+'2.7. sz. Könyvtár'!E32+'2.7. sz. Könyvtár'!G32+'2.7. sz. Könyvtár'!I32+'2.7. sz. Könyvtár'!K32+'2.7. sz. Könyvtár'!M32+'2.7. sz. Könyvtár'!O32+'2.7. sz. Könyvtár'!Q32+'2.7. sz. Könyvtár'!U32+'2.8. sz. Műv.Ház'!E32+'2.8. sz. Műv.Ház'!G32+'2.8. sz. Műv.Ház'!I32+'2.8. sz. Műv.Ház'!M32+'2.8. sz. Műv.Ház'!O32+'2.8. sz. Műv.Ház'!Q32+'2.9. sz. Szivárvány Ó.'!E32+'2.9. sz. Szivárvány Ó.'!G32+'2.9. sz. Szivárvány Ó.'!I32+'2.9. sz. Szivárvány Ó.'!K32+'2.9. sz. Szivárvány Ó.'!M32+'2.9. sz. Szivárvány Ó.'!O32+'2.7. sz. Könyvtár'!S32+'2.6 sz. Területi'!AO32</f>
        <v>0</v>
      </c>
      <c r="F31" s="7">
        <f>+'2.6 sz. Területi'!J32+'2.6 sz. Területi'!L32+'2.6 sz. Területi'!R32+'2.6 sz. Területi'!T32+'2.6 sz. Területi'!V32+'2.8. sz. Műv.Ház'!J32</f>
        <v>0</v>
      </c>
      <c r="G31" s="7">
        <f>+'2.6 sz. Területi'!K32+'2.6 sz. Területi'!M32+'2.6 sz. Területi'!S32+'2.6 sz. Területi'!U32+'2.6 sz. Területi'!W32+'2.8. sz. Műv.Ház'!K32</f>
        <v>0</v>
      </c>
      <c r="H31" s="7">
        <f>+'2.1. sz. PMH'!H32+'2.1. sz. PMH'!J32+'2.1. sz. PMH'!N32+'2.1. sz. PMH'!P32+'2.1. sz. PMH'!R32</f>
        <v>0</v>
      </c>
      <c r="I31" s="7">
        <f>+'2.1. sz. PMH'!I32+'2.1. sz. PMH'!K32+'2.1. sz. PMH'!O32+'2.1. sz. PMH'!Q32+'2.1. sz. PMH'!S32</f>
        <v>0</v>
      </c>
      <c r="J31" s="7">
        <f t="shared" si="1"/>
        <v>0</v>
      </c>
      <c r="K31" s="7">
        <f t="shared" si="2"/>
        <v>0</v>
      </c>
      <c r="L31" s="94">
        <f t="shared" si="4"/>
        <v>0</v>
      </c>
    </row>
    <row r="32" spans="1:13" ht="23.25" customHeight="1" x14ac:dyDescent="0.25">
      <c r="A32" s="29" t="s">
        <v>264</v>
      </c>
      <c r="B32" s="31" t="s">
        <v>219</v>
      </c>
      <c r="C32" s="35" t="s">
        <v>211</v>
      </c>
      <c r="D32" s="7">
        <f>+'2.1. sz. PMH'!D33+'2.1. sz. PMH'!F33+'2.1. sz. PMH'!L33+'2.1. sz. PMH'!T33+'2.2. sz. Hétszínvirág Óvoda'!D33+'2.2. sz. Hétszínvirág Óvoda'!F33+'2.2. sz. Hétszínvirág Óvoda'!H33+'2.2. sz. Hétszínvirág Óvoda'!J33+'2.2. sz. Hétszínvirág Óvoda'!L33+'2.2. sz. Hétszínvirág Óvoda'!N33+'2.2. sz. Hétszínvirág Óvoda'!R33+'2.3. sz. Mese Óvoda'!D33+'2.3. sz. Mese Óvoda'!F33+'2.3. sz. Mese Óvoda'!H33+'2.3. sz. Mese Óvoda'!J33+'2.3. sz. Mese Óvoda'!L33+'2.3. sz. Mese Óvoda'!N33+'2.4. sz. Bölcsőde'!D33+'2.4. sz. Bölcsőde'!F33+'2.4. sz. Bölcsőde'!H33+'2.4. sz. Bölcsőde'!J33+'2.4. sz. Bölcsőde'!L33+'2.5. sz. Gyermekjóléti'!D33+'2.5. sz. Gyermekjóléti'!F33+'2.5. sz. Gyermekjóléti'!H33+'2.5. sz. Gyermekjóléti'!J33+'2.5. sz. Gyermekjóléti'!L33+'2.5. sz. Gyermekjóléti'!N33+'2.5. sz. Gyermekjóléti'!P33+'2.6 sz. Területi'!D33+'2.6 sz. Területi'!F33+'2.6 sz. Területi'!H33+'2.6 sz. Területi'!N33+'2.6 sz. Területi'!P33+'2.6 sz. Területi'!X33+'2.6 sz. Területi'!Z33+'2.6 sz. Területi'!AB33+'2.6 sz. Területi'!AD33+'2.6 sz. Területi'!AF33+'2.6 sz. Területi'!AH33+'2.6 sz. Területi'!AJ33+'2.6 sz. Területi'!AL33+'2.6 sz. Területi'!AP33+'2.7. sz. Könyvtár'!D33+'2.7. sz. Könyvtár'!F33+'2.7. sz. Könyvtár'!H33+'2.7. sz. Könyvtár'!J33+'2.7. sz. Könyvtár'!L33+'2.7. sz. Könyvtár'!N33+'2.7. sz. Könyvtár'!P33+'2.7. sz. Könyvtár'!T33+'2.8. sz. Műv.Ház'!D33+'2.8. sz. Műv.Ház'!F33+'2.8. sz. Műv.Ház'!H33+'2.8. sz. Műv.Ház'!L33+'2.8. sz. Műv.Ház'!N33+'2.8. sz. Műv.Ház'!P33+'2.9. sz. Szivárvány Ó.'!D33+'2.9. sz. Szivárvány Ó.'!F33+'2.9. sz. Szivárvány Ó.'!H33+'2.9. sz. Szivárvány Ó.'!J33+'2.9. sz. Szivárvány Ó.'!L33+'2.9. sz. Szivárvány Ó.'!N33</f>
        <v>30000</v>
      </c>
      <c r="E32" s="7">
        <f>+'2.1. sz. PMH'!E33+'2.1. sz. PMH'!G33+'2.1. sz. PMH'!M33+'2.1. sz. PMH'!U33+'2.2. sz. Hétszínvirág Óvoda'!E33+'2.2. sz. Hétszínvirág Óvoda'!G33+'2.2. sz. Hétszínvirág Óvoda'!I33+'2.2. sz. Hétszínvirág Óvoda'!K33+'2.2. sz. Hétszínvirág Óvoda'!M33+'2.2. sz. Hétszínvirág Óvoda'!O33+'2.2. sz. Hétszínvirág Óvoda'!S33+'2.2. sz. Hétszínvirág Óvoda'!Q33+'2.3. sz. Mese Óvoda'!E33+'2.3. sz. Mese Óvoda'!G33+'2.3. sz. Mese Óvoda'!I33+'2.3. sz. Mese Óvoda'!K33+'2.3. sz. Mese Óvoda'!M33+'2.3. sz. Mese Óvoda'!O33+'2.4. sz. Bölcsőde'!E33+'2.4. sz. Bölcsőde'!G33+'2.4. sz. Bölcsőde'!I33+'2.4. sz. Bölcsőde'!K33+'2.4. sz. Bölcsőde'!M33+'2.5. sz. Gyermekjóléti'!E33+'2.5. sz. Gyermekjóléti'!G33+'2.5. sz. Gyermekjóléti'!I33+'2.5. sz. Gyermekjóléti'!K33+'2.5. sz. Gyermekjóléti'!M33+'2.5. sz. Gyermekjóléti'!O33+'2.5. sz. Gyermekjóléti'!Q33+'2.6 sz. Területi'!E33+'2.6 sz. Területi'!G33+'2.6 sz. Területi'!I33+'2.6 sz. Területi'!O33+'2.6 sz. Területi'!Q33+'2.6 sz. Területi'!Y33+'2.6 sz. Területi'!AA33+'2.6 sz. Területi'!AC33+'2.6 sz. Területi'!AE33+'2.6 sz. Területi'!AG33+'2.6 sz. Területi'!AI33+'2.6 sz. Területi'!AK33+'2.6 sz. Területi'!AM33+'2.6 sz. Területi'!AQ33+'2.7. sz. Könyvtár'!E33+'2.7. sz. Könyvtár'!G33+'2.7. sz. Könyvtár'!I33+'2.7. sz. Könyvtár'!K33+'2.7. sz. Könyvtár'!M33+'2.7. sz. Könyvtár'!O33+'2.7. sz. Könyvtár'!Q33+'2.7. sz. Könyvtár'!U33+'2.8. sz. Műv.Ház'!E33+'2.8. sz. Műv.Ház'!G33+'2.8. sz. Műv.Ház'!I33+'2.8. sz. Műv.Ház'!M33+'2.8. sz. Műv.Ház'!O33+'2.8. sz. Műv.Ház'!Q33+'2.9. sz. Szivárvány Ó.'!E33+'2.9. sz. Szivárvány Ó.'!G33+'2.9. sz. Szivárvány Ó.'!I33+'2.9. sz. Szivárvány Ó.'!K33+'2.9. sz. Szivárvány Ó.'!M33+'2.9. sz. Szivárvány Ó.'!O33+'2.7. sz. Könyvtár'!S33+'2.6 sz. Területi'!AO33</f>
        <v>1534037</v>
      </c>
      <c r="F32" s="7">
        <f>+'2.6 sz. Területi'!J33+'2.6 sz. Területi'!L33+'2.6 sz. Területi'!R33+'2.6 sz. Területi'!T33+'2.6 sz. Területi'!V33+'2.8. sz. Műv.Ház'!J33</f>
        <v>0</v>
      </c>
      <c r="G32" s="7">
        <f>+'2.6 sz. Területi'!K33+'2.6 sz. Területi'!M33+'2.6 sz. Területi'!S33+'2.6 sz. Területi'!U33+'2.6 sz. Területi'!W33+'2.8. sz. Műv.Ház'!K33</f>
        <v>0</v>
      </c>
      <c r="H32" s="7">
        <f>+'2.1. sz. PMH'!H33+'2.1. sz. PMH'!J33+'2.1. sz. PMH'!N33+'2.1. sz. PMH'!P33+'2.1. sz. PMH'!R33</f>
        <v>4100000</v>
      </c>
      <c r="I32" s="7">
        <f>+'2.1. sz. PMH'!I33+'2.1. sz. PMH'!K33+'2.1. sz. PMH'!O33+'2.1. sz. PMH'!Q33+'2.1. sz. PMH'!S33</f>
        <v>5710000</v>
      </c>
      <c r="J32" s="7">
        <f t="shared" si="1"/>
        <v>4130000</v>
      </c>
      <c r="K32" s="7">
        <f t="shared" si="2"/>
        <v>7244037</v>
      </c>
      <c r="L32" s="94">
        <f t="shared" si="4"/>
        <v>3114037</v>
      </c>
    </row>
    <row r="33" spans="1:13" ht="23.25" customHeight="1" x14ac:dyDescent="0.25">
      <c r="A33" s="29" t="s">
        <v>265</v>
      </c>
      <c r="B33" s="32" t="s">
        <v>0</v>
      </c>
      <c r="C33" s="35" t="s">
        <v>212</v>
      </c>
      <c r="D33" s="7">
        <f>+'2.1. sz. PMH'!D34+'2.1. sz. PMH'!F34+'2.1. sz. PMH'!L34+'2.1. sz. PMH'!T34+'2.2. sz. Hétszínvirág Óvoda'!D34+'2.2. sz. Hétszínvirág Óvoda'!F34+'2.2. sz. Hétszínvirág Óvoda'!H34+'2.2. sz. Hétszínvirág Óvoda'!J34+'2.2. sz. Hétszínvirág Óvoda'!L34+'2.2. sz. Hétszínvirág Óvoda'!N34+'2.2. sz. Hétszínvirág Óvoda'!R34+'2.3. sz. Mese Óvoda'!D34+'2.3. sz. Mese Óvoda'!F34+'2.3. sz. Mese Óvoda'!H34+'2.3. sz. Mese Óvoda'!J34+'2.3. sz. Mese Óvoda'!L34+'2.3. sz. Mese Óvoda'!N34+'2.4. sz. Bölcsőde'!D34+'2.4. sz. Bölcsőde'!F34+'2.4. sz. Bölcsőde'!H34+'2.4. sz. Bölcsőde'!J34+'2.4. sz. Bölcsőde'!L34+'2.5. sz. Gyermekjóléti'!D34+'2.5. sz. Gyermekjóléti'!F34+'2.5. sz. Gyermekjóléti'!H34+'2.5. sz. Gyermekjóléti'!J34+'2.5. sz. Gyermekjóléti'!L34+'2.5. sz. Gyermekjóléti'!N34+'2.5. sz. Gyermekjóléti'!P34+'2.6 sz. Területi'!D34+'2.6 sz. Területi'!F34+'2.6 sz. Területi'!H34+'2.6 sz. Területi'!N34+'2.6 sz. Területi'!P34+'2.6 sz. Területi'!X34+'2.6 sz. Területi'!Z34+'2.6 sz. Területi'!AB34+'2.6 sz. Területi'!AD34+'2.6 sz. Területi'!AF34+'2.6 sz. Területi'!AH34+'2.6 sz. Területi'!AJ34+'2.6 sz. Területi'!AL34+'2.6 sz. Területi'!AP34+'2.7. sz. Könyvtár'!D34+'2.7. sz. Könyvtár'!F34+'2.7. sz. Könyvtár'!H34+'2.7. sz. Könyvtár'!J34+'2.7. sz. Könyvtár'!L34+'2.7. sz. Könyvtár'!N34+'2.7. sz. Könyvtár'!P34+'2.7. sz. Könyvtár'!T34+'2.8. sz. Műv.Ház'!D34+'2.8. sz. Műv.Ház'!F34+'2.8. sz. Műv.Ház'!H34+'2.8. sz. Műv.Ház'!L34+'2.8. sz. Műv.Ház'!N34+'2.8. sz. Műv.Ház'!P34+'2.9. sz. Szivárvány Ó.'!D34+'2.9. sz. Szivárvány Ó.'!F34+'2.9. sz. Szivárvány Ó.'!H34+'2.9. sz. Szivárvány Ó.'!J34+'2.9. sz. Szivárvány Ó.'!L34+'2.9. sz. Szivárvány Ó.'!N34</f>
        <v>281194464</v>
      </c>
      <c r="E33" s="7">
        <f>+'2.1. sz. PMH'!E34+'2.1. sz. PMH'!G34+'2.1. sz. PMH'!M34+'2.1. sz. PMH'!U34+'2.2. sz. Hétszínvirág Óvoda'!E34+'2.2. sz. Hétszínvirág Óvoda'!G34+'2.2. sz. Hétszínvirág Óvoda'!I34+'2.2. sz. Hétszínvirág Óvoda'!K34+'2.2. sz. Hétszínvirág Óvoda'!M34+'2.2. sz. Hétszínvirág Óvoda'!O34+'2.2. sz. Hétszínvirág Óvoda'!S34+'2.2. sz. Hétszínvirág Óvoda'!Q34+'2.3. sz. Mese Óvoda'!E34+'2.3. sz. Mese Óvoda'!G34+'2.3. sz. Mese Óvoda'!I34+'2.3. sz. Mese Óvoda'!K34+'2.3. sz. Mese Óvoda'!M34+'2.3. sz. Mese Óvoda'!O34+'2.4. sz. Bölcsőde'!E34+'2.4. sz. Bölcsőde'!G34+'2.4. sz. Bölcsőde'!I34+'2.4. sz. Bölcsőde'!K34+'2.4. sz. Bölcsőde'!M34+'2.5. sz. Gyermekjóléti'!E34+'2.5. sz. Gyermekjóléti'!G34+'2.5. sz. Gyermekjóléti'!I34+'2.5. sz. Gyermekjóléti'!K34+'2.5. sz. Gyermekjóléti'!M34+'2.5. sz. Gyermekjóléti'!O34+'2.5. sz. Gyermekjóléti'!Q34+'2.6 sz. Területi'!E34+'2.6 sz. Területi'!G34+'2.6 sz. Területi'!I34+'2.6 sz. Területi'!O34+'2.6 sz. Területi'!Q34+'2.6 sz. Területi'!Y34+'2.6 sz. Területi'!AA34+'2.6 sz. Területi'!AC34+'2.6 sz. Területi'!AE34+'2.6 sz. Területi'!AG34+'2.6 sz. Területi'!AI34+'2.6 sz. Területi'!AK34+'2.6 sz. Területi'!AM34+'2.6 sz. Területi'!AQ34+'2.7. sz. Könyvtár'!E34+'2.7. sz. Könyvtár'!G34+'2.7. sz. Könyvtár'!I34+'2.7. sz. Könyvtár'!K34+'2.7. sz. Könyvtár'!M34+'2.7. sz. Könyvtár'!O34+'2.7. sz. Könyvtár'!Q34+'2.7. sz. Könyvtár'!U34+'2.8. sz. Műv.Ház'!E34+'2.8. sz. Műv.Ház'!G34+'2.8. sz. Műv.Ház'!I34+'2.8. sz. Műv.Ház'!M34+'2.8. sz. Műv.Ház'!O34+'2.8. sz. Műv.Ház'!Q34+'2.9. sz. Szivárvány Ó.'!E34+'2.9. sz. Szivárvány Ó.'!G34+'2.9. sz. Szivárvány Ó.'!I34+'2.9. sz. Szivárvány Ó.'!K34+'2.9. sz. Szivárvány Ó.'!M34+'2.9. sz. Szivárvány Ó.'!O34+'2.7. sz. Könyvtár'!S34+'2.6 sz. Területi'!AO34</f>
        <v>468210627</v>
      </c>
      <c r="F33" s="7">
        <f>+'2.6 sz. Területi'!J34+'2.6 sz. Területi'!L34+'2.6 sz. Területi'!R34+'2.6 sz. Területi'!T34+'2.6 sz. Területi'!V34+'2.8. sz. Műv.Ház'!J34</f>
        <v>3500000</v>
      </c>
      <c r="G33" s="7">
        <f>+'2.6 sz. Területi'!K34+'2.6 sz. Területi'!M34+'2.6 sz. Területi'!S34+'2.6 sz. Területi'!U34+'2.6 sz. Területi'!W34+'2.8. sz. Műv.Ház'!K34</f>
        <v>4761186</v>
      </c>
      <c r="H33" s="7">
        <f>+'2.1. sz. PMH'!H34+'2.1. sz. PMH'!J34+'2.1. sz. PMH'!N34+'2.1. sz. PMH'!P34+'2.1. sz. PMH'!R34</f>
        <v>0</v>
      </c>
      <c r="I33" s="7">
        <f>+'2.1. sz. PMH'!I34+'2.1. sz. PMH'!K34+'2.1. sz. PMH'!O34+'2.1. sz. PMH'!Q34+'2.1. sz. PMH'!S34</f>
        <v>2</v>
      </c>
      <c r="J33" s="7">
        <f t="shared" si="1"/>
        <v>284694464</v>
      </c>
      <c r="K33" s="7">
        <f t="shared" si="2"/>
        <v>472971815</v>
      </c>
      <c r="L33" s="94">
        <f t="shared" si="4"/>
        <v>188277351</v>
      </c>
    </row>
    <row r="34" spans="1:13" ht="23.25" customHeight="1" x14ac:dyDescent="0.25">
      <c r="A34" s="29" t="s">
        <v>266</v>
      </c>
      <c r="B34" s="31" t="s">
        <v>242</v>
      </c>
      <c r="C34" s="35" t="s">
        <v>213</v>
      </c>
      <c r="D34" s="7">
        <f>+'2.1. sz. PMH'!D35+'2.1. sz. PMH'!F35+'2.1. sz. PMH'!L35+'2.1. sz. PMH'!T35+'2.2. sz. Hétszínvirág Óvoda'!D35+'2.2. sz. Hétszínvirág Óvoda'!F35+'2.2. sz. Hétszínvirág Óvoda'!H35+'2.2. sz. Hétszínvirág Óvoda'!J35+'2.2. sz. Hétszínvirág Óvoda'!L35+'2.2. sz. Hétszínvirág Óvoda'!N35+'2.2. sz. Hétszínvirág Óvoda'!R35+'2.3. sz. Mese Óvoda'!D35+'2.3. sz. Mese Óvoda'!F35+'2.3. sz. Mese Óvoda'!H35+'2.3. sz. Mese Óvoda'!J35+'2.3. sz. Mese Óvoda'!L35+'2.3. sz. Mese Óvoda'!N35+'2.4. sz. Bölcsőde'!D35+'2.4. sz. Bölcsőde'!F35+'2.4. sz. Bölcsőde'!H35+'2.4. sz. Bölcsőde'!J35+'2.4. sz. Bölcsőde'!L35+'2.5. sz. Gyermekjóléti'!D35+'2.5. sz. Gyermekjóléti'!F35+'2.5. sz. Gyermekjóléti'!H35+'2.5. sz. Gyermekjóléti'!J35+'2.5. sz. Gyermekjóléti'!L35+'2.5. sz. Gyermekjóléti'!N35+'2.5. sz. Gyermekjóléti'!P35+'2.6 sz. Területi'!D35+'2.6 sz. Területi'!F35+'2.6 sz. Területi'!H35+'2.6 sz. Területi'!N35+'2.6 sz. Területi'!P35+'2.6 sz. Területi'!X35+'2.6 sz. Területi'!Z35+'2.6 sz. Területi'!AB35+'2.6 sz. Területi'!AD35+'2.6 sz. Területi'!AF35+'2.6 sz. Területi'!AH35+'2.6 sz. Területi'!AJ35+'2.6 sz. Területi'!AL35+'2.6 sz. Területi'!AP35+'2.7. sz. Könyvtár'!D35+'2.7. sz. Könyvtár'!F35+'2.7. sz. Könyvtár'!H35+'2.7. sz. Könyvtár'!J35+'2.7. sz. Könyvtár'!L35+'2.7. sz. Könyvtár'!N35+'2.7. sz. Könyvtár'!P35+'2.7. sz. Könyvtár'!T35+'2.8. sz. Műv.Ház'!D35+'2.8. sz. Műv.Ház'!F35+'2.8. sz. Műv.Ház'!H35+'2.8. sz. Műv.Ház'!L35+'2.8. sz. Műv.Ház'!N35+'2.8. sz. Műv.Ház'!P35+'2.9. sz. Szivárvány Ó.'!D35+'2.9. sz. Szivárvány Ó.'!F35+'2.9. sz. Szivárvány Ó.'!H35+'2.9. sz. Szivárvány Ó.'!J35+'2.9. sz. Szivárvány Ó.'!L35+'2.9. sz. Szivárvány Ó.'!N35</f>
        <v>0</v>
      </c>
      <c r="E34" s="7">
        <f>+'2.1. sz. PMH'!E35+'2.1. sz. PMH'!G35+'2.1. sz. PMH'!M35+'2.1. sz. PMH'!U35+'2.2. sz. Hétszínvirág Óvoda'!E35+'2.2. sz. Hétszínvirág Óvoda'!G35+'2.2. sz. Hétszínvirág Óvoda'!I35+'2.2. sz. Hétszínvirág Óvoda'!K35+'2.2. sz. Hétszínvirág Óvoda'!M35+'2.2. sz. Hétszínvirág Óvoda'!O35+'2.2. sz. Hétszínvirág Óvoda'!S35+'2.2. sz. Hétszínvirág Óvoda'!Q35+'2.3. sz. Mese Óvoda'!E35+'2.3. sz. Mese Óvoda'!G35+'2.3. sz. Mese Óvoda'!I35+'2.3. sz. Mese Óvoda'!K35+'2.3. sz. Mese Óvoda'!M35+'2.3. sz. Mese Óvoda'!O35+'2.4. sz. Bölcsőde'!E35+'2.4. sz. Bölcsőde'!G35+'2.4. sz. Bölcsőde'!I35+'2.4. sz. Bölcsőde'!K35+'2.4. sz. Bölcsőde'!M35+'2.5. sz. Gyermekjóléti'!E35+'2.5. sz. Gyermekjóléti'!G35+'2.5. sz. Gyermekjóléti'!I35+'2.5. sz. Gyermekjóléti'!K35+'2.5. sz. Gyermekjóléti'!M35+'2.5. sz. Gyermekjóléti'!O35+'2.5. sz. Gyermekjóléti'!Q35+'2.6 sz. Területi'!E35+'2.6 sz. Területi'!G35+'2.6 sz. Területi'!I35+'2.6 sz. Területi'!O35+'2.6 sz. Területi'!Q35+'2.6 sz. Területi'!Y35+'2.6 sz. Területi'!AA35+'2.6 sz. Területi'!AC35+'2.6 sz. Területi'!AE35+'2.6 sz. Területi'!AG35+'2.6 sz. Területi'!AI35+'2.6 sz. Területi'!AK35+'2.6 sz. Területi'!AM35+'2.6 sz. Területi'!AQ35+'2.7. sz. Könyvtár'!E35+'2.7. sz. Könyvtár'!G35+'2.7. sz. Könyvtár'!I35+'2.7. sz. Könyvtár'!K35+'2.7. sz. Könyvtár'!M35+'2.7. sz. Könyvtár'!O35+'2.7. sz. Könyvtár'!Q35+'2.7. sz. Könyvtár'!U35+'2.8. sz. Műv.Ház'!E35+'2.8. sz. Műv.Ház'!G35+'2.8. sz. Műv.Ház'!I35+'2.8. sz. Műv.Ház'!M35+'2.8. sz. Műv.Ház'!O35+'2.8. sz. Műv.Ház'!Q35+'2.9. sz. Szivárvány Ó.'!E35+'2.9. sz. Szivárvány Ó.'!G35+'2.9. sz. Szivárvány Ó.'!I35+'2.9. sz. Szivárvány Ó.'!K35+'2.9. sz. Szivárvány Ó.'!M35+'2.9. sz. Szivárvány Ó.'!O35+'2.7. sz. Könyvtár'!S35+'2.6 sz. Területi'!AO35</f>
        <v>10000</v>
      </c>
      <c r="F34" s="7">
        <f>+'2.6 sz. Területi'!J35+'2.6 sz. Területi'!L35+'2.6 sz. Területi'!R35+'2.6 sz. Területi'!T35+'2.6 sz. Területi'!V35+'2.8. sz. Műv.Ház'!J35</f>
        <v>0</v>
      </c>
      <c r="G34" s="7">
        <f>+'2.6 sz. Területi'!K35+'2.6 sz. Területi'!M35+'2.6 sz. Területi'!S35+'2.6 sz. Területi'!U35+'2.6 sz. Területi'!W35+'2.8. sz. Műv.Ház'!K35</f>
        <v>0</v>
      </c>
      <c r="H34" s="7">
        <f>+'2.1. sz. PMH'!H35+'2.1. sz. PMH'!J35+'2.1. sz. PMH'!N35+'2.1. sz. PMH'!P35+'2.1. sz. PMH'!R35</f>
        <v>0</v>
      </c>
      <c r="I34" s="7">
        <f>+'2.1. sz. PMH'!I35+'2.1. sz. PMH'!K35+'2.1. sz. PMH'!O35+'2.1. sz. PMH'!Q35+'2.1. sz. PMH'!S35</f>
        <v>0</v>
      </c>
      <c r="J34" s="7">
        <f t="shared" si="1"/>
        <v>0</v>
      </c>
      <c r="K34" s="7">
        <f t="shared" si="2"/>
        <v>10000</v>
      </c>
      <c r="L34" s="94">
        <f t="shared" si="4"/>
        <v>10000</v>
      </c>
    </row>
    <row r="35" spans="1:13" ht="23.25" customHeight="1" x14ac:dyDescent="0.25">
      <c r="A35" s="29" t="s">
        <v>267</v>
      </c>
      <c r="B35" s="31" t="s">
        <v>237</v>
      </c>
      <c r="C35" s="35" t="s">
        <v>214</v>
      </c>
      <c r="D35" s="7">
        <f>+'2.1. sz. PMH'!D36+'2.1. sz. PMH'!F36+'2.1. sz. PMH'!L36+'2.1. sz. PMH'!T36+'2.2. sz. Hétszínvirág Óvoda'!D36+'2.2. sz. Hétszínvirág Óvoda'!F36+'2.2. sz. Hétszínvirág Óvoda'!H36+'2.2. sz. Hétszínvirág Óvoda'!J36+'2.2. sz. Hétszínvirág Óvoda'!L36+'2.2. sz. Hétszínvirág Óvoda'!N36+'2.2. sz. Hétszínvirág Óvoda'!R36+'2.3. sz. Mese Óvoda'!D36+'2.3. sz. Mese Óvoda'!F36+'2.3. sz. Mese Óvoda'!H36+'2.3. sz. Mese Óvoda'!J36+'2.3. sz. Mese Óvoda'!L36+'2.3. sz. Mese Óvoda'!N36+'2.4. sz. Bölcsőde'!D36+'2.4. sz. Bölcsőde'!F36+'2.4. sz. Bölcsőde'!H36+'2.4. sz. Bölcsőde'!J36+'2.4. sz. Bölcsőde'!L36+'2.5. sz. Gyermekjóléti'!D36+'2.5. sz. Gyermekjóléti'!F36+'2.5. sz. Gyermekjóléti'!H36+'2.5. sz. Gyermekjóléti'!J36+'2.5. sz. Gyermekjóléti'!L36+'2.5. sz. Gyermekjóléti'!N36+'2.5. sz. Gyermekjóléti'!P36+'2.6 sz. Területi'!D36+'2.6 sz. Területi'!F36+'2.6 sz. Területi'!H36+'2.6 sz. Területi'!N36+'2.6 sz. Területi'!P36+'2.6 sz. Területi'!X36+'2.6 sz. Területi'!Z36+'2.6 sz. Területi'!AB36+'2.6 sz. Területi'!AD36+'2.6 sz. Területi'!AF36+'2.6 sz. Területi'!AH36+'2.6 sz. Területi'!AJ36+'2.6 sz. Területi'!AL36+'2.6 sz. Területi'!AP36+'2.7. sz. Könyvtár'!D36+'2.7. sz. Könyvtár'!F36+'2.7. sz. Könyvtár'!H36+'2.7. sz. Könyvtár'!J36+'2.7. sz. Könyvtár'!L36+'2.7. sz. Könyvtár'!N36+'2.7. sz. Könyvtár'!P36+'2.7. sz. Könyvtár'!T36+'2.8. sz. Műv.Ház'!D36+'2.8. sz. Műv.Ház'!F36+'2.8. sz. Műv.Ház'!H36+'2.8. sz. Műv.Ház'!L36+'2.8. sz. Műv.Ház'!N36+'2.8. sz. Műv.Ház'!P36+'2.9. sz. Szivárvány Ó.'!D36+'2.9. sz. Szivárvány Ó.'!F36+'2.9. sz. Szivárvány Ó.'!H36+'2.9. sz. Szivárvány Ó.'!J36+'2.9. sz. Szivárvány Ó.'!L36+'2.9. sz. Szivárvány Ó.'!N36</f>
        <v>0</v>
      </c>
      <c r="E35" s="7">
        <f>+'2.1. sz. PMH'!E36+'2.1. sz. PMH'!G36+'2.1. sz. PMH'!M36+'2.1. sz. PMH'!U36+'2.2. sz. Hétszínvirág Óvoda'!E36+'2.2. sz. Hétszínvirág Óvoda'!G36+'2.2. sz. Hétszínvirág Óvoda'!I36+'2.2. sz. Hétszínvirág Óvoda'!K36+'2.2. sz. Hétszínvirág Óvoda'!M36+'2.2. sz. Hétszínvirág Óvoda'!O36+'2.2. sz. Hétszínvirág Óvoda'!S36+'2.2. sz. Hétszínvirág Óvoda'!Q36+'2.3. sz. Mese Óvoda'!E36+'2.3. sz. Mese Óvoda'!G36+'2.3. sz. Mese Óvoda'!I36+'2.3. sz. Mese Óvoda'!K36+'2.3. sz. Mese Óvoda'!M36+'2.3. sz. Mese Óvoda'!O36+'2.4. sz. Bölcsőde'!E36+'2.4. sz. Bölcsőde'!G36+'2.4. sz. Bölcsőde'!I36+'2.4. sz. Bölcsőde'!K36+'2.4. sz. Bölcsőde'!M36+'2.5. sz. Gyermekjóléti'!E36+'2.5. sz. Gyermekjóléti'!G36+'2.5. sz. Gyermekjóléti'!I36+'2.5. sz. Gyermekjóléti'!K36+'2.5. sz. Gyermekjóléti'!M36+'2.5. sz. Gyermekjóléti'!O36+'2.5. sz. Gyermekjóléti'!Q36+'2.6 sz. Területi'!E36+'2.6 sz. Területi'!G36+'2.6 sz. Területi'!I36+'2.6 sz. Területi'!O36+'2.6 sz. Területi'!Q36+'2.6 sz. Területi'!Y36+'2.6 sz. Területi'!AA36+'2.6 sz. Területi'!AC36+'2.6 sz. Területi'!AE36+'2.6 sz. Területi'!AG36+'2.6 sz. Területi'!AI36+'2.6 sz. Területi'!AK36+'2.6 sz. Területi'!AM36+'2.6 sz. Területi'!AQ36+'2.7. sz. Könyvtár'!E36+'2.7. sz. Könyvtár'!G36+'2.7. sz. Könyvtár'!I36+'2.7. sz. Könyvtár'!K36+'2.7. sz. Könyvtár'!M36+'2.7. sz. Könyvtár'!O36+'2.7. sz. Könyvtár'!Q36+'2.7. sz. Könyvtár'!U36+'2.8. sz. Műv.Ház'!E36+'2.8. sz. Műv.Ház'!G36+'2.8. sz. Műv.Ház'!I36+'2.8. sz. Műv.Ház'!M36+'2.8. sz. Műv.Ház'!O36+'2.8. sz. Műv.Ház'!Q36+'2.9. sz. Szivárvány Ó.'!E36+'2.9. sz. Szivárvány Ó.'!G36+'2.9. sz. Szivárvány Ó.'!I36+'2.9. sz. Szivárvány Ó.'!K36+'2.9. sz. Szivárvány Ó.'!M36+'2.9. sz. Szivárvány Ó.'!O36+'2.7. sz. Könyvtár'!S36+'2.6 sz. Területi'!AO36</f>
        <v>2092993</v>
      </c>
      <c r="F35" s="7">
        <f>+'2.6 sz. Területi'!J36+'2.6 sz. Területi'!L36+'2.6 sz. Területi'!R36+'2.6 sz. Területi'!T36+'2.6 sz. Területi'!V36+'2.8. sz. Műv.Ház'!J36</f>
        <v>0</v>
      </c>
      <c r="G35" s="7">
        <f>+'2.6 sz. Területi'!K36+'2.6 sz. Területi'!M36+'2.6 sz. Területi'!S36+'2.6 sz. Területi'!U36+'2.6 sz. Területi'!W36+'2.8. sz. Műv.Ház'!K36</f>
        <v>0</v>
      </c>
      <c r="H35" s="7">
        <f>+'2.1. sz. PMH'!H36+'2.1. sz. PMH'!J36+'2.1. sz. PMH'!N36+'2.1. sz. PMH'!P36+'2.1. sz. PMH'!R36</f>
        <v>0</v>
      </c>
      <c r="I35" s="7">
        <f>+'2.1. sz. PMH'!I36+'2.1. sz. PMH'!K36+'2.1. sz. PMH'!O36+'2.1. sz. PMH'!Q36+'2.1. sz. PMH'!S36</f>
        <v>0</v>
      </c>
      <c r="J35" s="7">
        <f t="shared" si="1"/>
        <v>0</v>
      </c>
      <c r="K35" s="7">
        <f t="shared" si="2"/>
        <v>2092993</v>
      </c>
      <c r="L35" s="94">
        <f t="shared" si="4"/>
        <v>2092993</v>
      </c>
    </row>
    <row r="36" spans="1:13" ht="23.25" customHeight="1" x14ac:dyDescent="0.25">
      <c r="A36" s="29" t="s">
        <v>268</v>
      </c>
      <c r="B36" s="31" t="s">
        <v>238</v>
      </c>
      <c r="C36" s="35" t="s">
        <v>215</v>
      </c>
      <c r="D36" s="7">
        <f>+'2.1. sz. PMH'!D37+'2.1. sz. PMH'!F37+'2.1. sz. PMH'!L37+'2.1. sz. PMH'!T37+'2.2. sz. Hétszínvirág Óvoda'!D37+'2.2. sz. Hétszínvirág Óvoda'!F37+'2.2. sz. Hétszínvirág Óvoda'!H37+'2.2. sz. Hétszínvirág Óvoda'!J37+'2.2. sz. Hétszínvirág Óvoda'!L37+'2.2. sz. Hétszínvirág Óvoda'!N37+'2.2. sz. Hétszínvirág Óvoda'!R37+'2.3. sz. Mese Óvoda'!D37+'2.3. sz. Mese Óvoda'!F37+'2.3. sz. Mese Óvoda'!H37+'2.3. sz. Mese Óvoda'!J37+'2.3. sz. Mese Óvoda'!L37+'2.3. sz. Mese Óvoda'!N37+'2.4. sz. Bölcsőde'!D37+'2.4. sz. Bölcsőde'!F37+'2.4. sz. Bölcsőde'!H37+'2.4. sz. Bölcsőde'!J37+'2.4. sz. Bölcsőde'!L37+'2.5. sz. Gyermekjóléti'!D37+'2.5. sz. Gyermekjóléti'!F37+'2.5. sz. Gyermekjóléti'!H37+'2.5. sz. Gyermekjóléti'!J37+'2.5. sz. Gyermekjóléti'!L37+'2.5. sz. Gyermekjóléti'!N37+'2.5. sz. Gyermekjóléti'!P37+'2.6 sz. Területi'!D37+'2.6 sz. Területi'!F37+'2.6 sz. Területi'!H37+'2.6 sz. Területi'!N37+'2.6 sz. Területi'!P37+'2.6 sz. Területi'!X37+'2.6 sz. Területi'!Z37+'2.6 sz. Területi'!AB37+'2.6 sz. Területi'!AD37+'2.6 sz. Területi'!AF37+'2.6 sz. Területi'!AH37+'2.6 sz. Területi'!AJ37+'2.6 sz. Területi'!AL37+'2.6 sz. Területi'!AP37+'2.7. sz. Könyvtár'!D37+'2.7. sz. Könyvtár'!F37+'2.7. sz. Könyvtár'!H37+'2.7. sz. Könyvtár'!J37+'2.7. sz. Könyvtár'!L37+'2.7. sz. Könyvtár'!N37+'2.7. sz. Könyvtár'!P37+'2.7. sz. Könyvtár'!T37+'2.8. sz. Műv.Ház'!D37+'2.8. sz. Műv.Ház'!F37+'2.8. sz. Műv.Ház'!H37+'2.8. sz. Műv.Ház'!L37+'2.8. sz. Műv.Ház'!N37+'2.8. sz. Műv.Ház'!P37+'2.9. sz. Szivárvány Ó.'!D37+'2.9. sz. Szivárvány Ó.'!F37+'2.9. sz. Szivárvány Ó.'!H37+'2.9. sz. Szivárvány Ó.'!J37+'2.9. sz. Szivárvány Ó.'!L37+'2.9. sz. Szivárvány Ó.'!N37</f>
        <v>6521400</v>
      </c>
      <c r="E36" s="7">
        <f>+'2.1. sz. PMH'!E37+'2.1. sz. PMH'!G37+'2.1. sz. PMH'!M37+'2.1. sz. PMH'!U37+'2.2. sz. Hétszínvirág Óvoda'!E37+'2.2. sz. Hétszínvirág Óvoda'!G37+'2.2. sz. Hétszínvirág Óvoda'!I37+'2.2. sz. Hétszínvirág Óvoda'!K37+'2.2. sz. Hétszínvirág Óvoda'!M37+'2.2. sz. Hétszínvirág Óvoda'!O37+'2.2. sz. Hétszínvirág Óvoda'!S37+'2.2. sz. Hétszínvirág Óvoda'!Q37+'2.3. sz. Mese Óvoda'!E37+'2.3. sz. Mese Óvoda'!G37+'2.3. sz. Mese Óvoda'!I37+'2.3. sz. Mese Óvoda'!K37+'2.3. sz. Mese Óvoda'!M37+'2.3. sz. Mese Óvoda'!O37+'2.4. sz. Bölcsőde'!E37+'2.4. sz. Bölcsőde'!G37+'2.4. sz. Bölcsőde'!I37+'2.4. sz. Bölcsőde'!K37+'2.4. sz. Bölcsőde'!M37+'2.5. sz. Gyermekjóléti'!E37+'2.5. sz. Gyermekjóléti'!G37+'2.5. sz. Gyermekjóléti'!I37+'2.5. sz. Gyermekjóléti'!K37+'2.5. sz. Gyermekjóléti'!M37+'2.5. sz. Gyermekjóléti'!O37+'2.5. sz. Gyermekjóléti'!Q37+'2.6 sz. Területi'!E37+'2.6 sz. Területi'!G37+'2.6 sz. Területi'!I37+'2.6 sz. Területi'!O37+'2.6 sz. Területi'!Q37+'2.6 sz. Területi'!Y37+'2.6 sz. Területi'!AA37+'2.6 sz. Területi'!AC37+'2.6 sz. Területi'!AE37+'2.6 sz. Területi'!AG37+'2.6 sz. Területi'!AI37+'2.6 sz. Területi'!AK37+'2.6 sz. Területi'!AM37+'2.6 sz. Területi'!AQ37+'2.7. sz. Könyvtár'!E37+'2.7. sz. Könyvtár'!G37+'2.7. sz. Könyvtár'!I37+'2.7. sz. Könyvtár'!K37+'2.7. sz. Könyvtár'!M37+'2.7. sz. Könyvtár'!O37+'2.7. sz. Könyvtár'!Q37+'2.7. sz. Könyvtár'!U37+'2.8. sz. Műv.Ház'!E37+'2.8. sz. Műv.Ház'!G37+'2.8. sz. Műv.Ház'!I37+'2.8. sz. Műv.Ház'!M37+'2.8. sz. Műv.Ház'!O37+'2.8. sz. Műv.Ház'!Q37+'2.9. sz. Szivárvány Ó.'!E37+'2.9. sz. Szivárvány Ó.'!G37+'2.9. sz. Szivárvány Ó.'!I37+'2.9. sz. Szivárvány Ó.'!K37+'2.9. sz. Szivárvány Ó.'!M37+'2.9. sz. Szivárvány Ó.'!O37+'2.7. sz. Könyvtár'!S37+'2.6 sz. Területi'!AO37</f>
        <v>8521400</v>
      </c>
      <c r="F36" s="7">
        <f>+'2.6 sz. Területi'!J37+'2.6 sz. Területi'!L37+'2.6 sz. Területi'!R37+'2.6 sz. Területi'!T37+'2.6 sz. Területi'!V37+'2.8. sz. Műv.Ház'!J37</f>
        <v>0</v>
      </c>
      <c r="G36" s="7">
        <f>+'2.6 sz. Területi'!K37+'2.6 sz. Területi'!M37+'2.6 sz. Területi'!S37+'2.6 sz. Területi'!U37+'2.6 sz. Területi'!W37+'2.8. sz. Műv.Ház'!K37</f>
        <v>0</v>
      </c>
      <c r="H36" s="7">
        <f>+'2.1. sz. PMH'!H37+'2.1. sz. PMH'!J37+'2.1. sz. PMH'!N37+'2.1. sz. PMH'!P37+'2.1. sz. PMH'!R37</f>
        <v>0</v>
      </c>
      <c r="I36" s="7">
        <f>+'2.1. sz. PMH'!I37+'2.1. sz. PMH'!K37+'2.1. sz. PMH'!O37+'2.1. sz. PMH'!Q37+'2.1. sz. PMH'!S37</f>
        <v>0</v>
      </c>
      <c r="J36" s="7">
        <f t="shared" si="1"/>
        <v>6521400</v>
      </c>
      <c r="K36" s="7">
        <f t="shared" si="2"/>
        <v>8521400</v>
      </c>
      <c r="L36" s="94">
        <f t="shared" si="4"/>
        <v>2000000</v>
      </c>
    </row>
    <row r="37" spans="1:13" ht="23.25" customHeight="1" x14ac:dyDescent="0.25">
      <c r="A37" s="29" t="s">
        <v>269</v>
      </c>
      <c r="B37" s="32" t="s">
        <v>239</v>
      </c>
      <c r="C37" s="35" t="s">
        <v>216</v>
      </c>
      <c r="D37" s="8">
        <f>+'2.1. sz. PMH'!D38+'2.1. sz. PMH'!F38+'2.1. sz. PMH'!L38+'2.1. sz. PMH'!T38+'2.2. sz. Hétszínvirág Óvoda'!D38+'2.2. sz. Hétszínvirág Óvoda'!F38+'2.2. sz. Hétszínvirág Óvoda'!H38+'2.2. sz. Hétszínvirág Óvoda'!J38+'2.2. sz. Hétszínvirág Óvoda'!L38+'2.2. sz. Hétszínvirág Óvoda'!N38+'2.2. sz. Hétszínvirág Óvoda'!R38+'2.3. sz. Mese Óvoda'!D38+'2.3. sz. Mese Óvoda'!F38+'2.3. sz. Mese Óvoda'!H38+'2.3. sz. Mese Óvoda'!J38+'2.3. sz. Mese Óvoda'!L38+'2.3. sz. Mese Óvoda'!N38+'2.4. sz. Bölcsőde'!D38+'2.4. sz. Bölcsőde'!F38+'2.4. sz. Bölcsőde'!H38+'2.4. sz. Bölcsőde'!J38+'2.4. sz. Bölcsőde'!L38+'2.5. sz. Gyermekjóléti'!D38+'2.5. sz. Gyermekjóléti'!F38+'2.5. sz. Gyermekjóléti'!H38+'2.5. sz. Gyermekjóléti'!J38+'2.5. sz. Gyermekjóléti'!L38+'2.5. sz. Gyermekjóléti'!N38+'2.5. sz. Gyermekjóléti'!P38+'2.6 sz. Területi'!D38+'2.6 sz. Területi'!F38+'2.6 sz. Területi'!H38+'2.6 sz. Területi'!N38+'2.6 sz. Területi'!P38+'2.6 sz. Területi'!X38+'2.6 sz. Területi'!Z38+'2.6 sz. Területi'!AB38+'2.6 sz. Területi'!AD38+'2.6 sz. Területi'!AF38+'2.6 sz. Területi'!AH38+'2.6 sz. Területi'!AJ38+'2.6 sz. Területi'!AL38+'2.6 sz. Területi'!AP38+'2.7. sz. Könyvtár'!D38+'2.7. sz. Könyvtár'!F38+'2.7. sz. Könyvtár'!H38+'2.7. sz. Könyvtár'!J38+'2.7. sz. Könyvtár'!L38+'2.7. sz. Könyvtár'!N38+'2.7. sz. Könyvtár'!P38+'2.7. sz. Könyvtár'!T38+'2.8. sz. Műv.Ház'!D38+'2.8. sz. Műv.Ház'!F38+'2.8. sz. Műv.Ház'!H38+'2.8. sz. Műv.Ház'!L38+'2.8. sz. Műv.Ház'!N38+'2.8. sz. Műv.Ház'!P38+'2.9. sz. Szivárvány Ó.'!D38+'2.9. sz. Szivárvány Ó.'!F38+'2.9. sz. Szivárvány Ó.'!H38+'2.9. sz. Szivárvány Ó.'!J38+'2.9. sz. Szivárvány Ó.'!L38+'2.9. sz. Szivárvány Ó.'!N38</f>
        <v>379745864</v>
      </c>
      <c r="E37" s="8">
        <f>+'2.1. sz. PMH'!E38+'2.1. sz. PMH'!G38+'2.1. sz. PMH'!M38+'2.1. sz. PMH'!U38+'2.2. sz. Hétszínvirág Óvoda'!E38+'2.2. sz. Hétszínvirág Óvoda'!G38+'2.2. sz. Hétszínvirág Óvoda'!I38+'2.2. sz. Hétszínvirág Óvoda'!K38+'2.2. sz. Hétszínvirág Óvoda'!M38+'2.2. sz. Hétszínvirág Óvoda'!O38+'2.2. sz. Hétszínvirág Óvoda'!S38+'2.2. sz. Hétszínvirág Óvoda'!Q38+'2.3. sz. Mese Óvoda'!E38+'2.3. sz. Mese Óvoda'!G38+'2.3. sz. Mese Óvoda'!I38+'2.3. sz. Mese Óvoda'!K38+'2.3. sz. Mese Óvoda'!M38+'2.3. sz. Mese Óvoda'!O38+'2.4. sz. Bölcsőde'!E38+'2.4. sz. Bölcsőde'!G38+'2.4. sz. Bölcsőde'!I38+'2.4. sz. Bölcsőde'!K38+'2.4. sz. Bölcsőde'!M38+'2.5. sz. Gyermekjóléti'!E38+'2.5. sz. Gyermekjóléti'!G38+'2.5. sz. Gyermekjóléti'!I38+'2.5. sz. Gyermekjóléti'!K38+'2.5. sz. Gyermekjóléti'!M38+'2.5. sz. Gyermekjóléti'!O38+'2.5. sz. Gyermekjóléti'!Q38+'2.6 sz. Területi'!E38+'2.6 sz. Területi'!G38+'2.6 sz. Területi'!I38+'2.6 sz. Területi'!O38+'2.6 sz. Területi'!Q38+'2.6 sz. Területi'!Y38+'2.6 sz. Területi'!AA38+'2.6 sz. Területi'!AC38+'2.6 sz. Területi'!AE38+'2.6 sz. Területi'!AG38+'2.6 sz. Területi'!AI38+'2.6 sz. Területi'!AK38+'2.6 sz. Területi'!AM38+'2.6 sz. Területi'!AQ38+'2.7. sz. Könyvtár'!E38+'2.7. sz. Könyvtár'!G38+'2.7. sz. Könyvtár'!I38+'2.7. sz. Könyvtár'!K38+'2.7. sz. Könyvtár'!M38+'2.7. sz. Könyvtár'!O38+'2.7. sz. Könyvtár'!Q38+'2.7. sz. Könyvtár'!U38+'2.8. sz. Műv.Ház'!E38+'2.8. sz. Műv.Ház'!G38+'2.8. sz. Műv.Ház'!I38+'2.8. sz. Műv.Ház'!M38+'2.8. sz. Műv.Ház'!O38+'2.8. sz. Műv.Ház'!Q38+'2.9. sz. Szivárvány Ó.'!E38+'2.9. sz. Szivárvány Ó.'!G38+'2.9. sz. Szivárvány Ó.'!I38+'2.9. sz. Szivárvány Ó.'!K38+'2.9. sz. Szivárvány Ó.'!M38+'2.9. sz. Szivárvány Ó.'!O38+'2.7. sz. Könyvtár'!S38+'2.6 sz. Területi'!AO38</f>
        <v>585993657</v>
      </c>
      <c r="F37" s="8">
        <f>+'2.6 sz. Területi'!J38+'2.6 sz. Területi'!L38+'2.6 sz. Területi'!R38+'2.6 sz. Területi'!T38+'2.6 sz. Területi'!V38+'2.8. sz. Műv.Ház'!J38</f>
        <v>3500000</v>
      </c>
      <c r="G37" s="8">
        <f>+'2.6 sz. Területi'!K38+'2.6 sz. Területi'!M38+'2.6 sz. Területi'!S38+'2.6 sz. Területi'!U38+'2.6 sz. Területi'!W38+'2.8. sz. Műv.Ház'!K38</f>
        <v>4761186</v>
      </c>
      <c r="H37" s="8">
        <f>+'2.1. sz. PMH'!H38+'2.1. sz. PMH'!J38+'2.1. sz. PMH'!N38+'2.1. sz. PMH'!P38+'2.1. sz. PMH'!R38</f>
        <v>4100000</v>
      </c>
      <c r="I37" s="8">
        <f>+'2.1. sz. PMH'!I38+'2.1. sz. PMH'!K38+'2.1. sz. PMH'!O38+'2.1. sz. PMH'!Q38+'2.1. sz. PMH'!S38</f>
        <v>5710002</v>
      </c>
      <c r="J37" s="8">
        <f t="shared" si="1"/>
        <v>387345864</v>
      </c>
      <c r="K37" s="8">
        <f t="shared" si="2"/>
        <v>596464845</v>
      </c>
      <c r="L37" s="94">
        <f t="shared" si="4"/>
        <v>209118981</v>
      </c>
    </row>
    <row r="38" spans="1:13" ht="23.25" customHeight="1" x14ac:dyDescent="0.25">
      <c r="A38" s="29" t="s">
        <v>270</v>
      </c>
      <c r="B38" s="35" t="s">
        <v>240</v>
      </c>
      <c r="C38" s="30" t="s">
        <v>218</v>
      </c>
      <c r="D38" s="8">
        <f>+'2.1. sz. PMH'!D39+'2.1. sz. PMH'!F39+'2.1. sz. PMH'!L39+'2.1. sz. PMH'!T39+'2.2. sz. Hétszínvirág Óvoda'!D39+'2.2. sz. Hétszínvirág Óvoda'!F39+'2.2. sz. Hétszínvirág Óvoda'!H39+'2.2. sz. Hétszínvirág Óvoda'!J39+'2.2. sz. Hétszínvirág Óvoda'!L39+'2.2. sz. Hétszínvirág Óvoda'!N39+'2.2. sz. Hétszínvirág Óvoda'!R39+'2.3. sz. Mese Óvoda'!D39+'2.3. sz. Mese Óvoda'!F39+'2.3. sz. Mese Óvoda'!H39+'2.3. sz. Mese Óvoda'!J39+'2.3. sz. Mese Óvoda'!L39+'2.3. sz. Mese Óvoda'!N39+'2.4. sz. Bölcsőde'!D39+'2.4. sz. Bölcsőde'!F39+'2.4. sz. Bölcsőde'!H39+'2.4. sz. Bölcsőde'!J39+'2.4. sz. Bölcsőde'!L39+'2.5. sz. Gyermekjóléti'!D39+'2.5. sz. Gyermekjóléti'!F39+'2.5. sz. Gyermekjóléti'!H39+'2.5. sz. Gyermekjóléti'!J39+'2.5. sz. Gyermekjóléti'!L39+'2.5. sz. Gyermekjóléti'!N39+'2.5. sz. Gyermekjóléti'!P39+'2.6 sz. Területi'!D39+'2.6 sz. Területi'!F39+'2.6 sz. Területi'!H39+'2.6 sz. Területi'!N39+'2.6 sz. Területi'!P39+'2.6 sz. Területi'!X39+'2.6 sz. Területi'!Z39+'2.6 sz. Területi'!AB39+'2.6 sz. Területi'!AD39+'2.6 sz. Területi'!AF39+'2.6 sz. Területi'!AH39+'2.6 sz. Területi'!AJ39+'2.6 sz. Területi'!AL39+'2.6 sz. Területi'!AP39+'2.7. sz. Könyvtár'!D39+'2.7. sz. Könyvtár'!F39+'2.7. sz. Könyvtár'!H39+'2.7. sz. Könyvtár'!J39+'2.7. sz. Könyvtár'!L39+'2.7. sz. Könyvtár'!N39+'2.7. sz. Könyvtár'!P39+'2.7. sz. Könyvtár'!T39+'2.8. sz. Műv.Ház'!D39+'2.8. sz. Műv.Ház'!F39+'2.8. sz. Műv.Ház'!H39+'2.8. sz. Műv.Ház'!L39+'2.8. sz. Műv.Ház'!N39+'2.8. sz. Műv.Ház'!P39+'2.9. sz. Szivárvány Ó.'!D39+'2.9. sz. Szivárvány Ó.'!F39+'2.9. sz. Szivárvány Ó.'!H39+'2.9. sz. Szivárvány Ó.'!J39+'2.9. sz. Szivárvány Ó.'!L39+'2.9. sz. Szivárvány Ó.'!N39</f>
        <v>4428755655</v>
      </c>
      <c r="E38" s="8">
        <f>+'2.1. sz. PMH'!E39+'2.1. sz. PMH'!G39+'2.1. sz. PMH'!M39+'2.1. sz. PMH'!U39+'2.2. sz. Hétszínvirág Óvoda'!E39+'2.2. sz. Hétszínvirág Óvoda'!G39+'2.2. sz. Hétszínvirág Óvoda'!I39+'2.2. sz. Hétszínvirág Óvoda'!K39+'2.2. sz. Hétszínvirág Óvoda'!M39+'2.2. sz. Hétszínvirág Óvoda'!O39+'2.2. sz. Hétszínvirág Óvoda'!S39+'2.2. sz. Hétszínvirág Óvoda'!Q39+'2.3. sz. Mese Óvoda'!E39+'2.3. sz. Mese Óvoda'!G39+'2.3. sz. Mese Óvoda'!I39+'2.3. sz. Mese Óvoda'!K39+'2.3. sz. Mese Óvoda'!M39+'2.3. sz. Mese Óvoda'!O39+'2.4. sz. Bölcsőde'!E39+'2.4. sz. Bölcsőde'!G39+'2.4. sz. Bölcsőde'!I39+'2.4. sz. Bölcsőde'!K39+'2.4. sz. Bölcsőde'!M39+'2.5. sz. Gyermekjóléti'!E39+'2.5. sz. Gyermekjóléti'!G39+'2.5. sz. Gyermekjóléti'!I39+'2.5. sz. Gyermekjóléti'!K39+'2.5. sz. Gyermekjóléti'!M39+'2.5. sz. Gyermekjóléti'!O39+'2.5. sz. Gyermekjóléti'!Q39+'2.6 sz. Területi'!E39+'2.6 sz. Területi'!G39+'2.6 sz. Területi'!I39+'2.6 sz. Területi'!O39+'2.6 sz. Területi'!Q39+'2.6 sz. Területi'!Y39+'2.6 sz. Területi'!AA39+'2.6 sz. Területi'!AC39+'2.6 sz. Területi'!AE39+'2.6 sz. Területi'!AG39+'2.6 sz. Területi'!AI39+'2.6 sz. Területi'!AK39+'2.6 sz. Területi'!AM39+'2.6 sz. Területi'!AQ39+'2.7. sz. Könyvtár'!E39+'2.7. sz. Könyvtár'!G39+'2.7. sz. Könyvtár'!I39+'2.7. sz. Könyvtár'!K39+'2.7. sz. Könyvtár'!M39+'2.7. sz. Könyvtár'!O39+'2.7. sz. Könyvtár'!Q39+'2.7. sz. Könyvtár'!U39+'2.8. sz. Műv.Ház'!E39+'2.8. sz. Műv.Ház'!G39+'2.8. sz. Műv.Ház'!I39+'2.8. sz. Műv.Ház'!M39+'2.8. sz. Műv.Ház'!O39+'2.8. sz. Műv.Ház'!Q39+'2.9. sz. Szivárvány Ó.'!E39+'2.9. sz. Szivárvány Ó.'!G39+'2.9. sz. Szivárvány Ó.'!I39+'2.9. sz. Szivárvány Ó.'!K39+'2.9. sz. Szivárvány Ó.'!M39+'2.9. sz. Szivárvány Ó.'!O39+'2.7. sz. Könyvtár'!S39+'2.6 sz. Területi'!AO39</f>
        <v>4748011820</v>
      </c>
      <c r="F38" s="8">
        <f>+'2.6 sz. Területi'!J39+'2.6 sz. Területi'!L39+'2.6 sz. Területi'!R39+'2.6 sz. Területi'!T39+'2.6 sz. Területi'!V39+'2.8. sz. Műv.Ház'!J39</f>
        <v>0</v>
      </c>
      <c r="G38" s="8">
        <f>+'2.6 sz. Területi'!K39+'2.6 sz. Területi'!M39+'2.6 sz. Területi'!S39+'2.6 sz. Területi'!U39+'2.6 sz. Területi'!W39+'2.8. sz. Műv.Ház'!K39</f>
        <v>0</v>
      </c>
      <c r="H38" s="8">
        <f>+'2.1. sz. PMH'!H39+'2.1. sz. PMH'!J39+'2.1. sz. PMH'!N39+'2.1. sz. PMH'!P39+'2.1. sz. PMH'!R39</f>
        <v>0</v>
      </c>
      <c r="I38" s="8">
        <f>+'2.1. sz. PMH'!I39+'2.1. sz. PMH'!K39+'2.1. sz. PMH'!O39+'2.1. sz. PMH'!Q39+'2.1. sz. PMH'!S39</f>
        <v>0</v>
      </c>
      <c r="J38" s="8">
        <f t="shared" si="1"/>
        <v>4428755655</v>
      </c>
      <c r="K38" s="8">
        <f t="shared" si="2"/>
        <v>4748011820</v>
      </c>
      <c r="L38" s="94">
        <f t="shared" si="4"/>
        <v>319256165</v>
      </c>
    </row>
    <row r="39" spans="1:13" ht="23.25" customHeight="1" x14ac:dyDescent="0.25">
      <c r="A39" s="29" t="s">
        <v>271</v>
      </c>
      <c r="B39" s="105" t="s">
        <v>566</v>
      </c>
      <c r="C39" s="30"/>
      <c r="D39" s="7">
        <f>+'2.1. sz. PMH'!D40+'2.1. sz. PMH'!F40+'2.1. sz. PMH'!L40+'2.1. sz. PMH'!T40+'2.2. sz. Hétszínvirág Óvoda'!D40+'2.2. sz. Hétszínvirág Óvoda'!F40+'2.2. sz. Hétszínvirág Óvoda'!H40+'2.2. sz. Hétszínvirág Óvoda'!J40+'2.2. sz. Hétszínvirág Óvoda'!L40+'2.2. sz. Hétszínvirág Óvoda'!N40+'2.2. sz. Hétszínvirág Óvoda'!R40+'2.3. sz. Mese Óvoda'!D40+'2.3. sz. Mese Óvoda'!F40+'2.3. sz. Mese Óvoda'!H40+'2.3. sz. Mese Óvoda'!J40+'2.3. sz. Mese Óvoda'!L40+'2.3. sz. Mese Óvoda'!N40+'2.4. sz. Bölcsőde'!D40+'2.4. sz. Bölcsőde'!F40+'2.4. sz. Bölcsőde'!H40+'2.4. sz. Bölcsőde'!J40+'2.4. sz. Bölcsőde'!L40+'2.5. sz. Gyermekjóléti'!D40+'2.5. sz. Gyermekjóléti'!F40+'2.5. sz. Gyermekjóléti'!H40+'2.5. sz. Gyermekjóléti'!J40+'2.5. sz. Gyermekjóléti'!L40+'2.5. sz. Gyermekjóléti'!N40+'2.5. sz. Gyermekjóléti'!P40+'2.6 sz. Területi'!D40+'2.6 sz. Területi'!F40+'2.6 sz. Területi'!H40+'2.6 sz. Területi'!N40+'2.6 sz. Területi'!P40+'2.6 sz. Területi'!X40+'2.6 sz. Területi'!Z40+'2.6 sz. Területi'!AB40+'2.6 sz. Területi'!AD40+'2.6 sz. Területi'!AF40+'2.6 sz. Területi'!AH40+'2.6 sz. Területi'!AJ40+'2.6 sz. Területi'!AL40+'2.6 sz. Területi'!AP40+'2.7. sz. Könyvtár'!D40+'2.7. sz. Könyvtár'!F40+'2.7. sz. Könyvtár'!H40+'2.7. sz. Könyvtár'!J40+'2.7. sz. Könyvtár'!L40+'2.7. sz. Könyvtár'!N40+'2.7. sz. Könyvtár'!P40+'2.7. sz. Könyvtár'!T40+'2.8. sz. Műv.Ház'!D40+'2.8. sz. Műv.Ház'!F40+'2.8. sz. Műv.Ház'!H40+'2.8. sz. Műv.Ház'!L40+'2.8. sz. Műv.Ház'!N40+'2.8. sz. Műv.Ház'!P40+'2.9. sz. Szivárvány Ó.'!D40+'2.9. sz. Szivárvány Ó.'!F40+'2.9. sz. Szivárvány Ó.'!H40+'2.9. sz. Szivárvány Ó.'!J40+'2.9. sz. Szivárvány Ó.'!L40+'2.9. sz. Szivárvány Ó.'!N40</f>
        <v>0</v>
      </c>
      <c r="E39" s="7">
        <f>+'2.1. sz. PMH'!E40+'2.1. sz. PMH'!G40+'2.1. sz. PMH'!M40+'2.1. sz. PMH'!U40+'2.2. sz. Hétszínvirág Óvoda'!E40+'2.2. sz. Hétszínvirág Óvoda'!G40+'2.2. sz. Hétszínvirág Óvoda'!I40+'2.2. sz. Hétszínvirág Óvoda'!K40+'2.2. sz. Hétszínvirág Óvoda'!M40+'2.2. sz. Hétszínvirág Óvoda'!O40+'2.2. sz. Hétszínvirág Óvoda'!S40+'2.2. sz. Hétszínvirág Óvoda'!Q40+'2.3. sz. Mese Óvoda'!E40+'2.3. sz. Mese Óvoda'!G40+'2.3. sz. Mese Óvoda'!I40+'2.3. sz. Mese Óvoda'!K40+'2.3. sz. Mese Óvoda'!M40+'2.3. sz. Mese Óvoda'!O40+'2.4. sz. Bölcsőde'!E40+'2.4. sz. Bölcsőde'!G40+'2.4. sz. Bölcsőde'!I40+'2.4. sz. Bölcsőde'!K40+'2.4. sz. Bölcsőde'!M40+'2.5. sz. Gyermekjóléti'!E40+'2.5. sz. Gyermekjóléti'!G40+'2.5. sz. Gyermekjóléti'!I40+'2.5. sz. Gyermekjóléti'!K40+'2.5. sz. Gyermekjóléti'!M40+'2.5. sz. Gyermekjóléti'!O40+'2.5. sz. Gyermekjóléti'!Q40+'2.6 sz. Területi'!E40+'2.6 sz. Területi'!G40+'2.6 sz. Területi'!I40+'2.6 sz. Területi'!O40+'2.6 sz. Területi'!Q40+'2.6 sz. Területi'!Y40+'2.6 sz. Területi'!AA40+'2.6 sz. Területi'!AC40+'2.6 sz. Területi'!AE40+'2.6 sz. Területi'!AG40+'2.6 sz. Területi'!AI40+'2.6 sz. Területi'!AK40+'2.6 sz. Területi'!AM40+'2.6 sz. Területi'!AQ40+'2.7. sz. Könyvtár'!E40+'2.7. sz. Könyvtár'!G40+'2.7. sz. Könyvtár'!I40+'2.7. sz. Könyvtár'!K40+'2.7. sz. Könyvtár'!M40+'2.7. sz. Könyvtár'!O40+'2.7. sz. Könyvtár'!Q40+'2.7. sz. Könyvtár'!U40+'2.8. sz. Műv.Ház'!E40+'2.8. sz. Műv.Ház'!G40+'2.8. sz. Műv.Ház'!I40+'2.8. sz. Műv.Ház'!M40+'2.8. sz. Műv.Ház'!O40+'2.8. sz. Műv.Ház'!Q40+'2.9. sz. Szivárvány Ó.'!E40+'2.9. sz. Szivárvány Ó.'!G40+'2.9. sz. Szivárvány Ó.'!I40+'2.9. sz. Szivárvány Ó.'!K40+'2.9. sz. Szivárvány Ó.'!M40+'2.9. sz. Szivárvány Ó.'!O40+'2.7. sz. Könyvtár'!S40+'2.6 sz. Területi'!AO40</f>
        <v>0</v>
      </c>
      <c r="F39" s="7">
        <f>+'2.6 sz. Területi'!J40+'2.6 sz. Területi'!L40+'2.6 sz. Területi'!R40+'2.6 sz. Területi'!T40+'2.6 sz. Területi'!V40+'2.8. sz. Műv.Ház'!J40</f>
        <v>0</v>
      </c>
      <c r="G39" s="7">
        <f>+'2.6 sz. Területi'!K40+'2.6 sz. Területi'!M40+'2.6 sz. Területi'!S40+'2.6 sz. Területi'!U40+'2.6 sz. Területi'!W40+'2.8. sz. Műv.Ház'!K40</f>
        <v>0</v>
      </c>
      <c r="H39" s="7">
        <f>+'2.1. sz. PMH'!H40+'2.1. sz. PMH'!J40+'2.1. sz. PMH'!N40+'2.1. sz. PMH'!P40+'2.1. sz. PMH'!R40</f>
        <v>0</v>
      </c>
      <c r="I39" s="7">
        <f>+'2.1. sz. PMH'!I40+'2.1. sz. PMH'!K40+'2.1. sz. PMH'!O40+'2.1. sz. PMH'!Q40+'2.1. sz. PMH'!S40</f>
        <v>0</v>
      </c>
      <c r="J39" s="7">
        <f t="shared" si="1"/>
        <v>0</v>
      </c>
      <c r="K39" s="7">
        <f t="shared" si="2"/>
        <v>0</v>
      </c>
      <c r="L39" s="94"/>
    </row>
    <row r="40" spans="1:13" ht="23.25" customHeight="1" x14ac:dyDescent="0.25">
      <c r="A40" s="29" t="s">
        <v>272</v>
      </c>
      <c r="B40" s="36" t="s">
        <v>846</v>
      </c>
      <c r="C40" s="34"/>
      <c r="D40" s="7">
        <f>+'2.1. sz. PMH'!D41+'2.1. sz. PMH'!F41+'2.1. sz. PMH'!L41+'2.1. sz. PMH'!T41+'2.2. sz. Hétszínvirág Óvoda'!D41+'2.2. sz. Hétszínvirág Óvoda'!F41+'2.2. sz. Hétszínvirág Óvoda'!H41+'2.2. sz. Hétszínvirág Óvoda'!J41+'2.2. sz. Hétszínvirág Óvoda'!L41+'2.2. sz. Hétszínvirág Óvoda'!N41+'2.2. sz. Hétszínvirág Óvoda'!R41+'2.3. sz. Mese Óvoda'!D41+'2.3. sz. Mese Óvoda'!F41+'2.3. sz. Mese Óvoda'!H41+'2.3. sz. Mese Óvoda'!J41+'2.3. sz. Mese Óvoda'!L41+'2.3. sz. Mese Óvoda'!N41+'2.4. sz. Bölcsőde'!D41+'2.4. sz. Bölcsőde'!F41+'2.4. sz. Bölcsőde'!H41+'2.4. sz. Bölcsőde'!J41+'2.4. sz. Bölcsőde'!L41+'2.5. sz. Gyermekjóléti'!D41+'2.5. sz. Gyermekjóléti'!F41+'2.5. sz. Gyermekjóléti'!H41+'2.5. sz. Gyermekjóléti'!J41+'2.5. sz. Gyermekjóléti'!L41+'2.5. sz. Gyermekjóléti'!N41+'2.5. sz. Gyermekjóléti'!P41+'2.6 sz. Területi'!D41+'2.6 sz. Területi'!F41+'2.6 sz. Területi'!H41+'2.6 sz. Területi'!N41+'2.6 sz. Területi'!P41+'2.6 sz. Területi'!X41+'2.6 sz. Területi'!Z41+'2.6 sz. Területi'!AB41+'2.6 sz. Területi'!AD41+'2.6 sz. Területi'!AF41+'2.6 sz. Területi'!AH41+'2.6 sz. Területi'!AJ41+'2.6 sz. Területi'!AL41+'2.6 sz. Területi'!AP41+'2.7. sz. Könyvtár'!D41+'2.7. sz. Könyvtár'!F41+'2.7. sz. Könyvtár'!H41+'2.7. sz. Könyvtár'!J41+'2.7. sz. Könyvtár'!L41+'2.7. sz. Könyvtár'!N41+'2.7. sz. Könyvtár'!P41+'2.7. sz. Könyvtár'!T41+'2.8. sz. Műv.Ház'!D41+'2.8. sz. Műv.Ház'!F41+'2.8. sz. Műv.Ház'!H41+'2.8. sz. Műv.Ház'!L41+'2.8. sz. Műv.Ház'!N41+'2.8. sz. Műv.Ház'!P41+'2.9. sz. Szivárvány Ó.'!D41+'2.9. sz. Szivárvány Ó.'!F41+'2.9. sz. Szivárvány Ó.'!H41+'2.9. sz. Szivárvány Ó.'!J41+'2.9. sz. Szivárvány Ó.'!L41+'2.9. sz. Szivárvány Ó.'!N41</f>
        <v>63300686</v>
      </c>
      <c r="E40" s="7">
        <f>+'2.1. sz. PMH'!E41+'2.1. sz. PMH'!G41+'2.1. sz. PMH'!M41+'2.1. sz. PMH'!U41+'2.2. sz. Hétszínvirág Óvoda'!E41+'2.2. sz. Hétszínvirág Óvoda'!G41+'2.2. sz. Hétszínvirág Óvoda'!I41+'2.2. sz. Hétszínvirág Óvoda'!K41+'2.2. sz. Hétszínvirág Óvoda'!M41+'2.2. sz. Hétszínvirág Óvoda'!O41+'2.2. sz. Hétszínvirág Óvoda'!S41+'2.2. sz. Hétszínvirág Óvoda'!Q41+'2.3. sz. Mese Óvoda'!E41+'2.3. sz. Mese Óvoda'!G41+'2.3. sz. Mese Óvoda'!I41+'2.3. sz. Mese Óvoda'!K41+'2.3. sz. Mese Óvoda'!M41+'2.3. sz. Mese Óvoda'!O41+'2.4. sz. Bölcsőde'!E41+'2.4. sz. Bölcsőde'!G41+'2.4. sz. Bölcsőde'!I41+'2.4. sz. Bölcsőde'!K41+'2.4. sz. Bölcsőde'!M41+'2.5. sz. Gyermekjóléti'!E41+'2.5. sz. Gyermekjóléti'!G41+'2.5. sz. Gyermekjóléti'!I41+'2.5. sz. Gyermekjóléti'!K41+'2.5. sz. Gyermekjóléti'!M41+'2.5. sz. Gyermekjóléti'!O41+'2.5. sz. Gyermekjóléti'!Q41+'2.6 sz. Területi'!E41+'2.6 sz. Területi'!G41+'2.6 sz. Területi'!I41+'2.6 sz. Területi'!O41+'2.6 sz. Területi'!Q41+'2.6 sz. Területi'!Y41+'2.6 sz. Területi'!AA41+'2.6 sz. Területi'!AC41+'2.6 sz. Területi'!AE41+'2.6 sz. Területi'!AG41+'2.6 sz. Területi'!AI41+'2.6 sz. Területi'!AK41+'2.6 sz. Területi'!AM41+'2.6 sz. Területi'!AQ41+'2.7. sz. Könyvtár'!E41+'2.7. sz. Könyvtár'!G41+'2.7. sz. Könyvtár'!I41+'2.7. sz. Könyvtár'!K41+'2.7. sz. Könyvtár'!M41+'2.7. sz. Könyvtár'!O41+'2.7. sz. Könyvtár'!Q41+'2.7. sz. Könyvtár'!U41+'2.8. sz. Műv.Ház'!E41+'2.8. sz. Műv.Ház'!G41+'2.8. sz. Műv.Ház'!I41+'2.8. sz. Műv.Ház'!M41+'2.8. sz. Műv.Ház'!O41+'2.8. sz. Műv.Ház'!Q41+'2.9. sz. Szivárvány Ó.'!E41+'2.9. sz. Szivárvány Ó.'!G41+'2.9. sz. Szivárvány Ó.'!I41+'2.9. sz. Szivárvány Ó.'!K41+'2.9. sz. Szivárvány Ó.'!M41+'2.9. sz. Szivárvány Ó.'!O41+'2.7. sz. Könyvtár'!S41+'2.6 sz. Területi'!AO41</f>
        <v>175289585</v>
      </c>
      <c r="F40" s="7">
        <f>+'2.6 sz. Területi'!J41+'2.6 sz. Területi'!L41+'2.6 sz. Területi'!R41+'2.6 sz. Területi'!T41+'2.6 sz. Területi'!V41+'2.8. sz. Műv.Ház'!J41</f>
        <v>0</v>
      </c>
      <c r="G40" s="7">
        <f>+'2.6 sz. Területi'!K41+'2.6 sz. Területi'!M41+'2.6 sz. Területi'!S41+'2.6 sz. Területi'!U41+'2.6 sz. Területi'!W41+'2.8. sz. Műv.Ház'!K41</f>
        <v>0</v>
      </c>
      <c r="H40" s="7">
        <f>+'2.1. sz. PMH'!H41+'2.1. sz. PMH'!J41+'2.1. sz. PMH'!N41+'2.1. sz. PMH'!P41+'2.1. sz. PMH'!R41</f>
        <v>0</v>
      </c>
      <c r="I40" s="7">
        <f>+'2.1. sz. PMH'!I41+'2.1. sz. PMH'!K41+'2.1. sz. PMH'!O41+'2.1. sz. PMH'!Q41+'2.1. sz. PMH'!S41</f>
        <v>0</v>
      </c>
      <c r="J40" s="7">
        <f t="shared" si="1"/>
        <v>63300686</v>
      </c>
      <c r="K40" s="7">
        <f t="shared" si="2"/>
        <v>175289585</v>
      </c>
      <c r="L40" s="94">
        <f>K40-J40</f>
        <v>111988899</v>
      </c>
    </row>
    <row r="41" spans="1:13" ht="23.25" customHeight="1" x14ac:dyDescent="0.25">
      <c r="A41" s="29" t="s">
        <v>276</v>
      </c>
      <c r="B41" s="36" t="s">
        <v>847</v>
      </c>
      <c r="C41" s="34"/>
      <c r="D41" s="7">
        <f>+'2.1. sz. PMH'!D42+'2.1. sz. PMH'!F42+'2.1. sz. PMH'!L42+'2.1. sz. PMH'!T42+'2.2. sz. Hétszínvirág Óvoda'!D42+'2.2. sz. Hétszínvirág Óvoda'!F42+'2.2. sz. Hétszínvirág Óvoda'!H42+'2.2. sz. Hétszínvirág Óvoda'!J42+'2.2. sz. Hétszínvirág Óvoda'!L42+'2.2. sz. Hétszínvirág Óvoda'!N42+'2.2. sz. Hétszínvirág Óvoda'!R42+'2.3. sz. Mese Óvoda'!D42+'2.3. sz. Mese Óvoda'!F42+'2.3. sz. Mese Óvoda'!H42+'2.3. sz. Mese Óvoda'!J42+'2.3. sz. Mese Óvoda'!L42+'2.3. sz. Mese Óvoda'!N42+'2.4. sz. Bölcsőde'!D42+'2.4. sz. Bölcsőde'!F42+'2.4. sz. Bölcsőde'!H42+'2.4. sz. Bölcsőde'!J42+'2.4. sz. Bölcsőde'!L42+'2.5. sz. Gyermekjóléti'!D42+'2.5. sz. Gyermekjóléti'!F42+'2.5. sz. Gyermekjóléti'!H42+'2.5. sz. Gyermekjóléti'!J42+'2.5. sz. Gyermekjóléti'!L42+'2.5. sz. Gyermekjóléti'!N42+'2.5. sz. Gyermekjóléti'!P42+'2.6 sz. Területi'!D42+'2.6 sz. Területi'!F42+'2.6 sz. Területi'!H42+'2.6 sz. Területi'!N42+'2.6 sz. Területi'!P42+'2.6 sz. Területi'!X42+'2.6 sz. Területi'!Z42+'2.6 sz. Területi'!AB42+'2.6 sz. Területi'!AD42+'2.6 sz. Területi'!AF42+'2.6 sz. Területi'!AH42+'2.6 sz. Területi'!AJ42+'2.6 sz. Területi'!AL42+'2.6 sz. Területi'!AP42+'2.7. sz. Könyvtár'!D42+'2.7. sz. Könyvtár'!F42+'2.7. sz. Könyvtár'!H42+'2.7. sz. Könyvtár'!J42+'2.7. sz. Könyvtár'!L42+'2.7. sz. Könyvtár'!N42+'2.7. sz. Könyvtár'!P42+'2.7. sz. Könyvtár'!T42+'2.8. sz. Műv.Ház'!D42+'2.8. sz. Műv.Ház'!F42+'2.8. sz. Műv.Ház'!H42+'2.8. sz. Műv.Ház'!L42+'2.8. sz. Műv.Ház'!N42+'2.8. sz. Műv.Ház'!P42+'2.9. sz. Szivárvány Ó.'!D42+'2.9. sz. Szivárvány Ó.'!F42+'2.9. sz. Szivárvány Ó.'!H42+'2.9. sz. Szivárvány Ó.'!J42+'2.9. sz. Szivárvány Ó.'!L42+'2.9. sz. Szivárvány Ó.'!N42</f>
        <v>15862021</v>
      </c>
      <c r="E41" s="7">
        <f>+'2.1. sz. PMH'!E42+'2.1. sz. PMH'!G42+'2.1. sz. PMH'!M42+'2.1. sz. PMH'!U42+'2.2. sz. Hétszínvirág Óvoda'!E42+'2.2. sz. Hétszínvirág Óvoda'!G42+'2.2. sz. Hétszínvirág Óvoda'!I42+'2.2. sz. Hétszínvirág Óvoda'!K42+'2.2. sz. Hétszínvirág Óvoda'!M42+'2.2. sz. Hétszínvirág Óvoda'!O42+'2.2. sz. Hétszínvirág Óvoda'!S42+'2.2. sz. Hétszínvirág Óvoda'!Q42+'2.3. sz. Mese Óvoda'!E42+'2.3. sz. Mese Óvoda'!G42+'2.3. sz. Mese Óvoda'!I42+'2.3. sz. Mese Óvoda'!K42+'2.3. sz. Mese Óvoda'!M42+'2.3. sz. Mese Óvoda'!O42+'2.4. sz. Bölcsőde'!E42+'2.4. sz. Bölcsőde'!G42+'2.4. sz. Bölcsőde'!I42+'2.4. sz. Bölcsőde'!K42+'2.4. sz. Bölcsőde'!M42+'2.5. sz. Gyermekjóléti'!E42+'2.5. sz. Gyermekjóléti'!G42+'2.5. sz. Gyermekjóléti'!I42+'2.5. sz. Gyermekjóléti'!K42+'2.5. sz. Gyermekjóléti'!M42+'2.5. sz. Gyermekjóléti'!O42+'2.5. sz. Gyermekjóléti'!Q42+'2.6 sz. Területi'!E42+'2.6 sz. Területi'!G42+'2.6 sz. Területi'!I42+'2.6 sz. Területi'!O42+'2.6 sz. Területi'!Q42+'2.6 sz. Területi'!Y42+'2.6 sz. Területi'!AA42+'2.6 sz. Területi'!AC42+'2.6 sz. Területi'!AE42+'2.6 sz. Területi'!AG42+'2.6 sz. Területi'!AI42+'2.6 sz. Területi'!AK42+'2.6 sz. Területi'!AM42+'2.6 sz. Területi'!AQ42+'2.7. sz. Könyvtár'!E42+'2.7. sz. Könyvtár'!G42+'2.7. sz. Könyvtár'!I42+'2.7. sz. Könyvtár'!K42+'2.7. sz. Könyvtár'!M42+'2.7. sz. Könyvtár'!O42+'2.7. sz. Könyvtár'!Q42+'2.7. sz. Könyvtár'!U42+'2.8. sz. Műv.Ház'!E42+'2.8. sz. Műv.Ház'!G42+'2.8. sz. Műv.Ház'!I42+'2.8. sz. Műv.Ház'!M42+'2.8. sz. Műv.Ház'!O42+'2.8. sz. Műv.Ház'!Q42+'2.9. sz. Szivárvány Ó.'!E42+'2.9. sz. Szivárvány Ó.'!G42+'2.9. sz. Szivárvány Ó.'!I42+'2.9. sz. Szivárvány Ó.'!K42+'2.9. sz. Szivárvány Ó.'!M42+'2.9. sz. Szivárvány Ó.'!O42+'2.7. sz. Könyvtár'!S42+'2.6 sz. Területi'!AO42</f>
        <v>15862021</v>
      </c>
      <c r="F41" s="7">
        <f>+'2.6 sz. Területi'!J42+'2.6 sz. Területi'!L42+'2.6 sz. Területi'!R42+'2.6 sz. Területi'!T42+'2.6 sz. Területi'!V42+'2.8. sz. Műv.Ház'!J42</f>
        <v>0</v>
      </c>
      <c r="G41" s="7">
        <f>+'2.6 sz. Területi'!K42+'2.6 sz. Területi'!M42+'2.6 sz. Területi'!S42+'2.6 sz. Területi'!U42+'2.6 sz. Területi'!W42+'2.8. sz. Műv.Ház'!K42</f>
        <v>0</v>
      </c>
      <c r="H41" s="7">
        <f>+'2.1. sz. PMH'!H42+'2.1. sz. PMH'!J42+'2.1. sz. PMH'!N42+'2.1. sz. PMH'!P42+'2.1. sz. PMH'!R42</f>
        <v>0</v>
      </c>
      <c r="I41" s="7">
        <f>+'2.1. sz. PMH'!I42+'2.1. sz. PMH'!K42+'2.1. sz. PMH'!O42+'2.1. sz. PMH'!Q42+'2.1. sz. PMH'!S42</f>
        <v>0</v>
      </c>
      <c r="J41" s="7">
        <f t="shared" si="1"/>
        <v>15862021</v>
      </c>
      <c r="K41" s="7">
        <f t="shared" si="2"/>
        <v>15862021</v>
      </c>
      <c r="L41" s="94">
        <f>K41-J41</f>
        <v>0</v>
      </c>
    </row>
    <row r="42" spans="1:13" ht="23.25" customHeight="1" x14ac:dyDescent="0.25">
      <c r="A42" s="29" t="s">
        <v>277</v>
      </c>
      <c r="B42" s="36" t="s">
        <v>539</v>
      </c>
      <c r="C42" s="34"/>
      <c r="D42" s="7">
        <f>+'2.1. sz. PMH'!D43+'2.1. sz. PMH'!F43+'2.1. sz. PMH'!L43+'2.1. sz. PMH'!T43+'2.2. sz. Hétszínvirág Óvoda'!D43+'2.2. sz. Hétszínvirág Óvoda'!F43+'2.2. sz. Hétszínvirág Óvoda'!H43+'2.2. sz. Hétszínvirág Óvoda'!J43+'2.2. sz. Hétszínvirág Óvoda'!L43+'2.2. sz. Hétszínvirág Óvoda'!N43+'2.2. sz. Hétszínvirág Óvoda'!R43+'2.3. sz. Mese Óvoda'!D43+'2.3. sz. Mese Óvoda'!F43+'2.3. sz. Mese Óvoda'!H43+'2.3. sz. Mese Óvoda'!J43+'2.3. sz. Mese Óvoda'!L43+'2.3. sz. Mese Óvoda'!N43+'2.4. sz. Bölcsőde'!D43+'2.4. sz. Bölcsőde'!F43+'2.4. sz. Bölcsőde'!H43+'2.4. sz. Bölcsőde'!J43+'2.4. sz. Bölcsőde'!L43+'2.5. sz. Gyermekjóléti'!D43+'2.5. sz. Gyermekjóléti'!F43+'2.5. sz. Gyermekjóléti'!H43+'2.5. sz. Gyermekjóléti'!J43+'2.5. sz. Gyermekjóléti'!L43+'2.5. sz. Gyermekjóléti'!N43+'2.5. sz. Gyermekjóléti'!P43+'2.6 sz. Területi'!D43+'2.6 sz. Területi'!F43+'2.6 sz. Területi'!H43+'2.6 sz. Területi'!N43+'2.6 sz. Területi'!P43+'2.6 sz. Területi'!X43+'2.6 sz. Területi'!Z43+'2.6 sz. Területi'!AB43+'2.6 sz. Területi'!AD43+'2.6 sz. Területi'!AF43+'2.6 sz. Területi'!AH43+'2.6 sz. Területi'!AJ43+'2.6 sz. Területi'!AL43+'2.6 sz. Területi'!AP43+'2.7. sz. Könyvtár'!D43+'2.7. sz. Könyvtár'!F43+'2.7. sz. Könyvtár'!H43+'2.7. sz. Könyvtár'!J43+'2.7. sz. Könyvtár'!L43+'2.7. sz. Könyvtár'!N43+'2.7. sz. Könyvtár'!P43+'2.7. sz. Könyvtár'!T43+'2.8. sz. Műv.Ház'!D43+'2.8. sz. Műv.Ház'!F43+'2.8. sz. Műv.Ház'!H43+'2.8. sz. Műv.Ház'!L43+'2.8. sz. Műv.Ház'!N43+'2.8. sz. Műv.Ház'!P43+'2.9. sz. Szivárvány Ó.'!D43+'2.9. sz. Szivárvány Ó.'!F43+'2.9. sz. Szivárvány Ó.'!H43+'2.9. sz. Szivárvány Ó.'!J43+'2.9. sz. Szivárvány Ó.'!L43+'2.9. sz. Szivárvány Ó.'!N43</f>
        <v>4291386848</v>
      </c>
      <c r="E42" s="7">
        <f>+'2.1. sz. PMH'!E43+'2.1. sz. PMH'!G43+'2.1. sz. PMH'!M43+'2.1. sz. PMH'!U43+'2.2. sz. Hétszínvirág Óvoda'!E43+'2.2. sz. Hétszínvirág Óvoda'!G43+'2.2. sz. Hétszínvirág Óvoda'!I43+'2.2. sz. Hétszínvirág Óvoda'!K43+'2.2. sz. Hétszínvirág Óvoda'!M43+'2.2. sz. Hétszínvirág Óvoda'!O43+'2.2. sz. Hétszínvirág Óvoda'!S43+'2.2. sz. Hétszínvirág Óvoda'!Q43+'2.3. sz. Mese Óvoda'!E43+'2.3. sz. Mese Óvoda'!G43+'2.3. sz. Mese Óvoda'!I43+'2.3. sz. Mese Óvoda'!K43+'2.3. sz. Mese Óvoda'!M43+'2.3. sz. Mese Óvoda'!O43+'2.4. sz. Bölcsőde'!E43+'2.4. sz. Bölcsőde'!G43+'2.4. sz. Bölcsőde'!I43+'2.4. sz. Bölcsőde'!K43+'2.4. sz. Bölcsőde'!M43+'2.5. sz. Gyermekjóléti'!E43+'2.5. sz. Gyermekjóléti'!G43+'2.5. sz. Gyermekjóléti'!I43+'2.5. sz. Gyermekjóléti'!K43+'2.5. sz. Gyermekjóléti'!M43+'2.5. sz. Gyermekjóléti'!O43+'2.5. sz. Gyermekjóléti'!Q43+'2.6 sz. Területi'!E43+'2.6 sz. Területi'!G43+'2.6 sz. Területi'!I43+'2.6 sz. Területi'!O43+'2.6 sz. Területi'!Q43+'2.6 sz. Területi'!Y43+'2.6 sz. Területi'!AA43+'2.6 sz. Területi'!AC43+'2.6 sz. Területi'!AE43+'2.6 sz. Területi'!AG43+'2.6 sz. Területi'!AI43+'2.6 sz. Területi'!AK43+'2.6 sz. Területi'!AM43+'2.6 sz. Területi'!AQ43+'2.7. sz. Könyvtár'!E43+'2.7. sz. Könyvtár'!G43+'2.7. sz. Könyvtár'!I43+'2.7. sz. Könyvtár'!K43+'2.7. sz. Könyvtár'!M43+'2.7. sz. Könyvtár'!O43+'2.7. sz. Könyvtár'!Q43+'2.7. sz. Könyvtár'!U43+'2.8. sz. Műv.Ház'!E43+'2.8. sz. Műv.Ház'!G43+'2.8. sz. Műv.Ház'!I43+'2.8. sz. Műv.Ház'!M43+'2.8. sz. Műv.Ház'!O43+'2.8. sz. Műv.Ház'!Q43+'2.9. sz. Szivárvány Ó.'!E43+'2.9. sz. Szivárvány Ó.'!G43+'2.9. sz. Szivárvány Ó.'!I43+'2.9. sz. Szivárvány Ó.'!K43+'2.9. sz. Szivárvány Ó.'!M43+'2.9. sz. Szivárvány Ó.'!O43+'2.7. sz. Könyvtár'!S43+'2.6 sz. Területi'!AO43</f>
        <v>4479932615</v>
      </c>
      <c r="F42" s="7">
        <f>+'2.6 sz. Területi'!J43+'2.6 sz. Területi'!L43+'2.6 sz. Területi'!R43+'2.6 sz. Területi'!T43+'2.6 sz. Területi'!V43+'2.8. sz. Műv.Ház'!J43</f>
        <v>0</v>
      </c>
      <c r="G42" s="7">
        <f>+'2.6 sz. Területi'!K43+'2.6 sz. Területi'!M43+'2.6 sz. Területi'!S43+'2.6 sz. Területi'!U43+'2.6 sz. Területi'!W43+'2.8. sz. Műv.Ház'!K43</f>
        <v>0</v>
      </c>
      <c r="H42" s="7">
        <f>+'2.1. sz. PMH'!H43+'2.1. sz. PMH'!J43+'2.1. sz. PMH'!N43+'2.1. sz. PMH'!P43+'2.1. sz. PMH'!R43</f>
        <v>0</v>
      </c>
      <c r="I42" s="7">
        <f>+'2.1. sz. PMH'!I43+'2.1. sz. PMH'!K43+'2.1. sz. PMH'!O43+'2.1. sz. PMH'!Q43+'2.1. sz. PMH'!S43</f>
        <v>0</v>
      </c>
      <c r="J42" s="7">
        <f t="shared" si="1"/>
        <v>4291386848</v>
      </c>
      <c r="K42" s="7">
        <f t="shared" si="2"/>
        <v>4479932615</v>
      </c>
      <c r="L42" s="94">
        <f>K42-J42</f>
        <v>188545767</v>
      </c>
      <c r="M42" s="94">
        <f>+J42+J43</f>
        <v>4349592948</v>
      </c>
    </row>
    <row r="43" spans="1:13" ht="23.25" customHeight="1" x14ac:dyDescent="0.25">
      <c r="A43" s="29" t="s">
        <v>278</v>
      </c>
      <c r="B43" s="36" t="s">
        <v>623</v>
      </c>
      <c r="C43" s="34"/>
      <c r="D43" s="7">
        <f>+'2.1. sz. PMH'!D44+'2.1. sz. PMH'!F44+'2.1. sz. PMH'!L44+'2.1. sz. PMH'!T44+'2.2. sz. Hétszínvirág Óvoda'!D44+'2.2. sz. Hétszínvirág Óvoda'!F44+'2.2. sz. Hétszínvirág Óvoda'!H44+'2.2. sz. Hétszínvirág Óvoda'!J44+'2.2. sz. Hétszínvirág Óvoda'!L44+'2.2. sz. Hétszínvirág Óvoda'!N44+'2.2. sz. Hétszínvirág Óvoda'!R44+'2.3. sz. Mese Óvoda'!D44+'2.3. sz. Mese Óvoda'!F44+'2.3. sz. Mese Óvoda'!H44+'2.3. sz. Mese Óvoda'!J44+'2.3. sz. Mese Óvoda'!L44+'2.3. sz. Mese Óvoda'!N44+'2.4. sz. Bölcsőde'!D44+'2.4. sz. Bölcsőde'!F44+'2.4. sz. Bölcsőde'!H44+'2.4. sz. Bölcsőde'!J44+'2.4. sz. Bölcsőde'!L44+'2.5. sz. Gyermekjóléti'!D44+'2.5. sz. Gyermekjóléti'!F44+'2.5. sz. Gyermekjóléti'!H44+'2.5. sz. Gyermekjóléti'!J44+'2.5. sz. Gyermekjóléti'!L44+'2.5. sz. Gyermekjóléti'!N44+'2.5. sz. Gyermekjóléti'!P44+'2.6 sz. Területi'!D44+'2.6 sz. Területi'!F44+'2.6 sz. Területi'!H44+'2.6 sz. Területi'!N44+'2.6 sz. Területi'!P44+'2.6 sz. Területi'!X44+'2.6 sz. Területi'!Z44+'2.6 sz. Területi'!AB44+'2.6 sz. Területi'!AD44+'2.6 sz. Területi'!AF44+'2.6 sz. Területi'!AH44+'2.6 sz. Területi'!AJ44+'2.6 sz. Területi'!AL44+'2.6 sz. Területi'!AP44+'2.7. sz. Könyvtár'!D44+'2.7. sz. Könyvtár'!F44+'2.7. sz. Könyvtár'!H44+'2.7. sz. Könyvtár'!J44+'2.7. sz. Könyvtár'!L44+'2.7. sz. Könyvtár'!N44+'2.7. sz. Könyvtár'!P44+'2.7. sz. Könyvtár'!T44+'2.8. sz. Műv.Ház'!D44+'2.8. sz. Műv.Ház'!F44+'2.8. sz. Műv.Ház'!H44+'2.8. sz. Műv.Ház'!L44+'2.8. sz. Műv.Ház'!N44+'2.8. sz. Műv.Ház'!P44+'2.9. sz. Szivárvány Ó.'!D44+'2.9. sz. Szivárvány Ó.'!F44+'2.9. sz. Szivárvány Ó.'!H44+'2.9. sz. Szivárvány Ó.'!J44+'2.9. sz. Szivárvány Ó.'!L44+'2.9. sz. Szivárvány Ó.'!N44</f>
        <v>58206100</v>
      </c>
      <c r="E43" s="7">
        <f>+'2.1. sz. PMH'!E44+'2.1. sz. PMH'!G44+'2.1. sz. PMH'!M44+'2.1. sz. PMH'!U44+'2.2. sz. Hétszínvirág Óvoda'!E44+'2.2. sz. Hétszínvirág Óvoda'!G44+'2.2. sz. Hétszínvirág Óvoda'!I44+'2.2. sz. Hétszínvirág Óvoda'!K44+'2.2. sz. Hétszínvirág Óvoda'!M44+'2.2. sz. Hétszínvirág Óvoda'!O44+'2.2. sz. Hétszínvirág Óvoda'!S44+'2.2. sz. Hétszínvirág Óvoda'!Q44+'2.3. sz. Mese Óvoda'!E44+'2.3. sz. Mese Óvoda'!G44+'2.3. sz. Mese Óvoda'!I44+'2.3. sz. Mese Óvoda'!K44+'2.3. sz. Mese Óvoda'!M44+'2.3. sz. Mese Óvoda'!O44+'2.4. sz. Bölcsőde'!E44+'2.4. sz. Bölcsőde'!G44+'2.4. sz. Bölcsőde'!I44+'2.4. sz. Bölcsőde'!K44+'2.4. sz. Bölcsőde'!M44+'2.5. sz. Gyermekjóléti'!E44+'2.5. sz. Gyermekjóléti'!G44+'2.5. sz. Gyermekjóléti'!I44+'2.5. sz. Gyermekjóléti'!K44+'2.5. sz. Gyermekjóléti'!M44+'2.5. sz. Gyermekjóléti'!O44+'2.5. sz. Gyermekjóléti'!Q44+'2.6 sz. Területi'!E44+'2.6 sz. Területi'!G44+'2.6 sz. Területi'!I44+'2.6 sz. Területi'!O44+'2.6 sz. Területi'!Q44+'2.6 sz. Területi'!Y44+'2.6 sz. Területi'!AA44+'2.6 sz. Területi'!AC44+'2.6 sz. Területi'!AE44+'2.6 sz. Területi'!AG44+'2.6 sz. Területi'!AI44+'2.6 sz. Területi'!AK44+'2.6 sz. Területi'!AM44+'2.6 sz. Területi'!AQ44+'2.7. sz. Könyvtár'!E44+'2.7. sz. Könyvtár'!G44+'2.7. sz. Könyvtár'!I44+'2.7. sz. Könyvtár'!K44+'2.7. sz. Könyvtár'!M44+'2.7. sz. Könyvtár'!O44+'2.7. sz. Könyvtár'!Q44+'2.7. sz. Könyvtár'!U44+'2.8. sz. Műv.Ház'!E44+'2.8. sz. Műv.Ház'!G44+'2.8. sz. Műv.Ház'!I44+'2.8. sz. Műv.Ház'!M44+'2.8. sz. Műv.Ház'!O44+'2.8. sz. Műv.Ház'!Q44+'2.9. sz. Szivárvány Ó.'!E44+'2.9. sz. Szivárvány Ó.'!G44+'2.9. sz. Szivárvány Ó.'!I44+'2.9. sz. Szivárvány Ó.'!K44+'2.9. sz. Szivárvány Ó.'!M44+'2.9. sz. Szivárvány Ó.'!O44+'2.7. sz. Könyvtár'!S44+'2.6 sz. Területi'!AO44</f>
        <v>76927599</v>
      </c>
      <c r="F43" s="7">
        <f>+'2.6 sz. Területi'!J44+'2.6 sz. Területi'!L44+'2.6 sz. Területi'!R44+'2.6 sz. Területi'!T44+'2.6 sz. Területi'!V44+'2.8. sz. Műv.Ház'!J44</f>
        <v>0</v>
      </c>
      <c r="G43" s="7">
        <f>+'2.6 sz. Területi'!K44+'2.6 sz. Területi'!M44+'2.6 sz. Területi'!S44+'2.6 sz. Területi'!U44+'2.6 sz. Területi'!W44+'2.8. sz. Műv.Ház'!K44</f>
        <v>0</v>
      </c>
      <c r="H43" s="7">
        <f>+'2.1. sz. PMH'!H44+'2.1. sz. PMH'!J44+'2.1. sz. PMH'!N44+'2.1. sz. PMH'!P44+'2.1. sz. PMH'!R44</f>
        <v>0</v>
      </c>
      <c r="I43" s="7">
        <f>+'2.1. sz. PMH'!I44+'2.1. sz. PMH'!K44+'2.1. sz. PMH'!O44+'2.1. sz. PMH'!Q44+'2.1. sz. PMH'!S44</f>
        <v>0</v>
      </c>
      <c r="J43" s="7">
        <f t="shared" si="1"/>
        <v>58206100</v>
      </c>
      <c r="K43" s="7">
        <f t="shared" si="2"/>
        <v>76927599</v>
      </c>
      <c r="L43" s="94">
        <f>K43-J43</f>
        <v>18721499</v>
      </c>
    </row>
    <row r="44" spans="1:13" ht="23.25" customHeight="1" x14ac:dyDescent="0.25">
      <c r="A44" s="29" t="s">
        <v>279</v>
      </c>
      <c r="B44" s="36" t="s">
        <v>574</v>
      </c>
      <c r="C44" s="34"/>
      <c r="D44" s="7">
        <f>+'2.1. sz. PMH'!D45+'2.1. sz. PMH'!F45+'2.1. sz. PMH'!L45+'2.1. sz. PMH'!T45+'2.2. sz. Hétszínvirág Óvoda'!D45+'2.2. sz. Hétszínvirág Óvoda'!F45+'2.2. sz. Hétszínvirág Óvoda'!H45+'2.2. sz. Hétszínvirág Óvoda'!J45+'2.2. sz. Hétszínvirág Óvoda'!L45+'2.2. sz. Hétszínvirág Óvoda'!N45+'2.2. sz. Hétszínvirág Óvoda'!R45+'2.3. sz. Mese Óvoda'!D45+'2.3. sz. Mese Óvoda'!F45+'2.3. sz. Mese Óvoda'!H45+'2.3. sz. Mese Óvoda'!J45+'2.3. sz. Mese Óvoda'!L45+'2.3. sz. Mese Óvoda'!N45+'2.4. sz. Bölcsőde'!D45+'2.4. sz. Bölcsőde'!F45+'2.4. sz. Bölcsőde'!H45+'2.4. sz. Bölcsőde'!J45+'2.4. sz. Bölcsőde'!L45+'2.5. sz. Gyermekjóléti'!D45+'2.5. sz. Gyermekjóléti'!F45+'2.5. sz. Gyermekjóléti'!H45+'2.5. sz. Gyermekjóléti'!J45+'2.5. sz. Gyermekjóléti'!L45+'2.5. sz. Gyermekjóléti'!N45+'2.5. sz. Gyermekjóléti'!P45+'2.6 sz. Területi'!D45+'2.6 sz. Területi'!F45+'2.6 sz. Területi'!H45+'2.6 sz. Területi'!N45+'2.6 sz. Területi'!P45+'2.6 sz. Területi'!X45+'2.6 sz. Területi'!Z45+'2.6 sz. Területi'!AB45+'2.6 sz. Területi'!AD45+'2.6 sz. Területi'!AF45+'2.6 sz. Területi'!AH45+'2.6 sz. Területi'!AJ45+'2.6 sz. Területi'!AL45+'2.6 sz. Területi'!AP45+'2.7. sz. Könyvtár'!D45+'2.7. sz. Könyvtár'!F45+'2.7. sz. Könyvtár'!H45+'2.7. sz. Könyvtár'!J45+'2.7. sz. Könyvtár'!L45+'2.7. sz. Könyvtár'!N45+'2.7. sz. Könyvtár'!P45+'2.7. sz. Könyvtár'!T45+'2.8. sz. Műv.Ház'!D45+'2.8. sz. Műv.Ház'!F45+'2.8. sz. Műv.Ház'!H45+'2.8. sz. Műv.Ház'!L45+'2.8. sz. Műv.Ház'!N45+'2.8. sz. Műv.Ház'!P45+'2.9. sz. Szivárvány Ó.'!D45+'2.9. sz. Szivárvány Ó.'!F45+'2.9. sz. Szivárvány Ó.'!H45+'2.9. sz. Szivárvány Ó.'!J45+'2.9. sz. Szivárvány Ó.'!L45+'2.9. sz. Szivárvány Ó.'!N45</f>
        <v>0</v>
      </c>
      <c r="E44" s="7">
        <f>+'2.1. sz. PMH'!E45+'2.1. sz. PMH'!G45+'2.1. sz. PMH'!M45+'2.1. sz. PMH'!U45+'2.2. sz. Hétszínvirág Óvoda'!E45+'2.2. sz. Hétszínvirág Óvoda'!G45+'2.2. sz. Hétszínvirág Óvoda'!I45+'2.2. sz. Hétszínvirág Óvoda'!K45+'2.2. sz. Hétszínvirág Óvoda'!M45+'2.2. sz. Hétszínvirág Óvoda'!O45+'2.2. sz. Hétszínvirág Óvoda'!S45+'2.2. sz. Hétszínvirág Óvoda'!Q45+'2.3. sz. Mese Óvoda'!E45+'2.3. sz. Mese Óvoda'!G45+'2.3. sz. Mese Óvoda'!I45+'2.3. sz. Mese Óvoda'!K45+'2.3. sz. Mese Óvoda'!M45+'2.3. sz. Mese Óvoda'!O45+'2.4. sz. Bölcsőde'!E45+'2.4. sz. Bölcsőde'!G45+'2.4. sz. Bölcsőde'!I45+'2.4. sz. Bölcsőde'!K45+'2.4. sz. Bölcsőde'!M45+'2.5. sz. Gyermekjóléti'!E45+'2.5. sz. Gyermekjóléti'!G45+'2.5. sz. Gyermekjóléti'!I45+'2.5. sz. Gyermekjóléti'!K45+'2.5. sz. Gyermekjóléti'!M45+'2.5. sz. Gyermekjóléti'!O45+'2.5. sz. Gyermekjóléti'!Q45+'2.6 sz. Területi'!E45+'2.6 sz. Területi'!G45+'2.6 sz. Területi'!I45+'2.6 sz. Területi'!O45+'2.6 sz. Területi'!Q45+'2.6 sz. Területi'!Y45+'2.6 sz. Területi'!AA45+'2.6 sz. Területi'!AC45+'2.6 sz. Területi'!AE45+'2.6 sz. Területi'!AG45+'2.6 sz. Területi'!AI45+'2.6 sz. Területi'!AK45+'2.6 sz. Területi'!AM45+'2.6 sz. Területi'!AQ45+'2.7. sz. Könyvtár'!E45+'2.7. sz. Könyvtár'!G45+'2.7. sz. Könyvtár'!I45+'2.7. sz. Könyvtár'!K45+'2.7. sz. Könyvtár'!M45+'2.7. sz. Könyvtár'!O45+'2.7. sz. Könyvtár'!Q45+'2.7. sz. Könyvtár'!U45+'2.8. sz. Műv.Ház'!E45+'2.8. sz. Műv.Ház'!G45+'2.8. sz. Műv.Ház'!I45+'2.8. sz. Műv.Ház'!M45+'2.8. sz. Műv.Ház'!O45+'2.8. sz. Műv.Ház'!Q45+'2.9. sz. Szivárvány Ó.'!E45+'2.9. sz. Szivárvány Ó.'!G45+'2.9. sz. Szivárvány Ó.'!I45+'2.9. sz. Szivárvány Ó.'!K45+'2.9. sz. Szivárvány Ó.'!M45+'2.9. sz. Szivárvány Ó.'!O45+'2.7. sz. Könyvtár'!S45+'2.6 sz. Területi'!AO45</f>
        <v>0</v>
      </c>
      <c r="F44" s="7">
        <f>+'2.6 sz. Területi'!J45+'2.6 sz. Területi'!L45+'2.6 sz. Területi'!R45+'2.6 sz. Területi'!T45+'2.6 sz. Területi'!V45+'2.8. sz. Műv.Ház'!J45</f>
        <v>0</v>
      </c>
      <c r="G44" s="7">
        <f>+'2.6 sz. Területi'!K45+'2.6 sz. Területi'!M45+'2.6 sz. Területi'!S45+'2.6 sz. Területi'!U45+'2.6 sz. Területi'!W45+'2.8. sz. Műv.Ház'!K45</f>
        <v>0</v>
      </c>
      <c r="H44" s="7">
        <f>+'2.1. sz. PMH'!H45+'2.1. sz. PMH'!J45+'2.1. sz. PMH'!N45+'2.1. sz. PMH'!P45+'2.1. sz. PMH'!R45</f>
        <v>0</v>
      </c>
      <c r="I44" s="7">
        <f>+'2.1. sz. PMH'!I45+'2.1. sz. PMH'!K45+'2.1. sz. PMH'!O45+'2.1. sz. PMH'!Q45+'2.1. sz. PMH'!S45</f>
        <v>0</v>
      </c>
      <c r="J44" s="7">
        <f t="shared" si="1"/>
        <v>0</v>
      </c>
      <c r="K44" s="7">
        <f t="shared" si="2"/>
        <v>0</v>
      </c>
      <c r="L44" s="94">
        <f>K44-J44</f>
        <v>0</v>
      </c>
    </row>
    <row r="45" spans="1:13" ht="23.25" customHeight="1" x14ac:dyDescent="0.25">
      <c r="A45" s="29" t="s">
        <v>280</v>
      </c>
      <c r="B45" s="36" t="s">
        <v>815</v>
      </c>
      <c r="C45" s="34"/>
      <c r="D45" s="7">
        <f>+'2.1. sz. PMH'!D46+'2.1. sz. PMH'!F46+'2.1. sz. PMH'!L46+'2.1. sz. PMH'!T46+'2.2. sz. Hétszínvirág Óvoda'!D46+'2.2. sz. Hétszínvirág Óvoda'!F46+'2.2. sz. Hétszínvirág Óvoda'!H46+'2.2. sz. Hétszínvirág Óvoda'!J46+'2.2. sz. Hétszínvirág Óvoda'!L46+'2.2. sz. Hétszínvirág Óvoda'!N46+'2.2. sz. Hétszínvirág Óvoda'!R46+'2.3. sz. Mese Óvoda'!D46+'2.3. sz. Mese Óvoda'!F46+'2.3. sz. Mese Óvoda'!H46+'2.3. sz. Mese Óvoda'!J46+'2.3. sz. Mese Óvoda'!L46+'2.3. sz. Mese Óvoda'!N46+'2.4. sz. Bölcsőde'!D46+'2.4. sz. Bölcsőde'!F46+'2.4. sz. Bölcsőde'!H46+'2.4. sz. Bölcsőde'!J46+'2.4. sz. Bölcsőde'!L46+'2.5. sz. Gyermekjóléti'!D46+'2.5. sz. Gyermekjóléti'!F46+'2.5. sz. Gyermekjóléti'!H46+'2.5. sz. Gyermekjóléti'!J46+'2.5. sz. Gyermekjóléti'!L46+'2.5. sz. Gyermekjóléti'!N46+'2.5. sz. Gyermekjóléti'!P46+'2.6 sz. Területi'!D46+'2.6 sz. Területi'!F46+'2.6 sz. Területi'!H46+'2.6 sz. Területi'!N46+'2.6 sz. Területi'!P46+'2.6 sz. Területi'!X46+'2.6 sz. Területi'!Z46+'2.6 sz. Területi'!AB46+'2.6 sz. Területi'!AD46+'2.6 sz. Területi'!AF46+'2.6 sz. Területi'!AH46+'2.6 sz. Területi'!AJ46+'2.6 sz. Területi'!AL46+'2.6 sz. Területi'!AP46+'2.7. sz. Könyvtár'!D46+'2.7. sz. Könyvtár'!F46+'2.7. sz. Könyvtár'!H46+'2.7. sz. Könyvtár'!J46+'2.7. sz. Könyvtár'!L46+'2.7. sz. Könyvtár'!N46+'2.7. sz. Könyvtár'!P46+'2.7. sz. Könyvtár'!T46+'2.8. sz. Műv.Ház'!D46+'2.8. sz. Műv.Ház'!F46+'2.8. sz. Műv.Ház'!H46+'2.8. sz. Műv.Ház'!L46+'2.8. sz. Műv.Ház'!N46+'2.8. sz. Műv.Ház'!P46+'2.9. sz. Szivárvány Ó.'!D46+'2.9. sz. Szivárvány Ó.'!F46+'2.9. sz. Szivárvány Ó.'!H46+'2.9. sz. Szivárvány Ó.'!J46+'2.9. sz. Szivárvány Ó.'!L46+'2.9. sz. Szivárvány Ó.'!N46</f>
        <v>0</v>
      </c>
      <c r="E45" s="7">
        <f>+'2.1. sz. PMH'!E46+'2.1. sz. PMH'!G46+'2.1. sz. PMH'!M46+'2.1. sz. PMH'!U46+'2.2. sz. Hétszínvirág Óvoda'!E46+'2.2. sz. Hétszínvirág Óvoda'!G46+'2.2. sz. Hétszínvirág Óvoda'!I46+'2.2. sz. Hétszínvirág Óvoda'!K46+'2.2. sz. Hétszínvirág Óvoda'!M46+'2.2. sz. Hétszínvirág Óvoda'!O46+'2.2. sz. Hétszínvirág Óvoda'!S46+'2.2. sz. Hétszínvirág Óvoda'!Q46+'2.3. sz. Mese Óvoda'!E46+'2.3. sz. Mese Óvoda'!G46+'2.3. sz. Mese Óvoda'!I46+'2.3. sz. Mese Óvoda'!K46+'2.3. sz. Mese Óvoda'!M46+'2.3. sz. Mese Óvoda'!O46+'2.4. sz. Bölcsőde'!E46+'2.4. sz. Bölcsőde'!G46+'2.4. sz. Bölcsőde'!I46+'2.4. sz. Bölcsőde'!K46+'2.4. sz. Bölcsőde'!M46+'2.5. sz. Gyermekjóléti'!E46+'2.5. sz. Gyermekjóléti'!G46+'2.5. sz. Gyermekjóléti'!I46+'2.5. sz. Gyermekjóléti'!K46+'2.5. sz. Gyermekjóléti'!M46+'2.5. sz. Gyermekjóléti'!O46+'2.5. sz. Gyermekjóléti'!Q46+'2.6 sz. Területi'!E46+'2.6 sz. Területi'!G46+'2.6 sz. Területi'!I46+'2.6 sz. Területi'!O46+'2.6 sz. Területi'!Q46+'2.6 sz. Területi'!Y46+'2.6 sz. Területi'!AA46+'2.6 sz. Területi'!AC46+'2.6 sz. Területi'!AE46+'2.6 sz. Területi'!AG46+'2.6 sz. Területi'!AI46+'2.6 sz. Területi'!AK46+'2.6 sz. Területi'!AM46+'2.6 sz. Területi'!AQ46+'2.7. sz. Könyvtár'!E46+'2.7. sz. Könyvtár'!G46+'2.7. sz. Könyvtár'!I46+'2.7. sz. Könyvtár'!K46+'2.7. sz. Könyvtár'!M46+'2.7. sz. Könyvtár'!O46+'2.7. sz. Könyvtár'!Q46+'2.7. sz. Könyvtár'!U46+'2.8. sz. Műv.Ház'!E46+'2.8. sz. Műv.Ház'!G46+'2.8. sz. Műv.Ház'!I46+'2.8. sz. Műv.Ház'!M46+'2.8. sz. Műv.Ház'!O46+'2.8. sz. Műv.Ház'!Q46+'2.9. sz. Szivárvány Ó.'!E46+'2.9. sz. Szivárvány Ó.'!G46+'2.9. sz. Szivárvány Ó.'!I46+'2.9. sz. Szivárvány Ó.'!K46+'2.9. sz. Szivárvány Ó.'!M46+'2.9. sz. Szivárvány Ó.'!O46+'2.7. sz. Könyvtár'!S46+'2.6 sz. Területi'!AO46</f>
        <v>0</v>
      </c>
      <c r="F45" s="7">
        <f>+'2.6 sz. Területi'!J46+'2.6 sz. Területi'!L46+'2.6 sz. Területi'!R46+'2.6 sz. Területi'!T46+'2.6 sz. Területi'!V46+'2.8. sz. Műv.Ház'!J46</f>
        <v>0</v>
      </c>
      <c r="G45" s="7">
        <f>+'2.6 sz. Területi'!K46+'2.6 sz. Területi'!M46+'2.6 sz. Területi'!S46+'2.6 sz. Területi'!U46+'2.6 sz. Területi'!W46+'2.8. sz. Műv.Ház'!K46</f>
        <v>0</v>
      </c>
      <c r="H45" s="7">
        <f>+'2.1. sz. PMH'!H46+'2.1. sz. PMH'!J46+'2.1. sz. PMH'!N46+'2.1. sz. PMH'!P46+'2.1. sz. PMH'!R46</f>
        <v>0</v>
      </c>
      <c r="I45" s="7">
        <f>+'2.1. sz. PMH'!I46+'2.1. sz. PMH'!K46+'2.1. sz. PMH'!O46+'2.1. sz. PMH'!Q46+'2.1. sz. PMH'!S46</f>
        <v>0</v>
      </c>
      <c r="J45" s="7">
        <f t="shared" si="1"/>
        <v>0</v>
      </c>
      <c r="K45" s="7">
        <f t="shared" si="2"/>
        <v>0</v>
      </c>
      <c r="L45" s="94"/>
    </row>
    <row r="46" spans="1:13" s="39" customFormat="1" ht="23.25" customHeight="1" x14ac:dyDescent="0.25">
      <c r="A46" s="29" t="s">
        <v>281</v>
      </c>
      <c r="B46" s="37" t="s">
        <v>113</v>
      </c>
      <c r="C46" s="30"/>
      <c r="D46" s="8">
        <f>+'2.1. sz. PMH'!D47+'2.1. sz. PMH'!F47+'2.1. sz. PMH'!L47+'2.1. sz. PMH'!T47+'2.2. sz. Hétszínvirág Óvoda'!D47+'2.2. sz. Hétszínvirág Óvoda'!F47+'2.2. sz. Hétszínvirág Óvoda'!H47+'2.2. sz. Hétszínvirág Óvoda'!J47+'2.2. sz. Hétszínvirág Óvoda'!L47+'2.2. sz. Hétszínvirág Óvoda'!N47+'2.2. sz. Hétszínvirág Óvoda'!R47+'2.3. sz. Mese Óvoda'!D47+'2.3. sz. Mese Óvoda'!F47+'2.3. sz. Mese Óvoda'!H47+'2.3. sz. Mese Óvoda'!J47+'2.3. sz. Mese Óvoda'!L47+'2.3. sz. Mese Óvoda'!N47+'2.4. sz. Bölcsőde'!D47+'2.4. sz. Bölcsőde'!F47+'2.4. sz. Bölcsőde'!H47+'2.4. sz. Bölcsőde'!J47+'2.4. sz. Bölcsőde'!L47+'2.5. sz. Gyermekjóléti'!D47+'2.5. sz. Gyermekjóléti'!F47+'2.5. sz. Gyermekjóléti'!H47+'2.5. sz. Gyermekjóléti'!J47+'2.5. sz. Gyermekjóléti'!L47+'2.5. sz. Gyermekjóléti'!N47+'2.5. sz. Gyermekjóléti'!P47+'2.6 sz. Területi'!D47+'2.6 sz. Területi'!F47+'2.6 sz. Területi'!H47+'2.6 sz. Területi'!N47+'2.6 sz. Területi'!P47+'2.6 sz. Területi'!X47+'2.6 sz. Területi'!Z47+'2.6 sz. Területi'!AB47+'2.6 sz. Területi'!AD47+'2.6 sz. Területi'!AF47+'2.6 sz. Területi'!AH47+'2.6 sz. Területi'!AJ47+'2.6 sz. Területi'!AL47+'2.6 sz. Területi'!AP47+'2.7. sz. Könyvtár'!D47+'2.7. sz. Könyvtár'!F47+'2.7. sz. Könyvtár'!H47+'2.7. sz. Könyvtár'!J47+'2.7. sz. Könyvtár'!L47+'2.7. sz. Könyvtár'!N47+'2.7. sz. Könyvtár'!P47+'2.7. sz. Könyvtár'!T47+'2.8. sz. Műv.Ház'!D47+'2.8. sz. Műv.Ház'!F47+'2.8. sz. Műv.Ház'!H47+'2.8. sz. Műv.Ház'!L47+'2.8. sz. Műv.Ház'!N47+'2.8. sz. Műv.Ház'!P47+'2.9. sz. Szivárvány Ó.'!D47+'2.9. sz. Szivárvány Ó.'!F47+'2.9. sz. Szivárvány Ó.'!H47+'2.9. sz. Szivárvány Ó.'!J47+'2.9. sz. Szivárvány Ó.'!L47+'2.9. sz. Szivárvány Ó.'!N47</f>
        <v>4727911998</v>
      </c>
      <c r="E46" s="8">
        <f>+'2.1. sz. PMH'!E47+'2.1. sz. PMH'!G47+'2.1. sz. PMH'!M47+'2.1. sz. PMH'!U47+'2.2. sz. Hétszínvirág Óvoda'!E47+'2.2. sz. Hétszínvirág Óvoda'!G47+'2.2. sz. Hétszínvirág Óvoda'!I47+'2.2. sz. Hétszínvirág Óvoda'!K47+'2.2. sz. Hétszínvirág Óvoda'!M47+'2.2. sz. Hétszínvirág Óvoda'!O47+'2.2. sz. Hétszínvirág Óvoda'!S47+'2.2. sz. Hétszínvirág Óvoda'!Q47+'2.3. sz. Mese Óvoda'!E47+'2.3. sz. Mese Óvoda'!G47+'2.3. sz. Mese Óvoda'!I47+'2.3. sz. Mese Óvoda'!K47+'2.3. sz. Mese Óvoda'!M47+'2.3. sz. Mese Óvoda'!O47+'2.4. sz. Bölcsőde'!E47+'2.4. sz. Bölcsőde'!G47+'2.4. sz. Bölcsőde'!I47+'2.4. sz. Bölcsőde'!K47+'2.4. sz. Bölcsőde'!M47+'2.5. sz. Gyermekjóléti'!E47+'2.5. sz. Gyermekjóléti'!G47+'2.5. sz. Gyermekjóléti'!I47+'2.5. sz. Gyermekjóléti'!K47+'2.5. sz. Gyermekjóléti'!M47+'2.5. sz. Gyermekjóléti'!O47+'2.5. sz. Gyermekjóléti'!Q47+'2.6 sz. Területi'!E47+'2.6 sz. Területi'!G47+'2.6 sz. Területi'!I47+'2.6 sz. Területi'!O47+'2.6 sz. Területi'!Q47+'2.6 sz. Területi'!Y47+'2.6 sz. Területi'!AA47+'2.6 sz. Területi'!AC47+'2.6 sz. Területi'!AE47+'2.6 sz. Területi'!AG47+'2.6 sz. Területi'!AI47+'2.6 sz. Területi'!AK47+'2.6 sz. Területi'!AM47+'2.6 sz. Területi'!AQ47+'2.7. sz. Könyvtár'!E47+'2.7. sz. Könyvtár'!G47+'2.7. sz. Könyvtár'!I47+'2.7. sz. Könyvtár'!K47+'2.7. sz. Könyvtár'!M47+'2.7. sz. Könyvtár'!O47+'2.7. sz. Könyvtár'!Q47+'2.7. sz. Könyvtár'!U47+'2.8. sz. Műv.Ház'!E47+'2.8. sz. Műv.Ház'!G47+'2.8. sz. Műv.Ház'!I47+'2.8. sz. Műv.Ház'!M47+'2.8. sz. Műv.Ház'!O47+'2.8. sz. Műv.Ház'!Q47+'2.9. sz. Szivárvány Ó.'!E47+'2.9. sz. Szivárvány Ó.'!G47+'2.9. sz. Szivárvány Ó.'!I47+'2.9. sz. Szivárvány Ó.'!K47+'2.9. sz. Szivárvány Ó.'!M47+'2.9. sz. Szivárvány Ó.'!O47+'2.7. sz. Könyvtár'!S47+'2.6 sz. Területi'!AO47</f>
        <v>5232684457</v>
      </c>
      <c r="F46" s="8">
        <f>+'2.6 sz. Területi'!J47+'2.6 sz. Területi'!L47+'2.6 sz. Területi'!R47+'2.6 sz. Területi'!T47+'2.6 sz. Területi'!V47+'2.8. sz. Műv.Ház'!J47</f>
        <v>3500000</v>
      </c>
      <c r="G46" s="8">
        <f>+'2.6 sz. Területi'!K47+'2.6 sz. Területi'!M47+'2.6 sz. Területi'!S47+'2.6 sz. Területi'!U47+'2.6 sz. Területi'!W47+'2.8. sz. Műv.Ház'!K47</f>
        <v>4761186</v>
      </c>
      <c r="H46" s="8">
        <f>+'2.1. sz. PMH'!H47+'2.1. sz. PMH'!J47+'2.1. sz. PMH'!N47+'2.1. sz. PMH'!P47+'2.1. sz. PMH'!R47</f>
        <v>4100000</v>
      </c>
      <c r="I46" s="8">
        <f>+'2.1. sz. PMH'!I47+'2.1. sz. PMH'!K47+'2.1. sz. PMH'!O47+'2.1. sz. PMH'!Q47+'2.1. sz. PMH'!S47</f>
        <v>5710002</v>
      </c>
      <c r="J46" s="8">
        <f t="shared" si="1"/>
        <v>4735511998</v>
      </c>
      <c r="K46" s="8">
        <f t="shared" si="2"/>
        <v>5243155645</v>
      </c>
      <c r="L46" s="94">
        <f>K46-J46</f>
        <v>507643647</v>
      </c>
    </row>
    <row r="47" spans="1:13" s="39" customFormat="1" ht="23.25" customHeight="1" x14ac:dyDescent="0.25">
      <c r="A47" s="29" t="s">
        <v>282</v>
      </c>
      <c r="B47" s="37" t="s">
        <v>114</v>
      </c>
      <c r="C47" s="30"/>
      <c r="D47" s="8">
        <f>+'2.1. sz. PMH'!D48+'2.1. sz. PMH'!F48+'2.1. sz. PMH'!L48+'2.1. sz. PMH'!T48+'2.2. sz. Hétszínvirág Óvoda'!D48+'2.2. sz. Hétszínvirág Óvoda'!F48+'2.2. sz. Hétszínvirág Óvoda'!H48+'2.2. sz. Hétszínvirág Óvoda'!J48+'2.2. sz. Hétszínvirág Óvoda'!L48+'2.2. sz. Hétszínvirág Óvoda'!N48+'2.2. sz. Hétszínvirág Óvoda'!R48+'2.3. sz. Mese Óvoda'!D48+'2.3. sz. Mese Óvoda'!F48+'2.3. sz. Mese Óvoda'!H48+'2.3. sz. Mese Óvoda'!J48+'2.3. sz. Mese Óvoda'!L48+'2.3. sz. Mese Óvoda'!N48+'2.4. sz. Bölcsőde'!D48+'2.4. sz. Bölcsőde'!F48+'2.4. sz. Bölcsőde'!H48+'2.4. sz. Bölcsőde'!J48+'2.4. sz. Bölcsőde'!L48+'2.5. sz. Gyermekjóléti'!D48+'2.5. sz. Gyermekjóléti'!F48+'2.5. sz. Gyermekjóléti'!H48+'2.5. sz. Gyermekjóléti'!J48+'2.5. sz. Gyermekjóléti'!L48+'2.5. sz. Gyermekjóléti'!N48+'2.5. sz. Gyermekjóléti'!P48+'2.6 sz. Területi'!D48+'2.6 sz. Területi'!F48+'2.6 sz. Területi'!H48+'2.6 sz. Területi'!N48+'2.6 sz. Területi'!P48+'2.6 sz. Területi'!X48+'2.6 sz. Területi'!Z48+'2.6 sz. Területi'!AB48+'2.6 sz. Területi'!AD48+'2.6 sz. Területi'!AF48+'2.6 sz. Területi'!AH48+'2.6 sz. Területi'!AJ48+'2.6 sz. Területi'!AL48+'2.6 sz. Területi'!AP48+'2.7. sz. Könyvtár'!D48+'2.7. sz. Könyvtár'!F48+'2.7. sz. Könyvtár'!H48+'2.7. sz. Könyvtár'!J48+'2.7. sz. Könyvtár'!L48+'2.7. sz. Könyvtár'!N48+'2.7. sz. Könyvtár'!P48+'2.7. sz. Könyvtár'!T48+'2.8. sz. Műv.Ház'!D48+'2.8. sz. Műv.Ház'!F48+'2.8. sz. Műv.Ház'!H48+'2.8. sz. Műv.Ház'!L48+'2.8. sz. Műv.Ház'!N48+'2.8. sz. Műv.Ház'!P48+'2.9. sz. Szivárvány Ó.'!D48+'2.9. sz. Szivárvány Ó.'!F48+'2.9. sz. Szivárvány Ó.'!H48+'2.9. sz. Szivárvány Ó.'!J48+'2.9. sz. Szivárvány Ó.'!L48+'2.9. sz. Szivárvány Ó.'!N48</f>
        <v>80589521</v>
      </c>
      <c r="E47" s="8">
        <f>+'2.1. sz. PMH'!E48+'2.1. sz. PMH'!G48+'2.1. sz. PMH'!M48+'2.1. sz. PMH'!U48+'2.2. sz. Hétszínvirág Óvoda'!E48+'2.2. sz. Hétszínvirág Óvoda'!G48+'2.2. sz. Hétszínvirág Óvoda'!I48+'2.2. sz. Hétszínvirág Óvoda'!K48+'2.2. sz. Hétszínvirág Óvoda'!M48+'2.2. sz. Hétszínvirág Óvoda'!O48+'2.2. sz. Hétszínvirág Óvoda'!S48+'2.2. sz. Hétszínvirág Óvoda'!Q48+'2.3. sz. Mese Óvoda'!E48+'2.3. sz. Mese Óvoda'!G48+'2.3. sz. Mese Óvoda'!I48+'2.3. sz. Mese Óvoda'!K48+'2.3. sz. Mese Óvoda'!M48+'2.3. sz. Mese Óvoda'!O48+'2.4. sz. Bölcsőde'!E48+'2.4. sz. Bölcsőde'!G48+'2.4. sz. Bölcsőde'!I48+'2.4. sz. Bölcsőde'!K48+'2.4. sz. Bölcsőde'!M48+'2.5. sz. Gyermekjóléti'!E48+'2.5. sz. Gyermekjóléti'!G48+'2.5. sz. Gyermekjóléti'!I48+'2.5. sz. Gyermekjóléti'!K48+'2.5. sz. Gyermekjóléti'!M48+'2.5. sz. Gyermekjóléti'!O48+'2.5. sz. Gyermekjóléti'!Q48+'2.6 sz. Területi'!E48+'2.6 sz. Területi'!G48+'2.6 sz. Területi'!I48+'2.6 sz. Területi'!O48+'2.6 sz. Területi'!Q48+'2.6 sz. Területi'!Y48+'2.6 sz. Területi'!AA48+'2.6 sz. Területi'!AC48+'2.6 sz. Területi'!AE48+'2.6 sz. Területi'!AG48+'2.6 sz. Területi'!AI48+'2.6 sz. Területi'!AK48+'2.6 sz. Területi'!AM48+'2.6 sz. Területi'!AQ48+'2.7. sz. Könyvtár'!E48+'2.7. sz. Könyvtár'!G48+'2.7. sz. Könyvtár'!I48+'2.7. sz. Könyvtár'!K48+'2.7. sz. Könyvtár'!M48+'2.7. sz. Könyvtár'!O48+'2.7. sz. Könyvtár'!Q48+'2.7. sz. Könyvtár'!U48+'2.8. sz. Műv.Ház'!E48+'2.8. sz. Műv.Ház'!G48+'2.8. sz. Műv.Ház'!I48+'2.8. sz. Műv.Ház'!M48+'2.8. sz. Műv.Ház'!O48+'2.8. sz. Műv.Ház'!Q48+'2.9. sz. Szivárvány Ó.'!E48+'2.9. sz. Szivárvány Ó.'!G48+'2.9. sz. Szivárvány Ó.'!I48+'2.9. sz. Szivárvány Ó.'!K48+'2.9. sz. Szivárvány Ó.'!M48+'2.9. sz. Szivárvány Ó.'!O48+'2.7. sz. Könyvtár'!S48+'2.6 sz. Területi'!AO48</f>
        <v>101321020</v>
      </c>
      <c r="F47" s="8">
        <f>+'2.6 sz. Területi'!J48+'2.6 sz. Területi'!L48+'2.6 sz. Területi'!R48+'2.6 sz. Területi'!T48+'2.6 sz. Területi'!V48+'2.8. sz. Műv.Ház'!J48</f>
        <v>0</v>
      </c>
      <c r="G47" s="8">
        <f>+'2.6 sz. Területi'!K48+'2.6 sz. Területi'!M48+'2.6 sz. Területi'!S48+'2.6 sz. Területi'!U48+'2.6 sz. Területi'!W48+'2.8. sz. Műv.Ház'!K48</f>
        <v>0</v>
      </c>
      <c r="H47" s="8">
        <f>+'2.1. sz. PMH'!H48+'2.1. sz. PMH'!J48+'2.1. sz. PMH'!N48+'2.1. sz. PMH'!P48+'2.1. sz. PMH'!R48</f>
        <v>0</v>
      </c>
      <c r="I47" s="8">
        <f>+'2.1. sz. PMH'!I48+'2.1. sz. PMH'!K48+'2.1. sz. PMH'!O48+'2.1. sz. PMH'!Q48+'2.1. sz. PMH'!S48</f>
        <v>0</v>
      </c>
      <c r="J47" s="8">
        <f t="shared" si="1"/>
        <v>80589521</v>
      </c>
      <c r="K47" s="8">
        <f t="shared" si="2"/>
        <v>101321020</v>
      </c>
      <c r="L47" s="94">
        <f>K47-J47</f>
        <v>20731499</v>
      </c>
    </row>
    <row r="48" spans="1:13" s="39" customFormat="1" ht="23.25" customHeight="1" x14ac:dyDescent="0.25">
      <c r="A48" s="29" t="s">
        <v>283</v>
      </c>
      <c r="B48" s="37" t="s">
        <v>328</v>
      </c>
      <c r="C48" s="30"/>
      <c r="D48" s="8">
        <f>+'2.1. sz. PMH'!D49+'2.1. sz. PMH'!F49+'2.1. sz. PMH'!L49+'2.1. sz. PMH'!T49+'2.2. sz. Hétszínvirág Óvoda'!D49+'2.2. sz. Hétszínvirág Óvoda'!F49+'2.2. sz. Hétszínvirág Óvoda'!H49+'2.2. sz. Hétszínvirág Óvoda'!J49+'2.2. sz. Hétszínvirág Óvoda'!L49+'2.2. sz. Hétszínvirág Óvoda'!N49+'2.2. sz. Hétszínvirág Óvoda'!R49+'2.3. sz. Mese Óvoda'!D49+'2.3. sz. Mese Óvoda'!F49+'2.3. sz. Mese Óvoda'!H49+'2.3. sz. Mese Óvoda'!J49+'2.3. sz. Mese Óvoda'!L49+'2.3. sz. Mese Óvoda'!N49+'2.4. sz. Bölcsőde'!D49+'2.4. sz. Bölcsőde'!F49+'2.4. sz. Bölcsőde'!H49+'2.4. sz. Bölcsőde'!J49+'2.4. sz. Bölcsőde'!L49+'2.5. sz. Gyermekjóléti'!D49+'2.5. sz. Gyermekjóléti'!F49+'2.5. sz. Gyermekjóléti'!H49+'2.5. sz. Gyermekjóléti'!J49+'2.5. sz. Gyermekjóléti'!L49+'2.5. sz. Gyermekjóléti'!N49+'2.5. sz. Gyermekjóléti'!P49+'2.6 sz. Területi'!D49+'2.6 sz. Területi'!F49+'2.6 sz. Területi'!H49+'2.6 sz. Területi'!N49+'2.6 sz. Területi'!P49+'2.6 sz. Területi'!X49+'2.6 sz. Területi'!Z49+'2.6 sz. Területi'!AB49+'2.6 sz. Területi'!AD49+'2.6 sz. Területi'!AF49+'2.6 sz. Területi'!AH49+'2.6 sz. Területi'!AJ49+'2.6 sz. Területi'!AL49+'2.6 sz. Területi'!AP49+'2.7. sz. Könyvtár'!D49+'2.7. sz. Könyvtár'!F49+'2.7. sz. Könyvtár'!H49+'2.7. sz. Könyvtár'!J49+'2.7. sz. Könyvtár'!L49+'2.7. sz. Könyvtár'!N49+'2.7. sz. Könyvtár'!P49+'2.7. sz. Könyvtár'!T49+'2.8. sz. Műv.Ház'!D49+'2.8. sz. Műv.Ház'!F49+'2.8. sz. Műv.Ház'!H49+'2.8. sz. Műv.Ház'!L49+'2.8. sz. Műv.Ház'!N49+'2.8. sz. Műv.Ház'!P49+'2.9. sz. Szivárvány Ó.'!D49+'2.9. sz. Szivárvány Ó.'!F49+'2.9. sz. Szivárvány Ó.'!H49+'2.9. sz. Szivárvány Ó.'!J49+'2.9. sz. Szivárvány Ó.'!L49+'2.9. sz. Szivárvány Ó.'!N49</f>
        <v>4808501519</v>
      </c>
      <c r="E48" s="8">
        <f>+'2.1. sz. PMH'!E49+'2.1. sz. PMH'!G49+'2.1. sz. PMH'!M49+'2.1. sz. PMH'!U49+'2.2. sz. Hétszínvirág Óvoda'!E49+'2.2. sz. Hétszínvirág Óvoda'!G49+'2.2. sz. Hétszínvirág Óvoda'!I49+'2.2. sz. Hétszínvirág Óvoda'!K49+'2.2. sz. Hétszínvirág Óvoda'!M49+'2.2. sz. Hétszínvirág Óvoda'!O49+'2.2. sz. Hétszínvirág Óvoda'!S49+'2.2. sz. Hétszínvirág Óvoda'!Q49+'2.3. sz. Mese Óvoda'!E49+'2.3. sz. Mese Óvoda'!G49+'2.3. sz. Mese Óvoda'!I49+'2.3. sz. Mese Óvoda'!K49+'2.3. sz. Mese Óvoda'!M49+'2.3. sz. Mese Óvoda'!O49+'2.4. sz. Bölcsőde'!E49+'2.4. sz. Bölcsőde'!G49+'2.4. sz. Bölcsőde'!I49+'2.4. sz. Bölcsőde'!K49+'2.4. sz. Bölcsőde'!M49+'2.5. sz. Gyermekjóléti'!E49+'2.5. sz. Gyermekjóléti'!G49+'2.5. sz. Gyermekjóléti'!I49+'2.5. sz. Gyermekjóléti'!K49+'2.5. sz. Gyermekjóléti'!M49+'2.5. sz. Gyermekjóléti'!O49+'2.5. sz. Gyermekjóléti'!Q49+'2.6 sz. Területi'!E49+'2.6 sz. Területi'!G49+'2.6 sz. Területi'!I49+'2.6 sz. Területi'!O49+'2.6 sz. Területi'!Q49+'2.6 sz. Területi'!Y49+'2.6 sz. Területi'!AA49+'2.6 sz. Területi'!AC49+'2.6 sz. Területi'!AE49+'2.6 sz. Területi'!AG49+'2.6 sz. Területi'!AI49+'2.6 sz. Területi'!AK49+'2.6 sz. Területi'!AM49+'2.6 sz. Területi'!AQ49+'2.7. sz. Könyvtár'!E49+'2.7. sz. Könyvtár'!G49+'2.7. sz. Könyvtár'!I49+'2.7. sz. Könyvtár'!K49+'2.7. sz. Könyvtár'!M49+'2.7. sz. Könyvtár'!O49+'2.7. sz. Könyvtár'!Q49+'2.7. sz. Könyvtár'!U49+'2.8. sz. Műv.Ház'!E49+'2.8. sz. Műv.Ház'!G49+'2.8. sz. Műv.Ház'!I49+'2.8. sz. Műv.Ház'!M49+'2.8. sz. Műv.Ház'!O49+'2.8. sz. Műv.Ház'!Q49+'2.9. sz. Szivárvány Ó.'!E49+'2.9. sz. Szivárvány Ó.'!G49+'2.9. sz. Szivárvány Ó.'!I49+'2.9. sz. Szivárvány Ó.'!K49+'2.9. sz. Szivárvány Ó.'!M49+'2.9. sz. Szivárvány Ó.'!O49+'2.7. sz. Könyvtár'!S49+'2.6 sz. Területi'!AO49</f>
        <v>5334005477</v>
      </c>
      <c r="F48" s="8">
        <f>+'2.6 sz. Területi'!J49+'2.6 sz. Területi'!L49+'2.6 sz. Területi'!R49+'2.6 sz. Területi'!T49+'2.6 sz. Területi'!V49+'2.8. sz. Műv.Ház'!J49</f>
        <v>3500000</v>
      </c>
      <c r="G48" s="8">
        <f>+'2.6 sz. Területi'!K49+'2.6 sz. Területi'!M49+'2.6 sz. Területi'!S49+'2.6 sz. Területi'!U49+'2.6 sz. Területi'!W49+'2.8. sz. Műv.Ház'!K49</f>
        <v>4761186</v>
      </c>
      <c r="H48" s="8">
        <f>+'2.1. sz. PMH'!H49+'2.1. sz. PMH'!J49+'2.1. sz. PMH'!N49+'2.1. sz. PMH'!P49+'2.1. sz. PMH'!R49</f>
        <v>4100000</v>
      </c>
      <c r="I48" s="8">
        <f>+'2.1. sz. PMH'!I49+'2.1. sz. PMH'!K49+'2.1. sz. PMH'!O49+'2.1. sz. PMH'!Q49+'2.1. sz. PMH'!S49</f>
        <v>5710002</v>
      </c>
      <c r="J48" s="8">
        <f t="shared" si="1"/>
        <v>4816101519</v>
      </c>
      <c r="K48" s="8">
        <f t="shared" si="2"/>
        <v>5344476665</v>
      </c>
      <c r="L48" s="94">
        <f>K48-J48</f>
        <v>528375146</v>
      </c>
      <c r="M48" s="95">
        <f>J48-J29</f>
        <v>0</v>
      </c>
    </row>
    <row r="49" spans="1:12" ht="23.25" customHeight="1" x14ac:dyDescent="0.25">
      <c r="A49" s="29" t="s">
        <v>284</v>
      </c>
      <c r="B49" s="414" t="s">
        <v>437</v>
      </c>
      <c r="C49" s="207"/>
      <c r="D49" s="8">
        <f>+'2.1. sz. PMH'!D50+'2.1. sz. PMH'!F50+'2.1. sz. PMH'!L50+'2.1. sz. PMH'!T50+'2.2. sz. Hétszínvirág Óvoda'!D50+'2.2. sz. Hétszínvirág Óvoda'!F50+'2.2. sz. Hétszínvirág Óvoda'!H50+'2.2. sz. Hétszínvirág Óvoda'!J50+'2.2. sz. Hétszínvirág Óvoda'!L50+'2.2. sz. Hétszínvirág Óvoda'!N50+'2.2. sz. Hétszínvirág Óvoda'!R50+'2.3. sz. Mese Óvoda'!D50+'2.3. sz. Mese Óvoda'!F50+'2.3. sz. Mese Óvoda'!H50+'2.3. sz. Mese Óvoda'!J50+'2.3. sz. Mese Óvoda'!L50+'2.3. sz. Mese Óvoda'!N50+'2.4. sz. Bölcsőde'!D50+'2.4. sz. Bölcsőde'!F50+'2.4. sz. Bölcsőde'!H50+'2.4. sz. Bölcsőde'!J50+'2.4. sz. Bölcsőde'!L50+'2.5. sz. Gyermekjóléti'!D50+'2.5. sz. Gyermekjóléti'!F50+'2.5. sz. Gyermekjóléti'!H50+'2.5. sz. Gyermekjóléti'!J50+'2.5. sz. Gyermekjóléti'!L50+'2.5. sz. Gyermekjóléti'!N50+'2.5. sz. Gyermekjóléti'!P50+'2.6 sz. Területi'!D50+'2.6 sz. Területi'!F50+'2.6 sz. Területi'!H50+'2.6 sz. Területi'!N50+'2.6 sz. Területi'!P50+'2.6 sz. Területi'!X50+'2.6 sz. Területi'!Z50+'2.6 sz. Területi'!AB50+'2.6 sz. Területi'!AD50+'2.6 sz. Területi'!AF50+'2.6 sz. Területi'!AH50+'2.6 sz. Területi'!AJ50+'2.6 sz. Területi'!AL50+'2.6 sz. Területi'!AP50+'2.7. sz. Könyvtár'!D50+'2.7. sz. Könyvtár'!F50+'2.7. sz. Könyvtár'!H50+'2.7. sz. Könyvtár'!J50+'2.7. sz. Könyvtár'!L50+'2.7. sz. Könyvtár'!N50+'2.7. sz. Könyvtár'!P50+'2.7. sz. Könyvtár'!T50+'2.8. sz. Műv.Ház'!D50+'2.8. sz. Műv.Ház'!F50+'2.8. sz. Műv.Ház'!H50+'2.8. sz. Műv.Ház'!L50+'2.8. sz. Műv.Ház'!N50+'2.8. sz. Műv.Ház'!P50+'2.9. sz. Szivárvány Ó.'!D50+'2.9. sz. Szivárvány Ó.'!F50+'2.9. sz. Szivárvány Ó.'!H50+'2.9. sz. Szivárvány Ó.'!J50+'2.9. sz. Szivárvány Ó.'!L50+'2.9. sz. Szivárvány Ó.'!N50</f>
        <v>338</v>
      </c>
      <c r="E49" s="8">
        <f>+'2.1. sz. PMH'!E50+'2.1. sz. PMH'!G50+'2.1. sz. PMH'!M50+'2.1. sz. PMH'!U50+'2.2. sz. Hétszínvirág Óvoda'!E50+'2.2. sz. Hétszínvirág Óvoda'!G50+'2.2. sz. Hétszínvirág Óvoda'!I50+'2.2. sz. Hétszínvirág Óvoda'!K50+'2.2. sz. Hétszínvirág Óvoda'!M50+'2.2. sz. Hétszínvirág Óvoda'!O50+'2.2. sz. Hétszínvirág Óvoda'!S50+'2.2. sz. Hétszínvirág Óvoda'!Q50+'2.3. sz. Mese Óvoda'!E50+'2.3. sz. Mese Óvoda'!G50+'2.3. sz. Mese Óvoda'!I50+'2.3. sz. Mese Óvoda'!K50+'2.3. sz. Mese Óvoda'!M50+'2.3. sz. Mese Óvoda'!O50+'2.4. sz. Bölcsőde'!E50+'2.4. sz. Bölcsőde'!G50+'2.4. sz. Bölcsőde'!I50+'2.4. sz. Bölcsőde'!K50+'2.4. sz. Bölcsőde'!M50+'2.5. sz. Gyermekjóléti'!E50+'2.5. sz. Gyermekjóléti'!G50+'2.5. sz. Gyermekjóléti'!I50+'2.5. sz. Gyermekjóléti'!K50+'2.5. sz. Gyermekjóléti'!M50+'2.5. sz. Gyermekjóléti'!O50+'2.5. sz. Gyermekjóléti'!Q50+'2.6 sz. Területi'!E50+'2.6 sz. Területi'!G50+'2.6 sz. Területi'!I50+'2.6 sz. Területi'!O50+'2.6 sz. Területi'!Q50+'2.6 sz. Területi'!Y50+'2.6 sz. Területi'!AA50+'2.6 sz. Területi'!AC50+'2.6 sz. Területi'!AE50+'2.6 sz. Területi'!AG50+'2.6 sz. Területi'!AI50+'2.6 sz. Területi'!AK50+'2.6 sz. Területi'!AM50+'2.6 sz. Területi'!AQ50+'2.7. sz. Könyvtár'!E50+'2.7. sz. Könyvtár'!G50+'2.7. sz. Könyvtár'!I50+'2.7. sz. Könyvtár'!K50+'2.7. sz. Könyvtár'!M50+'2.7. sz. Könyvtár'!O50+'2.7. sz. Könyvtár'!Q50+'2.7. sz. Könyvtár'!U50+'2.8. sz. Műv.Ház'!E50+'2.8. sz. Műv.Ház'!G50+'2.8. sz. Műv.Ház'!I50+'2.8. sz. Műv.Ház'!M50+'2.8. sz. Műv.Ház'!O50+'2.8. sz. Műv.Ház'!Q50+'2.9. sz. Szivárvány Ó.'!E50+'2.9. sz. Szivárvány Ó.'!G50+'2.9. sz. Szivárvány Ó.'!I50+'2.9. sz. Szivárvány Ó.'!K50+'2.9. sz. Szivárvány Ó.'!M50+'2.9. sz. Szivárvány Ó.'!O50+'2.7. sz. Könyvtár'!S50+'2.6 sz. Területi'!AO50</f>
        <v>343</v>
      </c>
      <c r="F49" s="8">
        <f>+'2.6 sz. Területi'!J50+'2.6 sz. Területi'!L50+'2.6 sz. Területi'!R50+'2.6 sz. Területi'!T50+'2.6 sz. Területi'!V50+'2.8. sz. Műv.Ház'!J50</f>
        <v>11</v>
      </c>
      <c r="G49" s="8">
        <f>+'2.6 sz. Területi'!K50+'2.6 sz. Területi'!M50+'2.6 sz. Területi'!S50+'2.6 sz. Területi'!U50+'2.6 sz. Területi'!W50+'2.8. sz. Műv.Ház'!K50</f>
        <v>11</v>
      </c>
      <c r="H49" s="8">
        <f>+'2.1. sz. PMH'!H50+'2.1. sz. PMH'!J50+'2.1. sz. PMH'!N50+'2.1. sz. PMH'!P50+'2.1. sz. PMH'!R50</f>
        <v>9</v>
      </c>
      <c r="I49" s="8">
        <f>+'2.1. sz. PMH'!I50+'2.1. sz. PMH'!K50+'2.1. sz. PMH'!O50+'2.1. sz. PMH'!Q50+'2.1. sz. PMH'!S50</f>
        <v>9</v>
      </c>
      <c r="J49" s="8">
        <f t="shared" si="1"/>
        <v>358</v>
      </c>
      <c r="K49" s="8">
        <f t="shared" si="2"/>
        <v>363</v>
      </c>
      <c r="L49" s="94">
        <f>K49-J49</f>
        <v>5</v>
      </c>
    </row>
    <row r="50" spans="1:12" ht="23.25" customHeight="1" x14ac:dyDescent="0.25">
      <c r="A50" s="29" t="s">
        <v>285</v>
      </c>
      <c r="B50" s="55" t="s">
        <v>1346</v>
      </c>
      <c r="C50" s="207"/>
      <c r="D50" s="7">
        <f>+'2.1. sz. PMH'!D51+'2.1. sz. PMH'!F51+'2.1. sz. PMH'!L51+'2.1. sz. PMH'!T51+'2.2. sz. Hétszínvirág Óvoda'!D51+'2.2. sz. Hétszínvirág Óvoda'!F51+'2.2. sz. Hétszínvirág Óvoda'!H51+'2.2. sz. Hétszínvirág Óvoda'!J51+'2.2. sz. Hétszínvirág Óvoda'!L51+'2.2. sz. Hétszínvirág Óvoda'!N51+'2.2. sz. Hétszínvirág Óvoda'!R51+'2.3. sz. Mese Óvoda'!D51+'2.3. sz. Mese Óvoda'!F51+'2.3. sz. Mese Óvoda'!H51+'2.3. sz. Mese Óvoda'!J51+'2.3. sz. Mese Óvoda'!L51+'2.3. sz. Mese Óvoda'!N51+'2.4. sz. Bölcsőde'!D51+'2.4. sz. Bölcsőde'!F51+'2.4. sz. Bölcsőde'!H51+'2.4. sz. Bölcsőde'!J51+'2.4. sz. Bölcsőde'!L51+'2.5. sz. Gyermekjóléti'!D51+'2.5. sz. Gyermekjóléti'!F51+'2.5. sz. Gyermekjóléti'!H51+'2.5. sz. Gyermekjóléti'!J51+'2.5. sz. Gyermekjóléti'!L51+'2.5. sz. Gyermekjóléti'!N51+'2.5. sz. Gyermekjóléti'!P51+'2.6 sz. Területi'!D51+'2.6 sz. Területi'!F51+'2.6 sz. Területi'!H51+'2.6 sz. Területi'!N51+'2.6 sz. Területi'!P51+'2.6 sz. Területi'!X51+'2.6 sz. Területi'!Z51+'2.6 sz. Területi'!AB51+'2.6 sz. Területi'!AD51+'2.6 sz. Területi'!AF51+'2.6 sz. Területi'!AH51+'2.6 sz. Területi'!AJ51+'2.6 sz. Területi'!AL51+'2.6 sz. Területi'!AP51+'2.7. sz. Könyvtár'!D51+'2.7. sz. Könyvtár'!F51+'2.7. sz. Könyvtár'!H51+'2.7. sz. Könyvtár'!J51+'2.7. sz. Könyvtár'!L51+'2.7. sz. Könyvtár'!N51+'2.7. sz. Könyvtár'!P51+'2.7. sz. Könyvtár'!T51+'2.8. sz. Műv.Ház'!D51+'2.8. sz. Műv.Ház'!F51+'2.8. sz. Műv.Ház'!H51+'2.8. sz. Műv.Ház'!L51+'2.8. sz. Műv.Ház'!N51+'2.8. sz. Műv.Ház'!P51+'2.9. sz. Szivárvány Ó.'!D51+'2.9. sz. Szivárvány Ó.'!F51+'2.9. sz. Szivárvány Ó.'!H51+'2.9. sz. Szivárvány Ó.'!J51+'2.9. sz. Szivárvány Ó.'!L51+'2.9. sz. Szivárvány Ó.'!N51</f>
        <v>0</v>
      </c>
      <c r="E50" s="7">
        <f>+'2.1. sz. PMH'!E51+'2.1. sz. PMH'!G51+'2.1. sz. PMH'!M51+'2.1. sz. PMH'!U51+'2.2. sz. Hétszínvirág Óvoda'!E51+'2.2. sz. Hétszínvirág Óvoda'!G51+'2.2. sz. Hétszínvirág Óvoda'!I51+'2.2. sz. Hétszínvirág Óvoda'!K51+'2.2. sz. Hétszínvirág Óvoda'!M51+'2.2. sz. Hétszínvirág Óvoda'!O51+'2.2. sz. Hétszínvirág Óvoda'!S51+'2.2. sz. Hétszínvirág Óvoda'!Q51+'2.3. sz. Mese Óvoda'!E51+'2.3. sz. Mese Óvoda'!G51+'2.3. sz. Mese Óvoda'!I51+'2.3. sz. Mese Óvoda'!K51+'2.3. sz. Mese Óvoda'!M51+'2.3. sz. Mese Óvoda'!O51+'2.4. sz. Bölcsőde'!E51+'2.4. sz. Bölcsőde'!G51+'2.4. sz. Bölcsőde'!I51+'2.4. sz. Bölcsőde'!K51+'2.4. sz. Bölcsőde'!M51+'2.5. sz. Gyermekjóléti'!E51+'2.5. sz. Gyermekjóléti'!G51+'2.5. sz. Gyermekjóléti'!I51+'2.5. sz. Gyermekjóléti'!K51+'2.5. sz. Gyermekjóléti'!M51+'2.5. sz. Gyermekjóléti'!O51+'2.5. sz. Gyermekjóléti'!Q51+'2.6 sz. Területi'!E51+'2.6 sz. Területi'!G51+'2.6 sz. Területi'!I51+'2.6 sz. Területi'!O51+'2.6 sz. Területi'!Q51+'2.6 sz. Területi'!Y51+'2.6 sz. Területi'!AA51+'2.6 sz. Területi'!AC51+'2.6 sz. Területi'!AE51+'2.6 sz. Területi'!AG51+'2.6 sz. Területi'!AI51+'2.6 sz. Területi'!AK51+'2.6 sz. Területi'!AM51+'2.6 sz. Területi'!AQ51+'2.7. sz. Könyvtár'!E51+'2.7. sz. Könyvtár'!G51+'2.7. sz. Könyvtár'!I51+'2.7. sz. Könyvtár'!K51+'2.7. sz. Könyvtár'!M51+'2.7. sz. Könyvtár'!O51+'2.7. sz. Könyvtár'!Q51+'2.7. sz. Könyvtár'!U51+'2.8. sz. Műv.Ház'!E51+'2.8. sz. Műv.Ház'!G51+'2.8. sz. Műv.Ház'!I51+'2.8. sz. Műv.Ház'!M51+'2.8. sz. Műv.Ház'!O51+'2.8. sz. Műv.Ház'!Q51+'2.9. sz. Szivárvány Ó.'!E51+'2.9. sz. Szivárvány Ó.'!G51+'2.9. sz. Szivárvány Ó.'!I51+'2.9. sz. Szivárvány Ó.'!K51+'2.9. sz. Szivárvány Ó.'!M51+'2.9. sz. Szivárvány Ó.'!O51+'2.7. sz. Könyvtár'!S51+'2.6 sz. Területi'!AO51</f>
        <v>0</v>
      </c>
      <c r="F50" s="7">
        <f>+'2.6 sz. Területi'!J51+'2.6 sz. Területi'!L51+'2.6 sz. Területi'!R51+'2.6 sz. Területi'!T51+'2.6 sz. Területi'!V51+'2.8. sz. Műv.Ház'!J51</f>
        <v>0</v>
      </c>
      <c r="G50" s="7">
        <f>+'2.6 sz. Területi'!K51+'2.6 sz. Területi'!M51+'2.6 sz. Területi'!S51+'2.6 sz. Területi'!U51+'2.6 sz. Területi'!W51+'2.8. sz. Műv.Ház'!K51</f>
        <v>0</v>
      </c>
      <c r="H50" s="7">
        <f>+'2.1. sz. PMH'!H51+'2.1. sz. PMH'!J51+'2.1. sz. PMH'!N51+'2.1. sz. PMH'!P51+'2.1. sz. PMH'!R51</f>
        <v>0</v>
      </c>
      <c r="I50" s="7">
        <f>+'2.1. sz. PMH'!I51+'2.1. sz. PMH'!K51+'2.1. sz. PMH'!O51+'2.1. sz. PMH'!Q51+'2.1. sz. PMH'!S51</f>
        <v>0</v>
      </c>
      <c r="J50" s="243"/>
      <c r="K50" s="7">
        <f t="shared" si="2"/>
        <v>0</v>
      </c>
      <c r="L50" s="94"/>
    </row>
    <row r="51" spans="1:12" x14ac:dyDescent="0.25">
      <c r="A51" s="68"/>
      <c r="D51" s="20"/>
      <c r="E51" s="20"/>
      <c r="F51" s="20"/>
      <c r="G51" s="20"/>
      <c r="H51" s="20"/>
      <c r="I51" s="20"/>
      <c r="J51" s="20"/>
    </row>
    <row r="52" spans="1:12" x14ac:dyDescent="0.25">
      <c r="D52" s="14"/>
      <c r="E52" s="14"/>
      <c r="F52" s="14"/>
      <c r="G52" s="14"/>
      <c r="H52" s="14"/>
      <c r="I52" s="14"/>
      <c r="J52" s="14"/>
    </row>
    <row r="53" spans="1:12" x14ac:dyDescent="0.25">
      <c r="D53" s="14"/>
      <c r="E53" s="14"/>
      <c r="F53" s="14"/>
      <c r="G53" s="14"/>
      <c r="H53" s="14"/>
      <c r="I53" s="14"/>
      <c r="J53" s="14"/>
    </row>
    <row r="54" spans="1:12" ht="18.75" x14ac:dyDescent="0.3">
      <c r="J54" s="1345">
        <f>+J48-J29</f>
        <v>0</v>
      </c>
      <c r="K54" s="1345">
        <f>+K48-K29</f>
        <v>0</v>
      </c>
    </row>
  </sheetData>
  <mergeCells count="15">
    <mergeCell ref="K4:K6"/>
    <mergeCell ref="J4:J6"/>
    <mergeCell ref="A2:C2"/>
    <mergeCell ref="B4:C4"/>
    <mergeCell ref="B5:C5"/>
    <mergeCell ref="A3:A6"/>
    <mergeCell ref="B3:C3"/>
    <mergeCell ref="D4:D6"/>
    <mergeCell ref="F4:F6"/>
    <mergeCell ref="H4:H6"/>
    <mergeCell ref="D2:G2"/>
    <mergeCell ref="E4:E6"/>
    <mergeCell ref="G4:G6"/>
    <mergeCell ref="H2:K2"/>
    <mergeCell ref="I4:I6"/>
  </mergeCells>
  <phoneticPr fontId="50" type="noConversion"/>
  <printOptions horizontalCentered="1" verticalCentered="1"/>
  <pageMargins left="0.74803149606299213" right="0.74803149606299213" top="0.98425196850393704" bottom="0.98425196850393704" header="0.51181102362204722" footer="0.51181102362204722"/>
  <pageSetup paperSize="9" scale="55" orientation="portrait" r:id="rId1"/>
  <headerFooter alignWithMargins="0">
    <oddHeader>&amp;C2023. évi költségvetés&amp;R&amp;A</oddHeader>
    <oddFooter>&amp;C&amp;P/&amp;N</oddFooter>
  </headerFooter>
  <colBreaks count="1" manualBreakCount="1">
    <brk id="7" max="4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V72"/>
  <sheetViews>
    <sheetView view="pageBreakPreview" zoomScale="70" zoomScaleNormal="80" zoomScaleSheetLayoutView="70" workbookViewId="0">
      <pane xSplit="3" ySplit="7" topLeftCell="F38" activePane="bottomRight" state="frozen"/>
      <selection pane="topRight" activeCell="D1" sqref="D1"/>
      <selection pane="bottomLeft" activeCell="A8" sqref="A8"/>
      <selection pane="bottomRight" activeCell="K64" sqref="K64"/>
    </sheetView>
  </sheetViews>
  <sheetFormatPr defaultColWidth="11.140625" defaultRowHeight="15.75" x14ac:dyDescent="0.25"/>
  <cols>
    <col min="1" max="1" width="7.140625" style="6" customWidth="1"/>
    <col min="2" max="2" width="71.28515625" style="4" customWidth="1"/>
    <col min="3" max="3" width="7.28515625" style="4" customWidth="1"/>
    <col min="4" max="5" width="20.42578125" style="4" customWidth="1"/>
    <col min="6" max="7" width="19.7109375" style="4" customWidth="1"/>
    <col min="8" max="9" width="17.7109375" style="4" customWidth="1"/>
    <col min="10" max="11" width="20.28515625" style="4" customWidth="1"/>
    <col min="12" max="12" width="26.85546875" style="4" customWidth="1"/>
    <col min="13" max="13" width="28.28515625" style="4" customWidth="1"/>
    <col min="14" max="14" width="19.5703125" style="4" bestFit="1" customWidth="1"/>
    <col min="15" max="15" width="20.28515625" style="4" bestFit="1" customWidth="1"/>
    <col min="16" max="16" width="21.140625" style="4" customWidth="1"/>
    <col min="17" max="17" width="18.42578125" style="4" bestFit="1" customWidth="1"/>
    <col min="18" max="18" width="19.5703125" style="4" bestFit="1" customWidth="1"/>
    <col min="19" max="19" width="3.5703125" style="4" customWidth="1"/>
    <col min="20" max="27" width="9.140625" style="4" customWidth="1"/>
    <col min="28" max="28" width="7.140625" style="4" customWidth="1"/>
    <col min="29" max="29" width="58.28515625" style="4" bestFit="1" customWidth="1"/>
    <col min="30" max="30" width="6.85546875" style="4" bestFit="1" customWidth="1"/>
    <col min="31" max="31" width="11.28515625" style="4" customWidth="1"/>
    <col min="32" max="32" width="9.42578125" style="4" customWidth="1"/>
    <col min="33" max="33" width="12.7109375" style="4" customWidth="1"/>
    <col min="34" max="34" width="14.7109375" style="4" customWidth="1"/>
    <col min="35" max="40" width="13" style="4" customWidth="1"/>
    <col min="41" max="41" width="6.85546875" style="4" customWidth="1"/>
    <col min="42" max="42" width="15.7109375" style="4" customWidth="1"/>
    <col min="43" max="44" width="11.140625" style="4" bestFit="1" customWidth="1"/>
    <col min="45" max="45" width="15.42578125" style="4" customWidth="1"/>
    <col min="46" max="46" width="13.7109375" style="4" customWidth="1"/>
    <col min="47" max="47" width="12.85546875" style="4" customWidth="1"/>
    <col min="48" max="48" width="14.140625" style="4" bestFit="1" customWidth="1"/>
    <col min="49" max="49" width="14.140625" style="4" customWidth="1"/>
    <col min="50" max="50" width="14.140625" style="4" bestFit="1" customWidth="1"/>
    <col min="51" max="51" width="12.42578125" style="4" customWidth="1"/>
    <col min="52" max="52" width="11.140625" style="4" bestFit="1" customWidth="1"/>
    <col min="53" max="53" width="15.140625" style="4" bestFit="1" customWidth="1"/>
    <col min="54" max="54" width="11.140625" style="4" bestFit="1" customWidth="1"/>
    <col min="55" max="55" width="12.42578125" style="4" customWidth="1"/>
    <col min="56" max="56" width="12.7109375" style="4" customWidth="1"/>
    <col min="57" max="57" width="12.28515625" style="4" customWidth="1"/>
    <col min="58" max="58" width="14.28515625" style="4" customWidth="1"/>
    <col min="59" max="60" width="14.140625" style="4" customWidth="1"/>
    <col min="61" max="61" width="15.140625" style="4" bestFit="1" customWidth="1"/>
    <col min="62" max="62" width="12.7109375" style="4" customWidth="1"/>
    <col min="63" max="63" width="12.28515625" style="4" customWidth="1"/>
    <col min="64" max="64" width="13.28515625" style="4" customWidth="1"/>
    <col min="65" max="66" width="11.140625" style="4" bestFit="1" customWidth="1"/>
    <col min="67" max="67" width="15.28515625" style="4" customWidth="1"/>
    <col min="68" max="70" width="13.7109375" style="4" customWidth="1"/>
    <col min="71" max="72" width="12.42578125" style="4" bestFit="1" customWidth="1"/>
    <col min="73" max="73" width="13.140625" style="4" bestFit="1" customWidth="1"/>
    <col min="74" max="74" width="14" style="4" customWidth="1"/>
    <col min="75" max="75" width="15" style="4" customWidth="1"/>
    <col min="76" max="76" width="13.85546875" style="4" customWidth="1"/>
    <col min="77" max="77" width="14.7109375" style="4" bestFit="1" customWidth="1"/>
    <col min="78" max="79" width="11.140625" style="4" bestFit="1" customWidth="1"/>
    <col min="80" max="80" width="11.140625" style="4" customWidth="1"/>
    <col min="81" max="83" width="11.140625" style="4" bestFit="1" customWidth="1"/>
    <col min="84" max="85" width="11.140625" style="4" customWidth="1"/>
    <col min="86" max="86" width="11.140625" style="4" bestFit="1" customWidth="1"/>
    <col min="87" max="89" width="11.140625" style="4" customWidth="1"/>
    <col min="90" max="16384" width="11.140625" style="4"/>
  </cols>
  <sheetData>
    <row r="1" spans="1:22" ht="19.5" customHeight="1" x14ac:dyDescent="0.25">
      <c r="A1" s="5"/>
      <c r="B1" s="3"/>
      <c r="C1" s="3"/>
      <c r="G1" s="41" t="s">
        <v>431</v>
      </c>
      <c r="J1" s="41"/>
      <c r="K1" s="41" t="s">
        <v>431</v>
      </c>
      <c r="L1" s="41"/>
      <c r="M1" s="41" t="s">
        <v>431</v>
      </c>
    </row>
    <row r="2" spans="1:22" ht="32.25" customHeight="1" x14ac:dyDescent="0.25">
      <c r="A2" s="1719" t="s">
        <v>252</v>
      </c>
      <c r="B2" s="1719"/>
      <c r="C2" s="1719"/>
      <c r="D2" s="1778" t="s">
        <v>158</v>
      </c>
      <c r="E2" s="1780"/>
      <c r="F2" s="1780"/>
      <c r="G2" s="1779"/>
      <c r="H2" s="1778" t="s">
        <v>158</v>
      </c>
      <c r="I2" s="1780"/>
      <c r="J2" s="1780"/>
      <c r="K2" s="1779"/>
      <c r="L2" s="1778" t="s">
        <v>158</v>
      </c>
      <c r="M2" s="1779"/>
    </row>
    <row r="3" spans="1:22" ht="38.25" customHeight="1" x14ac:dyDescent="0.25">
      <c r="A3" s="1720" t="s">
        <v>186</v>
      </c>
      <c r="B3" s="1719" t="s">
        <v>244</v>
      </c>
      <c r="C3" s="1719"/>
      <c r="D3" s="1601" t="s">
        <v>273</v>
      </c>
      <c r="E3" s="1611" t="s">
        <v>1561</v>
      </c>
      <c r="F3" s="1601" t="s">
        <v>273</v>
      </c>
      <c r="G3" s="1611" t="s">
        <v>1561</v>
      </c>
      <c r="H3" s="1601" t="s">
        <v>273</v>
      </c>
      <c r="I3" s="1611" t="s">
        <v>1561</v>
      </c>
      <c r="J3" s="1601" t="s">
        <v>273</v>
      </c>
      <c r="K3" s="1611" t="s">
        <v>1561</v>
      </c>
      <c r="L3" s="1601" t="s">
        <v>273</v>
      </c>
      <c r="M3" s="1611" t="s">
        <v>1561</v>
      </c>
    </row>
    <row r="4" spans="1:22" ht="27" customHeight="1" x14ac:dyDescent="0.25">
      <c r="A4" s="1720"/>
      <c r="B4" s="1719" t="s">
        <v>11</v>
      </c>
      <c r="C4" s="1719"/>
      <c r="D4" s="1724" t="s">
        <v>222</v>
      </c>
      <c r="E4" s="1724" t="s">
        <v>222</v>
      </c>
      <c r="F4" s="1724" t="s">
        <v>326</v>
      </c>
      <c r="G4" s="1724" t="s">
        <v>326</v>
      </c>
      <c r="H4" s="1724" t="s">
        <v>224</v>
      </c>
      <c r="I4" s="1724" t="s">
        <v>224</v>
      </c>
      <c r="J4" s="1724" t="s">
        <v>243</v>
      </c>
      <c r="K4" s="1724" t="s">
        <v>243</v>
      </c>
      <c r="L4" s="1736" t="s">
        <v>1977</v>
      </c>
      <c r="M4" s="1736" t="s">
        <v>1977</v>
      </c>
      <c r="O4" s="14">
        <f>+J8+J9+J10+J11+J12</f>
        <v>9487367785</v>
      </c>
    </row>
    <row r="5" spans="1:22" ht="25.5" customHeight="1" x14ac:dyDescent="0.25">
      <c r="A5" s="1720"/>
      <c r="B5" s="1719" t="s">
        <v>713</v>
      </c>
      <c r="C5" s="1719"/>
      <c r="D5" s="1724"/>
      <c r="E5" s="1724"/>
      <c r="F5" s="1724"/>
      <c r="G5" s="1724"/>
      <c r="H5" s="1724"/>
      <c r="I5" s="1724"/>
      <c r="J5" s="1724"/>
      <c r="K5" s="1724"/>
      <c r="L5" s="1736"/>
      <c r="M5" s="1736"/>
      <c r="O5" s="14">
        <f>+J16+J17+J18</f>
        <v>1774384830</v>
      </c>
    </row>
    <row r="6" spans="1:22" ht="98.25" customHeight="1" x14ac:dyDescent="0.25">
      <c r="A6" s="1720"/>
      <c r="B6" s="97" t="s">
        <v>187</v>
      </c>
      <c r="C6" s="98" t="s">
        <v>245</v>
      </c>
      <c r="D6" s="1724"/>
      <c r="E6" s="1724"/>
      <c r="F6" s="1724"/>
      <c r="G6" s="1724"/>
      <c r="H6" s="1724"/>
      <c r="I6" s="1724"/>
      <c r="J6" s="1724"/>
      <c r="K6" s="1724"/>
      <c r="L6" s="1737"/>
      <c r="M6" s="1737"/>
    </row>
    <row r="7" spans="1:22" ht="16.5" customHeight="1" x14ac:dyDescent="0.25">
      <c r="A7" s="99" t="s">
        <v>188</v>
      </c>
      <c r="B7" s="100" t="s">
        <v>189</v>
      </c>
      <c r="C7" s="100" t="s">
        <v>190</v>
      </c>
      <c r="D7" s="100" t="s">
        <v>191</v>
      </c>
      <c r="E7" s="100" t="s">
        <v>192</v>
      </c>
      <c r="F7" s="100" t="s">
        <v>193</v>
      </c>
      <c r="G7" s="100" t="s">
        <v>194</v>
      </c>
      <c r="H7" s="100" t="s">
        <v>195</v>
      </c>
      <c r="I7" s="100" t="s">
        <v>196</v>
      </c>
      <c r="J7" s="100" t="s">
        <v>197</v>
      </c>
      <c r="K7" s="100" t="s">
        <v>198</v>
      </c>
      <c r="L7" s="100" t="s">
        <v>225</v>
      </c>
      <c r="M7" s="100" t="s">
        <v>226</v>
      </c>
    </row>
    <row r="8" spans="1:22" ht="24.75" customHeight="1" x14ac:dyDescent="0.25">
      <c r="A8" s="9" t="s">
        <v>188</v>
      </c>
      <c r="B8" s="98" t="s">
        <v>329</v>
      </c>
      <c r="C8" s="1" t="s">
        <v>199</v>
      </c>
      <c r="D8" s="7">
        <f>+'1.b sz. Önkormányzat  '!BX8+'2.10. sz. Intézmények összesen'!D8</f>
        <v>2633806821</v>
      </c>
      <c r="E8" s="7">
        <f>+'1.b sz. Önkormányzat  '!BY8+'2.10. sz. Intézmények összesen'!E8</f>
        <v>2773810276</v>
      </c>
      <c r="F8" s="7">
        <f>+'1.b sz. Önkormányzat  '!BZ8+'2.10. sz. Intézmények összesen'!F8</f>
        <v>162441630</v>
      </c>
      <c r="G8" s="7">
        <f>+'1.b sz. Önkormányzat  '!CA8+'2.10. sz. Intézmények összesen'!G8</f>
        <v>172490851</v>
      </c>
      <c r="H8" s="7">
        <f>+'1.b sz. Önkormányzat  '!CB8+'2.10. sz. Intézmények összesen'!H8</f>
        <v>89135993</v>
      </c>
      <c r="I8" s="7">
        <f>+'1.b sz. Önkormányzat  '!CC8+'2.10. sz. Intézmények összesen'!I8</f>
        <v>94531096</v>
      </c>
      <c r="J8" s="7">
        <f>D8+F8+H8</f>
        <v>2885384444</v>
      </c>
      <c r="K8" s="7">
        <f>E8+G8+I8</f>
        <v>3040832223</v>
      </c>
      <c r="L8" s="7">
        <f>+'1.b sz. Önkormányzat  '!CF8</f>
        <v>0</v>
      </c>
      <c r="M8" s="7">
        <f>+'1.b sz. Önkormányzat  '!CG8</f>
        <v>1739280</v>
      </c>
      <c r="N8" s="14">
        <f>+D8+F8+H8</f>
        <v>2885384444</v>
      </c>
      <c r="O8" s="14">
        <f>+N8-J8</f>
        <v>0</v>
      </c>
      <c r="P8" s="14"/>
    </row>
    <row r="9" spans="1:22" s="2" customFormat="1" ht="24.75" customHeight="1" x14ac:dyDescent="0.25">
      <c r="A9" s="9" t="s">
        <v>189</v>
      </c>
      <c r="B9" s="101" t="s">
        <v>200</v>
      </c>
      <c r="C9" s="1" t="s">
        <v>201</v>
      </c>
      <c r="D9" s="7">
        <f>+'1.b sz. Önkormányzat  '!BX9+'2.10. sz. Intézmények összesen'!D9</f>
        <v>390670745</v>
      </c>
      <c r="E9" s="7">
        <f>+'1.b sz. Önkormányzat  '!BY9+'2.10. sz. Intézmények összesen'!E9</f>
        <v>409506473</v>
      </c>
      <c r="F9" s="7">
        <f>+'1.b sz. Önkormányzat  '!BZ9+'2.10. sz. Intézmények összesen'!F9</f>
        <v>20946152</v>
      </c>
      <c r="G9" s="7">
        <f>+'1.b sz. Önkormányzat  '!CA9+'2.10. sz. Intézmények összesen'!G9</f>
        <v>25455065</v>
      </c>
      <c r="H9" s="7">
        <f>+'1.b sz. Önkormányzat  '!CB9+'2.10. sz. Intézmények összesen'!H9</f>
        <v>12470179</v>
      </c>
      <c r="I9" s="7">
        <f>+'1.b sz. Önkormányzat  '!CC9+'2.10. sz. Intézmények összesen'!I9</f>
        <v>13307179</v>
      </c>
      <c r="J9" s="7">
        <f t="shared" ref="J9:K50" si="0">D9+F9+H9</f>
        <v>424087076</v>
      </c>
      <c r="K9" s="7">
        <f t="shared" ref="K9:K50" si="1">E9+G9+I9</f>
        <v>448268717</v>
      </c>
      <c r="L9" s="7">
        <f>+'1.b sz. Önkormányzat  '!CF9</f>
        <v>0</v>
      </c>
      <c r="M9" s="7">
        <f>+'1.b sz. Önkormányzat  '!CG9</f>
        <v>203496</v>
      </c>
      <c r="N9" s="14">
        <f t="shared" ref="N9:N25" si="2">+D9+F9+H9</f>
        <v>424087076</v>
      </c>
      <c r="O9" s="14">
        <f t="shared" ref="O9:O25" si="3">+N9-J9</f>
        <v>0</v>
      </c>
      <c r="P9" s="261"/>
    </row>
    <row r="10" spans="1:22" ht="24.75" customHeight="1" x14ac:dyDescent="0.3">
      <c r="A10" s="9" t="s">
        <v>190</v>
      </c>
      <c r="B10" s="101" t="s">
        <v>330</v>
      </c>
      <c r="C10" s="1" t="s">
        <v>202</v>
      </c>
      <c r="D10" s="7">
        <f>+'1.b sz. Önkormányzat  '!BX10+'2.10. sz. Intézmények összesen'!D10</f>
        <v>3020412263</v>
      </c>
      <c r="E10" s="7">
        <f>+'1.b sz. Önkormányzat  '!BY10+'2.10. sz. Intézmények összesen'!E10</f>
        <v>3910224953</v>
      </c>
      <c r="F10" s="7">
        <f>+'1.b sz. Önkormányzat  '!BZ10+'2.10. sz. Intézmények összesen'!F10</f>
        <v>426696892</v>
      </c>
      <c r="G10" s="7">
        <f>+'1.b sz. Önkormányzat  '!CA10+'2.10. sz. Intézmények összesen'!G10</f>
        <v>577423477</v>
      </c>
      <c r="H10" s="7">
        <f>+'1.b sz. Önkormányzat  '!CB10+'2.10. sz. Intézmények összesen'!H10</f>
        <v>45940612</v>
      </c>
      <c r="I10" s="7">
        <f>+'1.b sz. Önkormányzat  '!CC10+'2.10. sz. Intézmények összesen'!I10</f>
        <v>43367011</v>
      </c>
      <c r="J10" s="7">
        <f t="shared" si="0"/>
        <v>3493049767</v>
      </c>
      <c r="K10" s="7">
        <f t="shared" si="1"/>
        <v>4531015441</v>
      </c>
      <c r="L10" s="7">
        <f>+'1.b sz. Önkormányzat  '!CF10</f>
        <v>0</v>
      </c>
      <c r="M10" s="7">
        <f>+'1.b sz. Önkormányzat  '!CG10</f>
        <v>48755700</v>
      </c>
      <c r="N10" s="14">
        <f t="shared" si="2"/>
        <v>3493049767</v>
      </c>
      <c r="O10" s="14">
        <f t="shared" si="3"/>
        <v>0</v>
      </c>
      <c r="Q10" s="1355">
        <f>+'4.sz.Felhalm.c.pe.átadás'!L22</f>
        <v>43477245</v>
      </c>
      <c r="R10" s="179">
        <f>+Q10-K19</f>
        <v>0</v>
      </c>
      <c r="S10" s="1346"/>
      <c r="T10" s="1356" t="s">
        <v>1817</v>
      </c>
      <c r="U10" s="1356"/>
      <c r="V10" s="1347"/>
    </row>
    <row r="11" spans="1:22" ht="24.75" customHeight="1" x14ac:dyDescent="0.3">
      <c r="A11" s="9" t="s">
        <v>191</v>
      </c>
      <c r="B11" s="102" t="s">
        <v>331</v>
      </c>
      <c r="C11" s="1" t="s">
        <v>203</v>
      </c>
      <c r="D11" s="7">
        <f>+'1.b sz. Önkormányzat  '!BX11+'2.10. sz. Intézmények összesen'!D11</f>
        <v>46000000</v>
      </c>
      <c r="E11" s="7">
        <f>+'1.b sz. Önkormányzat  '!BY11+'2.10. sz. Intézmények összesen'!E11</f>
        <v>46000000</v>
      </c>
      <c r="F11" s="7">
        <f>+'1.b sz. Önkormányzat  '!BZ11+'2.10. sz. Intézmények összesen'!F11</f>
        <v>0</v>
      </c>
      <c r="G11" s="7">
        <f>+'1.b sz. Önkormányzat  '!CA11+'2.10. sz. Intézmények összesen'!G11</f>
        <v>0</v>
      </c>
      <c r="H11" s="7">
        <f>+'1.b sz. Önkormányzat  '!CB11+'2.10. sz. Intézmények összesen'!H11</f>
        <v>0</v>
      </c>
      <c r="I11" s="7">
        <f>+'1.b sz. Önkormányzat  '!CC11+'2.10. sz. Intézmények összesen'!I11</f>
        <v>0</v>
      </c>
      <c r="J11" s="7">
        <f t="shared" si="0"/>
        <v>46000000</v>
      </c>
      <c r="K11" s="7">
        <f t="shared" si="1"/>
        <v>46000000</v>
      </c>
      <c r="L11" s="7">
        <f>+'1.b sz. Önkormányzat  '!CF11</f>
        <v>0</v>
      </c>
      <c r="M11" s="7">
        <f>+'1.b sz. Önkormányzat  '!CG11</f>
        <v>0</v>
      </c>
      <c r="N11" s="14">
        <f t="shared" si="2"/>
        <v>46000000</v>
      </c>
      <c r="O11" s="14">
        <f t="shared" si="3"/>
        <v>0</v>
      </c>
      <c r="Q11" s="1357">
        <f>+'5.sz.Műk.c.pe.átadás'!J146</f>
        <v>409989155</v>
      </c>
      <c r="R11" s="14">
        <f>+Q11-K13</f>
        <v>0</v>
      </c>
      <c r="T11" s="1349" t="s">
        <v>1818</v>
      </c>
      <c r="U11" s="1349"/>
      <c r="V11" s="1350"/>
    </row>
    <row r="12" spans="1:22" ht="24.75" customHeight="1" x14ac:dyDescent="0.3">
      <c r="A12" s="9" t="s">
        <v>192</v>
      </c>
      <c r="B12" s="102" t="s">
        <v>234</v>
      </c>
      <c r="C12" s="1" t="s">
        <v>204</v>
      </c>
      <c r="D12" s="7">
        <f>+'1.b sz. Önkormányzat  '!BX12+'2.10. sz. Intézmények összesen'!D12</f>
        <v>2456759698</v>
      </c>
      <c r="E12" s="7">
        <f>+'1.b sz. Önkormányzat  '!BY12+'2.10. sz. Intézmények összesen'!E12</f>
        <v>4007715770</v>
      </c>
      <c r="F12" s="8">
        <f>+'1.b sz. Önkormányzat  '!BZ12+'2.10. sz. Intézmények összesen'!F12</f>
        <v>182086800</v>
      </c>
      <c r="G12" s="8">
        <f>+'1.b sz. Önkormányzat  '!CA12+'2.10. sz. Intézmények összesen'!G12</f>
        <v>230763305</v>
      </c>
      <c r="H12" s="8">
        <f>+'1.b sz. Önkormányzat  '!CB12+'2.10. sz. Intézmények összesen'!H12</f>
        <v>0</v>
      </c>
      <c r="I12" s="8">
        <f>+'1.b sz. Önkormányzat  '!CC12+'2.10. sz. Intézmények összesen'!I12</f>
        <v>5109250</v>
      </c>
      <c r="J12" s="8">
        <f t="shared" si="0"/>
        <v>2638846498</v>
      </c>
      <c r="K12" s="8">
        <f t="shared" si="1"/>
        <v>4243588325</v>
      </c>
      <c r="L12" s="8">
        <f>+'1.b sz. Önkormányzat  '!CF12</f>
        <v>34976162</v>
      </c>
      <c r="M12" s="8">
        <f>+'1.b sz. Önkormányzat  '!CG12</f>
        <v>29016236</v>
      </c>
      <c r="N12" s="14">
        <f t="shared" si="2"/>
        <v>2638846498</v>
      </c>
      <c r="O12" s="14">
        <f t="shared" si="3"/>
        <v>0</v>
      </c>
      <c r="Q12" s="1357">
        <f>+'6.sz. Beruházások'!E185</f>
        <v>2375780545</v>
      </c>
      <c r="R12" s="14">
        <f>+Q12-K16</f>
        <v>0</v>
      </c>
      <c r="T12" s="1349" t="s">
        <v>1819</v>
      </c>
      <c r="U12" s="1349"/>
      <c r="V12" s="1350"/>
    </row>
    <row r="13" spans="1:22" ht="24.75" customHeight="1" x14ac:dyDescent="0.3">
      <c r="A13" s="9" t="s">
        <v>193</v>
      </c>
      <c r="B13" s="103" t="s">
        <v>126</v>
      </c>
      <c r="C13" s="1"/>
      <c r="D13" s="7">
        <f>+'1.b sz. Önkormányzat  '!BX13+'2.10. sz. Intézmények összesen'!D13</f>
        <v>174116600</v>
      </c>
      <c r="E13" s="7">
        <f>+'1.b sz. Önkormányzat  '!BY13+'2.10. sz. Intézmények összesen'!E13</f>
        <v>174116600</v>
      </c>
      <c r="F13" s="7">
        <f>+'1.b sz. Önkormányzat  '!BZ13+'2.10. sz. Intézmények összesen'!F13</f>
        <v>182086800</v>
      </c>
      <c r="G13" s="7">
        <f>+'1.b sz. Önkormányzat  '!CA13+'2.10. sz. Intézmények összesen'!G13</f>
        <v>230763305</v>
      </c>
      <c r="H13" s="7">
        <f>+'1.b sz. Önkormányzat  '!CB13+'2.10. sz. Intézmények összesen'!H13</f>
        <v>0</v>
      </c>
      <c r="I13" s="7">
        <f>+'1.b sz. Önkormányzat  '!CC13+'2.10. sz. Intézmények összesen'!I13</f>
        <v>5109250</v>
      </c>
      <c r="J13" s="7">
        <f t="shared" si="0"/>
        <v>356203400</v>
      </c>
      <c r="K13" s="7">
        <f>E13+G13+I13</f>
        <v>409989155</v>
      </c>
      <c r="L13" s="7">
        <f>+'1.b sz. Önkormányzat  '!CF13</f>
        <v>0</v>
      </c>
      <c r="M13" s="7">
        <f>+'1.b sz. Önkormányzat  '!CG13</f>
        <v>0</v>
      </c>
      <c r="N13" s="14">
        <f t="shared" si="2"/>
        <v>356203400</v>
      </c>
      <c r="O13" s="14">
        <f t="shared" si="3"/>
        <v>0</v>
      </c>
      <c r="Q13" s="1357">
        <f>+'7. sz. Felújítások'!E30</f>
        <v>334136454</v>
      </c>
      <c r="R13" s="14">
        <f>+Q13-K17</f>
        <v>0</v>
      </c>
      <c r="T13" s="1352" t="s">
        <v>1820</v>
      </c>
      <c r="U13" s="1352"/>
      <c r="V13" s="1350"/>
    </row>
    <row r="14" spans="1:22" s="18" customFormat="1" ht="24.75" customHeight="1" x14ac:dyDescent="0.3">
      <c r="A14" s="9" t="s">
        <v>194</v>
      </c>
      <c r="B14" s="103" t="s">
        <v>116</v>
      </c>
      <c r="C14" s="16"/>
      <c r="D14" s="7">
        <f>+'1.b sz. Önkormányzat  '!BX14+'2.10. sz. Intézmények összesen'!D14</f>
        <v>1023175490</v>
      </c>
      <c r="E14" s="7">
        <f>+'1.b sz. Önkormányzat  '!BY14+'2.10. sz. Intézmények összesen'!E14</f>
        <v>2462142663</v>
      </c>
      <c r="F14" s="7">
        <f>+'1.b sz. Önkormányzat  '!BZ14+'2.10. sz. Intézmények összesen'!F14</f>
        <v>0</v>
      </c>
      <c r="G14" s="7">
        <f>+'1.b sz. Önkormányzat  '!CA14+'2.10. sz. Intézmények összesen'!G14</f>
        <v>0</v>
      </c>
      <c r="H14" s="7">
        <f>+'1.b sz. Önkormányzat  '!CB14+'2.10. sz. Intézmények összesen'!H14</f>
        <v>0</v>
      </c>
      <c r="I14" s="7">
        <f>+'1.b sz. Önkormányzat  '!CC14+'2.10. sz. Intézmények összesen'!I14</f>
        <v>0</v>
      </c>
      <c r="J14" s="7">
        <f t="shared" si="0"/>
        <v>1023175490</v>
      </c>
      <c r="K14" s="7">
        <f t="shared" si="1"/>
        <v>2462142663</v>
      </c>
      <c r="L14" s="7">
        <f>+'1.b sz. Önkormányzat  '!CF14</f>
        <v>34976162</v>
      </c>
      <c r="M14" s="7">
        <f>+'1.b sz. Önkormányzat  '!CG14</f>
        <v>29016236</v>
      </c>
      <c r="N14" s="14">
        <f t="shared" si="2"/>
        <v>1023175490</v>
      </c>
      <c r="O14" s="14">
        <f t="shared" si="3"/>
        <v>0</v>
      </c>
      <c r="Q14" s="1357">
        <f>+'8.sz.Tartalékok'!D70</f>
        <v>2462142663</v>
      </c>
      <c r="R14" s="1351">
        <f>+Q14-K14</f>
        <v>0</v>
      </c>
      <c r="T14" s="1352" t="s">
        <v>1821</v>
      </c>
      <c r="U14" s="1352"/>
      <c r="V14" s="1353"/>
    </row>
    <row r="15" spans="1:22" s="18" customFormat="1" ht="24.75" customHeight="1" x14ac:dyDescent="0.3">
      <c r="A15" s="9" t="s">
        <v>195</v>
      </c>
      <c r="B15" s="103" t="s">
        <v>550</v>
      </c>
      <c r="C15" s="16"/>
      <c r="D15" s="7">
        <f>+'1.b sz. Önkormányzat  '!BX15+'2.10. sz. Intézmények összesen'!D15</f>
        <v>1259467608</v>
      </c>
      <c r="E15" s="7">
        <f>+'1.b sz. Önkormányzat  '!BY15+'2.10. sz. Intézmények összesen'!E15</f>
        <v>1371456507</v>
      </c>
      <c r="F15" s="7">
        <f>+'1.b sz. Önkormányzat  '!BZ15+'2.10. sz. Intézmények összesen'!F15</f>
        <v>0</v>
      </c>
      <c r="G15" s="7">
        <f>+'1.b sz. Önkormányzat  '!CA15+'2.10. sz. Intézmények összesen'!G15</f>
        <v>0</v>
      </c>
      <c r="H15" s="7">
        <f>+'1.b sz. Önkormányzat  '!CB15+'2.10. sz. Intézmények összesen'!H15</f>
        <v>0</v>
      </c>
      <c r="I15" s="7">
        <f>+'1.b sz. Önkormányzat  '!CC15+'2.10. sz. Intézmények összesen'!I15</f>
        <v>0</v>
      </c>
      <c r="J15" s="7">
        <f t="shared" si="0"/>
        <v>1259467608</v>
      </c>
      <c r="K15" s="7">
        <f t="shared" si="1"/>
        <v>1371456507</v>
      </c>
      <c r="L15" s="7">
        <f>+'1.b sz. Önkormányzat  '!CF15</f>
        <v>0</v>
      </c>
      <c r="M15" s="7">
        <f>+'1.b sz. Önkormányzat  '!CG15</f>
        <v>0</v>
      </c>
      <c r="N15" s="14">
        <f t="shared" si="2"/>
        <v>1259467608</v>
      </c>
      <c r="O15" s="14">
        <f t="shared" si="3"/>
        <v>0</v>
      </c>
      <c r="Q15" s="1357">
        <f>+'9.sz. Szociális'!F21</f>
        <v>46000000</v>
      </c>
      <c r="R15" s="1351">
        <f>+Q15-K11</f>
        <v>0</v>
      </c>
      <c r="T15" s="1349" t="s">
        <v>1822</v>
      </c>
      <c r="U15" s="1349"/>
      <c r="V15" s="1353"/>
    </row>
    <row r="16" spans="1:22" s="2" customFormat="1" ht="24.75" customHeight="1" x14ac:dyDescent="0.3">
      <c r="A16" s="9" t="s">
        <v>196</v>
      </c>
      <c r="B16" s="104" t="s">
        <v>241</v>
      </c>
      <c r="C16" s="1" t="s">
        <v>205</v>
      </c>
      <c r="D16" s="7">
        <f>+'1.b sz. Önkormányzat  '!BX16+'2.10. sz. Intézmények összesen'!D16</f>
        <v>1328895185</v>
      </c>
      <c r="E16" s="7">
        <f>+'1.b sz. Önkormányzat  '!BY16+'2.10. sz. Intézmények összesen'!E16</f>
        <v>1896334571</v>
      </c>
      <c r="F16" s="7">
        <f>+'1.b sz. Önkormányzat  '!BZ16+'2.10. sz. Intézmények összesen'!F16</f>
        <v>136846850</v>
      </c>
      <c r="G16" s="7">
        <f>+'1.b sz. Önkormányzat  '!CA16+'2.10. sz. Intézmények összesen'!G16</f>
        <v>465691874</v>
      </c>
      <c r="H16" s="7">
        <f>+'1.b sz. Önkormányzat  '!CB16+'2.10. sz. Intézmények összesen'!H16</f>
        <v>13754100</v>
      </c>
      <c r="I16" s="7">
        <f>+'1.b sz. Önkormányzat  '!CC16+'2.10. sz. Intézmények összesen'!I16</f>
        <v>13754100</v>
      </c>
      <c r="J16" s="7">
        <f t="shared" si="0"/>
        <v>1479496135</v>
      </c>
      <c r="K16" s="7">
        <f t="shared" si="1"/>
        <v>2375780545</v>
      </c>
      <c r="L16" s="7">
        <f>+'1.b sz. Önkormányzat  '!CF16</f>
        <v>50000000</v>
      </c>
      <c r="M16" s="7">
        <f>+'1.b sz. Önkormányzat  '!CG16</f>
        <v>365921397</v>
      </c>
      <c r="N16" s="14">
        <f t="shared" si="2"/>
        <v>1479496135</v>
      </c>
      <c r="O16" s="14">
        <f t="shared" si="3"/>
        <v>0</v>
      </c>
      <c r="Q16" s="1357">
        <f>+'10.sz.Intézményfinanszírozás'!E16</f>
        <v>4479932615</v>
      </c>
      <c r="R16" s="1348">
        <f>+Q16-K23</f>
        <v>0</v>
      </c>
      <c r="T16" s="1349" t="s">
        <v>1823</v>
      </c>
      <c r="U16" s="1349"/>
      <c r="V16" s="1354"/>
    </row>
    <row r="17" spans="1:22" s="2" customFormat="1" ht="24.75" customHeight="1" x14ac:dyDescent="0.3">
      <c r="A17" s="9" t="s">
        <v>197</v>
      </c>
      <c r="B17" s="102" t="s">
        <v>332</v>
      </c>
      <c r="C17" s="1" t="s">
        <v>206</v>
      </c>
      <c r="D17" s="7">
        <f>+'1.b sz. Önkormányzat  '!BX17+'2.10. sz. Intézmények összesen'!D17</f>
        <v>266068695</v>
      </c>
      <c r="E17" s="7">
        <f>+'1.b sz. Önkormányzat  '!BY17+'2.10. sz. Intézmények összesen'!E17</f>
        <v>333818954</v>
      </c>
      <c r="F17" s="7">
        <f>+'1.b sz. Önkormányzat  '!BZ17+'2.10. sz. Intézmények összesen'!F17</f>
        <v>0</v>
      </c>
      <c r="G17" s="7">
        <f>+'1.b sz. Önkormányzat  '!CA17+'2.10. sz. Intézmények összesen'!G17</f>
        <v>317500</v>
      </c>
      <c r="H17" s="7">
        <f>+'1.b sz. Önkormányzat  '!CB17+'2.10. sz. Intézmények összesen'!H17</f>
        <v>0</v>
      </c>
      <c r="I17" s="7">
        <f>+'1.b sz. Önkormányzat  '!CC17+'2.10. sz. Intézmények összesen'!I17</f>
        <v>0</v>
      </c>
      <c r="J17" s="7">
        <f t="shared" si="0"/>
        <v>266068695</v>
      </c>
      <c r="K17" s="7">
        <f t="shared" si="1"/>
        <v>334136454</v>
      </c>
      <c r="L17" s="7">
        <f>+'1.b sz. Önkormányzat  '!CF17</f>
        <v>0</v>
      </c>
      <c r="M17" s="7">
        <f>+'1.b sz. Önkormányzat  '!CG17</f>
        <v>0</v>
      </c>
      <c r="N17" s="14">
        <f t="shared" si="2"/>
        <v>266068695</v>
      </c>
      <c r="O17" s="14">
        <f t="shared" si="3"/>
        <v>0</v>
      </c>
      <c r="Q17" s="1357">
        <f>+'10.sz.Intézményfinanszírozás'!G16</f>
        <v>76927599</v>
      </c>
      <c r="R17" s="1348">
        <f>+Q17-K24</f>
        <v>0</v>
      </c>
      <c r="T17" s="1349" t="s">
        <v>1824</v>
      </c>
      <c r="U17" s="1349"/>
      <c r="V17" s="1354"/>
    </row>
    <row r="18" spans="1:22" ht="24.75" customHeight="1" x14ac:dyDescent="0.3">
      <c r="A18" s="9" t="s">
        <v>198</v>
      </c>
      <c r="B18" s="102" t="s">
        <v>235</v>
      </c>
      <c r="C18" s="1" t="s">
        <v>207</v>
      </c>
      <c r="D18" s="7">
        <f>+'1.b sz. Önkormányzat  '!BX18+'2.10. sz. Intézmények összesen'!D18</f>
        <v>10000000</v>
      </c>
      <c r="E18" s="7">
        <f>+'1.b sz. Önkormányzat  '!BY18+'2.10. sz. Intézmények összesen'!E18</f>
        <v>14000000</v>
      </c>
      <c r="F18" s="8">
        <f>+'1.b sz. Önkormányzat  '!BZ18+'2.10. sz. Intézmények összesen'!F18</f>
        <v>18820000</v>
      </c>
      <c r="G18" s="8">
        <f>+'1.b sz. Önkormányzat  '!CA18+'2.10. sz. Intézmények összesen'!G18</f>
        <v>29477245</v>
      </c>
      <c r="H18" s="8">
        <f>+'1.b sz. Önkormányzat  '!CB18+'2.10. sz. Intézmények összesen'!H18</f>
        <v>0</v>
      </c>
      <c r="I18" s="8">
        <f>+'1.b sz. Önkormányzat  '!CC18+'2.10. sz. Intézmények összesen'!I18</f>
        <v>0</v>
      </c>
      <c r="J18" s="8">
        <f t="shared" si="0"/>
        <v>28820000</v>
      </c>
      <c r="K18" s="8">
        <f t="shared" si="1"/>
        <v>43477245</v>
      </c>
      <c r="L18" s="8">
        <f>+'1.b sz. Önkormányzat  '!CF18</f>
        <v>0</v>
      </c>
      <c r="M18" s="8">
        <f>+'1.b sz. Önkormányzat  '!CG18</f>
        <v>0</v>
      </c>
      <c r="N18" s="14">
        <f t="shared" si="2"/>
        <v>28820000</v>
      </c>
      <c r="O18" s="14">
        <f t="shared" si="3"/>
        <v>0</v>
      </c>
      <c r="Q18" s="1357">
        <f>+'11.b.sz.Állami támogatás'!G80</f>
        <v>2378729164</v>
      </c>
      <c r="R18" s="1348">
        <f>+Q18-'1.b sz. Önkormányzat  '!BS30</f>
        <v>0</v>
      </c>
      <c r="T18" s="1349" t="s">
        <v>1825</v>
      </c>
      <c r="V18" s="1350"/>
    </row>
    <row r="19" spans="1:22" ht="24.75" customHeight="1" x14ac:dyDescent="0.25">
      <c r="A19" s="9" t="s">
        <v>225</v>
      </c>
      <c r="B19" s="103" t="s">
        <v>125</v>
      </c>
      <c r="C19" s="1"/>
      <c r="D19" s="7">
        <f>+'1.b sz. Önkormányzat  '!BX19+'2.10. sz. Intézmények összesen'!D19</f>
        <v>10000000</v>
      </c>
      <c r="E19" s="7">
        <f>+'1.b sz. Önkormányzat  '!BY19+'2.10. sz. Intézmények összesen'!E19</f>
        <v>14000000</v>
      </c>
      <c r="F19" s="7">
        <f>+'1.b sz. Önkormányzat  '!BZ19+'2.10. sz. Intézmények összesen'!F19</f>
        <v>18820000</v>
      </c>
      <c r="G19" s="7">
        <f>+'1.b sz. Önkormányzat  '!CA19+'2.10. sz. Intézmények összesen'!G19</f>
        <v>29477245</v>
      </c>
      <c r="H19" s="7">
        <f>+'1.b sz. Önkormányzat  '!CB19+'2.10. sz. Intézmények összesen'!H19</f>
        <v>0</v>
      </c>
      <c r="I19" s="7">
        <f>+'1.b sz. Önkormányzat  '!CC19+'2.10. sz. Intézmények összesen'!I19</f>
        <v>0</v>
      </c>
      <c r="J19" s="7">
        <f t="shared" si="0"/>
        <v>28820000</v>
      </c>
      <c r="K19" s="7">
        <f t="shared" si="1"/>
        <v>43477245</v>
      </c>
      <c r="L19" s="7">
        <f>+'1.b sz. Önkormányzat  '!CF19</f>
        <v>0</v>
      </c>
      <c r="M19" s="7">
        <f>+'1.b sz. Önkormányzat  '!CG19</f>
        <v>0</v>
      </c>
      <c r="N19" s="14">
        <f t="shared" si="2"/>
        <v>28820000</v>
      </c>
      <c r="O19" s="14">
        <f t="shared" si="3"/>
        <v>0</v>
      </c>
      <c r="Q19" s="1358"/>
      <c r="R19" s="1359"/>
      <c r="S19" s="1360"/>
      <c r="T19" s="1360"/>
      <c r="U19" s="1360"/>
      <c r="V19" s="1361"/>
    </row>
    <row r="20" spans="1:22" s="2" customFormat="1" ht="24.75" customHeight="1" x14ac:dyDescent="0.25">
      <c r="A20" s="9" t="s">
        <v>226</v>
      </c>
      <c r="B20" s="104" t="s">
        <v>236</v>
      </c>
      <c r="C20" s="1" t="s">
        <v>208</v>
      </c>
      <c r="D20" s="7">
        <f>+'1.b sz. Önkormányzat  '!BX20+'2.10. sz. Intézmények összesen'!D20</f>
        <v>10152613407</v>
      </c>
      <c r="E20" s="7">
        <f>+'1.b sz. Önkormányzat  '!BY20+'2.10. sz. Intézmények összesen'!E20</f>
        <v>13391410997</v>
      </c>
      <c r="F20" s="8">
        <f>+'1.b sz. Önkormányzat  '!BZ20+'2.10. sz. Intézmények összesen'!F20</f>
        <v>947838324</v>
      </c>
      <c r="G20" s="8">
        <f>+'1.b sz. Önkormányzat  '!CA20+'2.10. sz. Intézmények összesen'!G20</f>
        <v>1501619317</v>
      </c>
      <c r="H20" s="8">
        <f>+'1.b sz. Önkormányzat  '!CB20+'2.10. sz. Intézmények összesen'!H20</f>
        <v>161300884</v>
      </c>
      <c r="I20" s="8">
        <f>+'1.b sz. Önkormányzat  '!CC20+'2.10. sz. Intézmények összesen'!I20</f>
        <v>170068636</v>
      </c>
      <c r="J20" s="8">
        <f t="shared" si="0"/>
        <v>11261752615</v>
      </c>
      <c r="K20" s="8">
        <f t="shared" si="0"/>
        <v>15063098950</v>
      </c>
      <c r="L20" s="8">
        <f>+'1.b sz. Önkormányzat  '!CF20</f>
        <v>84976162</v>
      </c>
      <c r="M20" s="8">
        <f>+'1.b sz. Önkormányzat  '!CG20</f>
        <v>445636109</v>
      </c>
      <c r="N20" s="14">
        <f t="shared" si="2"/>
        <v>11261752615</v>
      </c>
      <c r="O20" s="14">
        <f t="shared" si="3"/>
        <v>0</v>
      </c>
      <c r="Q20" s="261"/>
    </row>
    <row r="21" spans="1:22" s="2" customFormat="1" ht="24.75" customHeight="1" x14ac:dyDescent="0.25">
      <c r="A21" s="9" t="s">
        <v>227</v>
      </c>
      <c r="B21" s="104" t="s">
        <v>221</v>
      </c>
      <c r="C21" s="1" t="s">
        <v>217</v>
      </c>
      <c r="D21" s="7">
        <f>+'1.b sz. Önkormányzat  '!BX21+'2.10. sz. Intézmények összesen'!D21</f>
        <v>4421629466</v>
      </c>
      <c r="E21" s="7">
        <f>+'1.b sz. Önkormányzat  '!BY21+'2.10. sz. Intézmények összesen'!E21</f>
        <v>4946839628</v>
      </c>
      <c r="F21" s="8">
        <f>+'1.b sz. Önkormányzat  '!BZ21+'2.10. sz. Intézmények összesen'!F21</f>
        <v>28182624</v>
      </c>
      <c r="G21" s="8">
        <f>+'1.b sz. Önkormányzat  '!CA21+'2.10. sz. Intézmények összesen'!G21</f>
        <v>28182624</v>
      </c>
      <c r="H21" s="8">
        <f>+'1.b sz. Önkormányzat  '!CB21+'2.10. sz. Intézmények összesen'!H21</f>
        <v>0</v>
      </c>
      <c r="I21" s="8">
        <f>+'1.b sz. Önkormányzat  '!CC21+'2.10. sz. Intézmények összesen'!I21</f>
        <v>0</v>
      </c>
      <c r="J21" s="8">
        <f t="shared" si="0"/>
        <v>4449812090</v>
      </c>
      <c r="K21" s="8">
        <f t="shared" si="1"/>
        <v>4975022252</v>
      </c>
      <c r="L21" s="8">
        <f>+'1.b sz. Önkormányzat  '!CF21</f>
        <v>0</v>
      </c>
      <c r="M21" s="8">
        <f>+'1.b sz. Önkormányzat  '!CG21</f>
        <v>0</v>
      </c>
      <c r="N21" s="14">
        <f t="shared" si="2"/>
        <v>4449812090</v>
      </c>
      <c r="O21" s="14">
        <f t="shared" si="3"/>
        <v>0</v>
      </c>
      <c r="P21" s="261"/>
    </row>
    <row r="22" spans="1:22" s="17" customFormat="1" ht="21.75" customHeight="1" x14ac:dyDescent="0.25">
      <c r="A22" s="9" t="s">
        <v>228</v>
      </c>
      <c r="B22" s="33" t="s">
        <v>821</v>
      </c>
      <c r="C22" s="16"/>
      <c r="D22" s="7">
        <f>+'1.b sz. Önkormányzat  '!BX22+'2.10. sz. Intézmények összesen'!D22</f>
        <v>72036518</v>
      </c>
      <c r="E22" s="7">
        <f>+'1.b sz. Önkormányzat  '!BY22+'2.10. sz. Intézmények összesen'!E22</f>
        <v>389979414</v>
      </c>
      <c r="F22" s="7">
        <f>+'1.b sz. Önkormányzat  '!BZ22+'2.10. sz. Intézmények összesen'!F22</f>
        <v>0</v>
      </c>
      <c r="G22" s="7">
        <f>+'1.b sz. Önkormányzat  '!CA22+'2.10. sz. Intézmények összesen'!G22</f>
        <v>0</v>
      </c>
      <c r="H22" s="7">
        <f>+'1.b sz. Önkormányzat  '!CB22+'2.10. sz. Intézmények összesen'!H22</f>
        <v>0</v>
      </c>
      <c r="I22" s="7">
        <f>+'1.b sz. Önkormányzat  '!CC22+'2.10. sz. Intézmények összesen'!I22</f>
        <v>0</v>
      </c>
      <c r="J22" s="7">
        <f t="shared" si="0"/>
        <v>72036518</v>
      </c>
      <c r="K22" s="7">
        <f t="shared" si="1"/>
        <v>389979414</v>
      </c>
      <c r="L22" s="7">
        <f>+'1.b sz. Önkormányzat  '!CF22</f>
        <v>0</v>
      </c>
      <c r="M22" s="7">
        <f>+'1.b sz. Önkormányzat  '!CG22</f>
        <v>0</v>
      </c>
      <c r="N22" s="14">
        <f t="shared" si="2"/>
        <v>72036518</v>
      </c>
      <c r="O22" s="14">
        <f t="shared" si="3"/>
        <v>0</v>
      </c>
    </row>
    <row r="23" spans="1:22" s="17" customFormat="1" ht="24.75" customHeight="1" x14ac:dyDescent="0.25">
      <c r="A23" s="9" t="s">
        <v>229</v>
      </c>
      <c r="B23" s="105" t="s">
        <v>553</v>
      </c>
      <c r="C23" s="16"/>
      <c r="D23" s="7">
        <f>+'1.b sz. Önkormányzat  '!BX23+'2.10. sz. Intézmények összesen'!D23</f>
        <v>4291386848</v>
      </c>
      <c r="E23" s="7">
        <f>+'1.b sz. Önkormányzat  '!BY23+'2.10. sz. Intézmények összesen'!E23</f>
        <v>4479932615</v>
      </c>
      <c r="F23" s="7">
        <f>+'1.b sz. Önkormányzat  '!BZ23+'2.10. sz. Intézmények összesen'!F23</f>
        <v>0</v>
      </c>
      <c r="G23" s="7">
        <f>+'1.b sz. Önkormányzat  '!CA23+'2.10. sz. Intézmények összesen'!G23</f>
        <v>0</v>
      </c>
      <c r="H23" s="7">
        <f>+'1.b sz. Önkormányzat  '!CB23+'2.10. sz. Intézmények összesen'!H23</f>
        <v>0</v>
      </c>
      <c r="I23" s="7">
        <f>+'1.b sz. Önkormányzat  '!CC23+'2.10. sz. Intézmények összesen'!I23</f>
        <v>0</v>
      </c>
      <c r="J23" s="7">
        <f t="shared" si="0"/>
        <v>4291386848</v>
      </c>
      <c r="K23" s="7">
        <f t="shared" si="1"/>
        <v>4479932615</v>
      </c>
      <c r="L23" s="7">
        <f>+'1.b sz. Önkormányzat  '!CF23</f>
        <v>0</v>
      </c>
      <c r="M23" s="7">
        <f>+'1.b sz. Önkormányzat  '!CG23</f>
        <v>0</v>
      </c>
      <c r="N23" s="14">
        <f t="shared" si="2"/>
        <v>4291386848</v>
      </c>
      <c r="O23" s="14">
        <f t="shared" si="3"/>
        <v>0</v>
      </c>
    </row>
    <row r="24" spans="1:22" s="17" customFormat="1" ht="24.75" customHeight="1" x14ac:dyDescent="0.25">
      <c r="A24" s="9" t="s">
        <v>230</v>
      </c>
      <c r="B24" s="105" t="s">
        <v>554</v>
      </c>
      <c r="C24" s="16"/>
      <c r="D24" s="7">
        <f>+'1.b sz. Önkormányzat  '!BX24+'2.10. sz. Intézmények összesen'!D24</f>
        <v>58206100</v>
      </c>
      <c r="E24" s="7">
        <f>+'1.b sz. Önkormányzat  '!BY24+'2.10. sz. Intézmények összesen'!E24</f>
        <v>76927599</v>
      </c>
      <c r="F24" s="7">
        <f>+'1.b sz. Önkormányzat  '!BZ24+'2.10. sz. Intézmények összesen'!F24</f>
        <v>0</v>
      </c>
      <c r="G24" s="7">
        <f>+'1.b sz. Önkormányzat  '!CA24+'2.10. sz. Intézmények összesen'!G24</f>
        <v>0</v>
      </c>
      <c r="H24" s="7">
        <f>+'1.b sz. Önkormányzat  '!CB24+'2.10. sz. Intézmények összesen'!H24</f>
        <v>0</v>
      </c>
      <c r="I24" s="7">
        <f>+'1.b sz. Önkormányzat  '!CC24+'2.10. sz. Intézmények összesen'!I24</f>
        <v>0</v>
      </c>
      <c r="J24" s="7">
        <f t="shared" si="0"/>
        <v>58206100</v>
      </c>
      <c r="K24" s="7">
        <f t="shared" si="1"/>
        <v>76927599</v>
      </c>
      <c r="L24" s="7">
        <f>+'1.b sz. Önkormányzat  '!CF24</f>
        <v>0</v>
      </c>
      <c r="M24" s="7">
        <f>+'1.b sz. Önkormányzat  '!CG24</f>
        <v>0</v>
      </c>
      <c r="N24" s="14">
        <f t="shared" si="2"/>
        <v>58206100</v>
      </c>
      <c r="O24" s="14">
        <f t="shared" si="3"/>
        <v>0</v>
      </c>
    </row>
    <row r="25" spans="1:22" s="17" customFormat="1" ht="24.75" customHeight="1" x14ac:dyDescent="0.25">
      <c r="A25" s="9" t="s">
        <v>231</v>
      </c>
      <c r="B25" s="105" t="s">
        <v>127</v>
      </c>
      <c r="C25" s="16"/>
      <c r="D25" s="7">
        <f>+'1.b sz. Önkormányzat  '!BX25+'2.10. sz. Intézmények összesen'!D25</f>
        <v>0</v>
      </c>
      <c r="E25" s="7">
        <f>+'1.b sz. Önkormányzat  '!BY25+'2.10. sz. Intézmények összesen'!E25</f>
        <v>0</v>
      </c>
      <c r="F25" s="7">
        <f>+'1.b sz. Önkormányzat  '!BZ25+'2.10. sz. Intézmények összesen'!F25</f>
        <v>28182624</v>
      </c>
      <c r="G25" s="7">
        <f>+'1.b sz. Önkormányzat  '!CA25+'2.10. sz. Intézmények összesen'!G25</f>
        <v>28182624</v>
      </c>
      <c r="H25" s="7">
        <f>+'1.b sz. Önkormányzat  '!CB25+'2.10. sz. Intézmények összesen'!H25</f>
        <v>0</v>
      </c>
      <c r="I25" s="7">
        <f>+'1.b sz. Önkormányzat  '!CC25+'2.10. sz. Intézmények összesen'!I25</f>
        <v>0</v>
      </c>
      <c r="J25" s="7">
        <f t="shared" si="0"/>
        <v>28182624</v>
      </c>
      <c r="K25" s="7">
        <f t="shared" si="1"/>
        <v>28182624</v>
      </c>
      <c r="L25" s="7">
        <f>+'1.b sz. Önkormányzat  '!CF25</f>
        <v>0</v>
      </c>
      <c r="M25" s="7">
        <f>+'1.b sz. Önkormányzat  '!CG25</f>
        <v>0</v>
      </c>
      <c r="N25" s="14">
        <f t="shared" si="2"/>
        <v>28182624</v>
      </c>
      <c r="O25" s="14">
        <f t="shared" si="3"/>
        <v>0</v>
      </c>
    </row>
    <row r="26" spans="1:22" s="17" customFormat="1" ht="24.75" customHeight="1" x14ac:dyDescent="0.25">
      <c r="A26" s="9" t="s">
        <v>232</v>
      </c>
      <c r="B26" s="267" t="s">
        <v>816</v>
      </c>
      <c r="C26" s="16"/>
      <c r="D26" s="7">
        <f>+'1.b sz. Önkormányzat  '!BX26+'2.10. sz. Intézmények összesen'!D26</f>
        <v>0</v>
      </c>
      <c r="E26" s="7">
        <f>+'1.b sz. Önkormányzat  '!BY26+'2.10. sz. Intézmények összesen'!E26</f>
        <v>0</v>
      </c>
      <c r="F26" s="7">
        <f>+'1.b sz. Önkormányzat  '!BZ26+'2.10. sz. Intézmények összesen'!F26</f>
        <v>0</v>
      </c>
      <c r="G26" s="7">
        <f>+'1.b sz. Önkormányzat  '!CA26+'2.10. sz. Intézmények összesen'!G26</f>
        <v>0</v>
      </c>
      <c r="H26" s="7">
        <f>+'1.b sz. Önkormányzat  '!CB26+'2.10. sz. Intézmények összesen'!H26</f>
        <v>0</v>
      </c>
      <c r="I26" s="7">
        <f>+'1.b sz. Önkormányzat  '!CC26+'2.10. sz. Intézmények összesen'!I26</f>
        <v>0</v>
      </c>
      <c r="J26" s="7">
        <f t="shared" si="0"/>
        <v>0</v>
      </c>
      <c r="K26" s="7">
        <f t="shared" si="1"/>
        <v>0</v>
      </c>
      <c r="L26" s="7">
        <f>+'1.b sz. Önkormányzat  '!CF26</f>
        <v>0</v>
      </c>
      <c r="M26" s="7">
        <f>+'1.b sz. Önkormányzat  '!CG26</f>
        <v>0</v>
      </c>
      <c r="N26" s="14"/>
      <c r="O26" s="14"/>
    </row>
    <row r="27" spans="1:22" s="2" customFormat="1" ht="24.75" customHeight="1" x14ac:dyDescent="0.25">
      <c r="A27" s="9" t="s">
        <v>233</v>
      </c>
      <c r="B27" s="55" t="s">
        <v>32</v>
      </c>
      <c r="C27" s="1"/>
      <c r="D27" s="7">
        <f>+'1.b sz. Önkormányzat  '!BX27+'2.10. sz. Intézmények összesen'!D27</f>
        <v>12911072893</v>
      </c>
      <c r="E27" s="7">
        <f>+'1.b sz. Önkormányzat  '!BY27+'2.10. sz. Intézmények összesen'!E27</f>
        <v>16017169501</v>
      </c>
      <c r="F27" s="8">
        <f>+'1.b sz. Önkormányzat  '!BZ27+'2.10. sz. Intézmények összesen'!F27</f>
        <v>792171474</v>
      </c>
      <c r="G27" s="8">
        <f>+'1.b sz. Önkormányzat  '!CA27+'2.10. sz. Intézmények összesen'!G27</f>
        <v>1006132698</v>
      </c>
      <c r="H27" s="8">
        <f>+'1.b sz. Önkormányzat  '!CB27+'2.10. sz. Intézmények összesen'!H27</f>
        <v>147546784</v>
      </c>
      <c r="I27" s="8">
        <f>+'1.b sz. Önkormányzat  '!CC27+'2.10. sz. Intézmények összesen'!I27</f>
        <v>156314536</v>
      </c>
      <c r="J27" s="8">
        <f t="shared" si="0"/>
        <v>13850791151</v>
      </c>
      <c r="K27" s="8">
        <f t="shared" si="1"/>
        <v>17179616735</v>
      </c>
      <c r="L27" s="8">
        <f>+'1.b sz. Önkormányzat  '!CF27</f>
        <v>34976162</v>
      </c>
      <c r="M27" s="8">
        <f>+'1.b sz. Önkormányzat  '!CG27</f>
        <v>79714712</v>
      </c>
      <c r="N27" s="14">
        <f t="shared" ref="N27:N44" si="4">+D27+F27+H27</f>
        <v>13850791151</v>
      </c>
      <c r="O27" s="14">
        <f t="shared" ref="O27:O44" si="5">+N27-J27</f>
        <v>0</v>
      </c>
    </row>
    <row r="28" spans="1:22" s="2" customFormat="1" ht="24.75" customHeight="1" x14ac:dyDescent="0.25">
      <c r="A28" s="9" t="s">
        <v>260</v>
      </c>
      <c r="B28" s="55" t="s">
        <v>33</v>
      </c>
      <c r="C28" s="1"/>
      <c r="D28" s="7">
        <f>+'1.b sz. Önkormányzat  '!BX28+'2.10. sz. Intézmények összesen'!D28</f>
        <v>1663169980</v>
      </c>
      <c r="E28" s="7">
        <f>+'1.b sz. Önkormányzat  '!BY28+'2.10. sz. Intézmények összesen'!E28</f>
        <v>2321081124</v>
      </c>
      <c r="F28" s="8">
        <f>+'1.b sz. Önkormányzat  '!BZ28+'2.10. sz. Intézmények összesen'!F28</f>
        <v>183849474</v>
      </c>
      <c r="G28" s="8">
        <f>+'1.b sz. Önkormányzat  '!CA28+'2.10. sz. Intézmények összesen'!G28</f>
        <v>523669243</v>
      </c>
      <c r="H28" s="8">
        <f>+'1.b sz. Önkormányzat  '!CB28+'2.10. sz. Intézmények összesen'!H28</f>
        <v>13754100</v>
      </c>
      <c r="I28" s="8">
        <f>+'1.b sz. Önkormányzat  '!CC28+'2.10. sz. Intézmények összesen'!I28</f>
        <v>13754100</v>
      </c>
      <c r="J28" s="8">
        <f t="shared" si="0"/>
        <v>1860773554</v>
      </c>
      <c r="K28" s="8">
        <f t="shared" si="1"/>
        <v>2858504467</v>
      </c>
      <c r="L28" s="8">
        <f>+'1.b sz. Önkormányzat  '!CF28</f>
        <v>50000000</v>
      </c>
      <c r="M28" s="8">
        <f>+'1.b sz. Önkormányzat  '!CG28</f>
        <v>365921397</v>
      </c>
      <c r="N28" s="14">
        <f t="shared" si="4"/>
        <v>1860773554</v>
      </c>
      <c r="O28" s="14">
        <f t="shared" si="5"/>
        <v>0</v>
      </c>
    </row>
    <row r="29" spans="1:22" s="2" customFormat="1" ht="24.75" customHeight="1" x14ac:dyDescent="0.25">
      <c r="A29" s="9" t="s">
        <v>261</v>
      </c>
      <c r="B29" s="55" t="s">
        <v>327</v>
      </c>
      <c r="C29" s="1" t="s">
        <v>31</v>
      </c>
      <c r="D29" s="7">
        <f>+'1.b sz. Önkormányzat  '!BX29+'2.10. sz. Intézmények összesen'!D29</f>
        <v>14574242873</v>
      </c>
      <c r="E29" s="7">
        <f>+'1.b sz. Önkormányzat  '!BY29+'2.10. sz. Intézmények összesen'!E29</f>
        <v>18338250625</v>
      </c>
      <c r="F29" s="8">
        <f>+'1.b sz. Önkormányzat  '!BZ29+'2.10. sz. Intézmények összesen'!F29</f>
        <v>976020948</v>
      </c>
      <c r="G29" s="8">
        <f>+'1.b sz. Önkormányzat  '!CA29+'2.10. sz. Intézmények összesen'!G29</f>
        <v>1529801941</v>
      </c>
      <c r="H29" s="8">
        <f>+'1.b sz. Önkormányzat  '!CB29+'2.10. sz. Intézmények összesen'!H29</f>
        <v>161300884</v>
      </c>
      <c r="I29" s="8">
        <f>+'1.b sz. Önkormányzat  '!CC29+'2.10. sz. Intézmények összesen'!I29</f>
        <v>170068636</v>
      </c>
      <c r="J29" s="8">
        <f>D29+F29+H29</f>
        <v>15711564705</v>
      </c>
      <c r="K29" s="8">
        <f>E29+G29+I29</f>
        <v>20038121202</v>
      </c>
      <c r="L29" s="8">
        <f>+'1.b sz. Önkormányzat  '!CF29</f>
        <v>84976162</v>
      </c>
      <c r="M29" s="8">
        <f>+'1.b sz. Önkormányzat  '!CG29</f>
        <v>445636109</v>
      </c>
      <c r="N29" s="14">
        <f t="shared" si="4"/>
        <v>15711564705</v>
      </c>
      <c r="O29" s="14">
        <f t="shared" si="5"/>
        <v>0</v>
      </c>
      <c r="P29" s="347"/>
    </row>
    <row r="30" spans="1:22" ht="24.75" customHeight="1" x14ac:dyDescent="0.25">
      <c r="A30" s="9" t="s">
        <v>262</v>
      </c>
      <c r="B30" s="101" t="s">
        <v>52</v>
      </c>
      <c r="C30" s="104" t="s">
        <v>209</v>
      </c>
      <c r="D30" s="7">
        <f>+'1.b sz. Önkormányzat  '!BX30+'2.10. sz. Intézmények összesen'!D30</f>
        <v>2139264624</v>
      </c>
      <c r="E30" s="7">
        <f>+'1.b sz. Önkormányzat  '!BY30+'2.10. sz. Intézmények összesen'!E30</f>
        <v>2600495871</v>
      </c>
      <c r="F30" s="7">
        <f>+'1.b sz. Önkormányzat  '!BZ30+'2.10. sz. Intézmények összesen'!F30</f>
        <v>0</v>
      </c>
      <c r="G30" s="7">
        <f>+'1.b sz. Önkormányzat  '!CA30+'2.10. sz. Intézmények összesen'!G30</f>
        <v>665000</v>
      </c>
      <c r="H30" s="7">
        <f>+'1.b sz. Önkormányzat  '!CB30+'2.10. sz. Intézmények összesen'!H30</f>
        <v>0</v>
      </c>
      <c r="I30" s="7">
        <f>+'1.b sz. Önkormányzat  '!CC30+'2.10. sz. Intézmények összesen'!I30</f>
        <v>0</v>
      </c>
      <c r="J30" s="7">
        <f t="shared" si="0"/>
        <v>2139264624</v>
      </c>
      <c r="K30" s="7">
        <f t="shared" si="1"/>
        <v>2601160871</v>
      </c>
      <c r="L30" s="7">
        <f>+'1.b sz. Önkormányzat  '!CF30</f>
        <v>0</v>
      </c>
      <c r="M30" s="7">
        <f>+'1.b sz. Önkormányzat  '!CG30</f>
        <v>0</v>
      </c>
      <c r="N30" s="14">
        <f t="shared" si="4"/>
        <v>2139264624</v>
      </c>
      <c r="O30" s="14">
        <f t="shared" si="5"/>
        <v>0</v>
      </c>
      <c r="P30" s="14">
        <f>+P29-J29</f>
        <v>-15711564705</v>
      </c>
    </row>
    <row r="31" spans="1:22" ht="24.75" customHeight="1" x14ac:dyDescent="0.25">
      <c r="A31" s="9" t="s">
        <v>263</v>
      </c>
      <c r="B31" s="101" t="s">
        <v>220</v>
      </c>
      <c r="C31" s="104" t="s">
        <v>210</v>
      </c>
      <c r="D31" s="7">
        <f>+'1.b sz. Önkormányzat  '!BX31+'2.10. sz. Intézmények összesen'!D31</f>
        <v>0</v>
      </c>
      <c r="E31" s="7">
        <f>+'1.b sz. Önkormányzat  '!BY31+'2.10. sz. Intézmények összesen'!E31</f>
        <v>54720000</v>
      </c>
      <c r="F31" s="7">
        <f>+'1.b sz. Önkormányzat  '!BZ31+'2.10. sz. Intézmények összesen'!F31</f>
        <v>0</v>
      </c>
      <c r="G31" s="7">
        <f>+'1.b sz. Önkormányzat  '!CA31+'2.10. sz. Intézmények összesen'!G31</f>
        <v>314960630</v>
      </c>
      <c r="H31" s="7">
        <f>+'1.b sz. Önkormányzat  '!CB31+'2.10. sz. Intézmények összesen'!H31</f>
        <v>0</v>
      </c>
      <c r="I31" s="7">
        <f>+'1.b sz. Önkormányzat  '!CC31+'2.10. sz. Intézmények összesen'!I31</f>
        <v>0</v>
      </c>
      <c r="J31" s="7">
        <f t="shared" si="0"/>
        <v>0</v>
      </c>
      <c r="K31" s="7">
        <f t="shared" si="1"/>
        <v>369680630</v>
      </c>
      <c r="L31" s="7">
        <f>+'1.b sz. Önkormányzat  '!CF31</f>
        <v>0</v>
      </c>
      <c r="M31" s="7">
        <f>+'1.b sz. Önkormányzat  '!CG31</f>
        <v>314960630</v>
      </c>
      <c r="N31" s="14">
        <f t="shared" si="4"/>
        <v>0</v>
      </c>
      <c r="O31" s="14">
        <f t="shared" si="5"/>
        <v>0</v>
      </c>
    </row>
    <row r="32" spans="1:22" ht="24.75" customHeight="1" x14ac:dyDescent="0.25">
      <c r="A32" s="9" t="s">
        <v>264</v>
      </c>
      <c r="B32" s="101" t="s">
        <v>219</v>
      </c>
      <c r="C32" s="104" t="s">
        <v>211</v>
      </c>
      <c r="D32" s="7">
        <f>+'1.b sz. Önkormányzat  '!BX32+'2.10. sz. Intézmények összesen'!D32</f>
        <v>4795527756</v>
      </c>
      <c r="E32" s="7">
        <f>+'1.b sz. Önkormányzat  '!BY32+'2.10. sz. Intézmények összesen'!E32</f>
        <v>6694543232</v>
      </c>
      <c r="F32" s="7">
        <f>+'1.b sz. Önkormányzat  '!BZ32+'2.10. sz. Intézmények összesen'!F32</f>
        <v>0</v>
      </c>
      <c r="G32" s="7">
        <f>+'1.b sz. Önkormányzat  '!CA32+'2.10. sz. Intézmények összesen'!G32</f>
        <v>0</v>
      </c>
      <c r="H32" s="7">
        <f>+'1.b sz. Önkormányzat  '!CB32+'2.10. sz. Intézmények összesen'!H32</f>
        <v>4100000</v>
      </c>
      <c r="I32" s="7">
        <f>+'1.b sz. Önkormányzat  '!CC32+'2.10. sz. Intézmények összesen'!I32</f>
        <v>5710000</v>
      </c>
      <c r="J32" s="7">
        <f t="shared" si="0"/>
        <v>4799627756</v>
      </c>
      <c r="K32" s="7">
        <f t="shared" si="1"/>
        <v>6700253232</v>
      </c>
      <c r="L32" s="7">
        <f>+'1.b sz. Önkormányzat  '!CF32</f>
        <v>0</v>
      </c>
      <c r="M32" s="7">
        <f>+'1.b sz. Önkormányzat  '!CG32</f>
        <v>0</v>
      </c>
      <c r="N32" s="14">
        <f t="shared" si="4"/>
        <v>4799627756</v>
      </c>
      <c r="O32" s="14">
        <f t="shared" si="5"/>
        <v>0</v>
      </c>
      <c r="P32" s="14">
        <f>+J31+J34+J36</f>
        <v>60250077</v>
      </c>
    </row>
    <row r="33" spans="1:16" ht="24.75" customHeight="1" x14ac:dyDescent="0.25">
      <c r="A33" s="9" t="s">
        <v>265</v>
      </c>
      <c r="B33" s="102" t="s">
        <v>0</v>
      </c>
      <c r="C33" s="104" t="s">
        <v>212</v>
      </c>
      <c r="D33" s="7">
        <f>+'1.b sz. Önkormányzat  '!BX33+'2.10. sz. Intézmények összesen'!D33</f>
        <v>676198250</v>
      </c>
      <c r="E33" s="7">
        <f>+'1.b sz. Önkormányzat  '!BY33+'2.10. sz. Intézmények összesen'!E33</f>
        <v>845449126</v>
      </c>
      <c r="F33" s="7">
        <f>+'1.b sz. Önkormányzat  '!BZ33+'2.10. sz. Intézmények összesen'!F33</f>
        <v>155500000</v>
      </c>
      <c r="G33" s="7">
        <f>+'1.b sz. Önkormányzat  '!CA33+'2.10. sz. Intézmények összesen'!G33</f>
        <v>456056071</v>
      </c>
      <c r="H33" s="7">
        <f>+'1.b sz. Önkormányzat  '!CB33+'2.10. sz. Intézmények összesen'!H33</f>
        <v>0</v>
      </c>
      <c r="I33" s="7">
        <f>+'1.b sz. Önkormányzat  '!CC33+'2.10. sz. Intézmények összesen'!I33</f>
        <v>2</v>
      </c>
      <c r="J33" s="7">
        <f>D33+F33+H33</f>
        <v>831698250</v>
      </c>
      <c r="K33" s="7">
        <f t="shared" si="1"/>
        <v>1301505199</v>
      </c>
      <c r="L33" s="7">
        <f>+'1.b sz. Önkormányzat  '!CF33</f>
        <v>0</v>
      </c>
      <c r="M33" s="7">
        <f>+'1.b sz. Önkormányzat  '!CG33</f>
        <v>0</v>
      </c>
      <c r="N33" s="14">
        <f t="shared" si="4"/>
        <v>831698250</v>
      </c>
      <c r="O33" s="14">
        <f t="shared" si="5"/>
        <v>0</v>
      </c>
    </row>
    <row r="34" spans="1:16" ht="24.75" customHeight="1" x14ac:dyDescent="0.25">
      <c r="A34" s="9" t="s">
        <v>266</v>
      </c>
      <c r="B34" s="101" t="s">
        <v>242</v>
      </c>
      <c r="C34" s="104" t="s">
        <v>213</v>
      </c>
      <c r="D34" s="7">
        <f>+'1.b sz. Önkormányzat  '!BX34+'2.10. sz. Intézmények összesen'!D34</f>
        <v>0</v>
      </c>
      <c r="E34" s="7">
        <f>+'1.b sz. Önkormányzat  '!BY34+'2.10. sz. Intézmények összesen'!E34</f>
        <v>10000</v>
      </c>
      <c r="F34" s="7">
        <f>+'1.b sz. Önkormányzat  '!BZ34+'2.10. sz. Intézmények összesen'!F34</f>
        <v>51854877</v>
      </c>
      <c r="G34" s="7">
        <f>+'1.b sz. Önkormányzat  '!CA34+'2.10. sz. Intézmények összesen'!G34</f>
        <v>1850596</v>
      </c>
      <c r="H34" s="7">
        <f>+'1.b sz. Önkormányzat  '!CB34+'2.10. sz. Intézmények összesen'!H34</f>
        <v>0</v>
      </c>
      <c r="I34" s="7">
        <f>+'1.b sz. Önkormányzat  '!CC34+'2.10. sz. Intézmények összesen'!I34</f>
        <v>0</v>
      </c>
      <c r="J34" s="7">
        <f t="shared" si="0"/>
        <v>51854877</v>
      </c>
      <c r="K34" s="7">
        <f t="shared" si="1"/>
        <v>1860596</v>
      </c>
      <c r="L34" s="7">
        <f>+'1.b sz. Önkormányzat  '!CF34</f>
        <v>0</v>
      </c>
      <c r="M34" s="7">
        <f>+'1.b sz. Önkormányzat  '!CG34</f>
        <v>0</v>
      </c>
      <c r="N34" s="14">
        <f t="shared" si="4"/>
        <v>51854877</v>
      </c>
      <c r="O34" s="14">
        <f t="shared" si="5"/>
        <v>0</v>
      </c>
    </row>
    <row r="35" spans="1:16" ht="24.75" customHeight="1" x14ac:dyDescent="0.25">
      <c r="A35" s="9" t="s">
        <v>267</v>
      </c>
      <c r="B35" s="101" t="s">
        <v>237</v>
      </c>
      <c r="C35" s="104" t="s">
        <v>214</v>
      </c>
      <c r="D35" s="7">
        <f>+'1.b sz. Önkormányzat  '!BX35+'2.10. sz. Intézmények összesen'!D35</f>
        <v>0</v>
      </c>
      <c r="E35" s="7">
        <f>+'1.b sz. Önkormányzat  '!BY35+'2.10. sz. Intézmények összesen'!E35</f>
        <v>2092993</v>
      </c>
      <c r="F35" s="7">
        <f>+'1.b sz. Önkormányzat  '!BZ35+'2.10. sz. Intézmények összesen'!F35</f>
        <v>0</v>
      </c>
      <c r="G35" s="7">
        <f>+'1.b sz. Önkormányzat  '!CA35+'2.10. sz. Intézmények összesen'!G35</f>
        <v>500000</v>
      </c>
      <c r="H35" s="7">
        <f>+'1.b sz. Önkormányzat  '!CB35+'2.10. sz. Intézmények összesen'!H35</f>
        <v>0</v>
      </c>
      <c r="I35" s="7">
        <f>+'1.b sz. Önkormányzat  '!CC35+'2.10. sz. Intézmények összesen'!I35</f>
        <v>0</v>
      </c>
      <c r="J35" s="7">
        <f t="shared" si="0"/>
        <v>0</v>
      </c>
      <c r="K35" s="7">
        <f t="shared" si="1"/>
        <v>2592993</v>
      </c>
      <c r="L35" s="7">
        <f>+'1.b sz. Önkormányzat  '!CF35</f>
        <v>0</v>
      </c>
      <c r="M35" s="7">
        <f>+'1.b sz. Önkormányzat  '!CG35</f>
        <v>0</v>
      </c>
      <c r="N35" s="14">
        <f t="shared" si="4"/>
        <v>0</v>
      </c>
      <c r="O35" s="14">
        <f t="shared" si="5"/>
        <v>0</v>
      </c>
    </row>
    <row r="36" spans="1:16" ht="24.75" customHeight="1" x14ac:dyDescent="0.25">
      <c r="A36" s="9" t="s">
        <v>268</v>
      </c>
      <c r="B36" s="101" t="s">
        <v>238</v>
      </c>
      <c r="C36" s="104" t="s">
        <v>215</v>
      </c>
      <c r="D36" s="7">
        <f>+'1.b sz. Önkormányzat  '!BX36+'2.10. sz. Intézmények összesen'!D36</f>
        <v>6521400</v>
      </c>
      <c r="E36" s="7">
        <f>+'1.b sz. Önkormányzat  '!BY36+'2.10. sz. Intézmények összesen'!E36</f>
        <v>10901400</v>
      </c>
      <c r="F36" s="7">
        <f>+'1.b sz. Önkormányzat  '!BZ36+'2.10. sz. Intézmények összesen'!F36</f>
        <v>1873800</v>
      </c>
      <c r="G36" s="7">
        <f>+'1.b sz. Önkormányzat  '!CA36+'2.10. sz. Intézmények összesen'!G36</f>
        <v>2842550</v>
      </c>
      <c r="H36" s="7">
        <f>+'1.b sz. Önkormányzat  '!CB36+'2.10. sz. Intézmények összesen'!H36</f>
        <v>0</v>
      </c>
      <c r="I36" s="7">
        <f>+'1.b sz. Önkormányzat  '!CC36+'2.10. sz. Intézmények összesen'!I36</f>
        <v>0</v>
      </c>
      <c r="J36" s="7">
        <f t="shared" si="0"/>
        <v>8395200</v>
      </c>
      <c r="K36" s="7">
        <f t="shared" si="1"/>
        <v>13743950</v>
      </c>
      <c r="L36" s="7">
        <f>+'1.b sz. Önkormányzat  '!CF36</f>
        <v>0</v>
      </c>
      <c r="M36" s="7">
        <f>+'1.b sz. Önkormányzat  '!CG36</f>
        <v>0</v>
      </c>
      <c r="N36" s="14">
        <f t="shared" si="4"/>
        <v>8395200</v>
      </c>
      <c r="O36" s="14">
        <f t="shared" si="5"/>
        <v>0</v>
      </c>
    </row>
    <row r="37" spans="1:16" s="2" customFormat="1" ht="24.75" customHeight="1" x14ac:dyDescent="0.25">
      <c r="A37" s="9" t="s">
        <v>269</v>
      </c>
      <c r="B37" s="102" t="s">
        <v>239</v>
      </c>
      <c r="C37" s="104" t="s">
        <v>216</v>
      </c>
      <c r="D37" s="7">
        <f>+'1.b sz. Önkormányzat  '!BX37+'2.10. sz. Intézmények összesen'!D37</f>
        <v>7617512030</v>
      </c>
      <c r="E37" s="7">
        <f>+'1.b sz. Önkormányzat  '!BY37+'2.10. sz. Intézmények összesen'!E37</f>
        <v>10208212622</v>
      </c>
      <c r="F37" s="8">
        <f>+'1.b sz. Önkormányzat  '!BZ37+'2.10. sz. Intézmények összesen'!F37</f>
        <v>209228677</v>
      </c>
      <c r="G37" s="8">
        <f>+'1.b sz. Önkormányzat  '!CA37+'2.10. sz. Intézmények összesen'!G37</f>
        <v>776874847</v>
      </c>
      <c r="H37" s="8">
        <f>+'1.b sz. Önkormányzat  '!CB37+'2.10. sz. Intézmények összesen'!H37</f>
        <v>4100000</v>
      </c>
      <c r="I37" s="8">
        <f>+'1.b sz. Önkormányzat  '!CC37+'2.10. sz. Intézmények összesen'!I37</f>
        <v>5710002</v>
      </c>
      <c r="J37" s="8">
        <f t="shared" si="0"/>
        <v>7830840707</v>
      </c>
      <c r="K37" s="8">
        <f t="shared" si="1"/>
        <v>10990797471</v>
      </c>
      <c r="L37" s="8">
        <f>+'1.b sz. Önkormányzat  '!CF37</f>
        <v>0</v>
      </c>
      <c r="M37" s="8">
        <f>+'1.b sz. Önkormányzat  '!CG37</f>
        <v>314960630</v>
      </c>
      <c r="N37" s="14">
        <f t="shared" si="4"/>
        <v>7830840707</v>
      </c>
      <c r="O37" s="14">
        <f t="shared" si="5"/>
        <v>0</v>
      </c>
    </row>
    <row r="38" spans="1:16" s="2" customFormat="1" ht="24.75" customHeight="1" x14ac:dyDescent="0.25">
      <c r="A38" s="9" t="s">
        <v>270</v>
      </c>
      <c r="B38" s="104" t="s">
        <v>240</v>
      </c>
      <c r="C38" s="1" t="s">
        <v>218</v>
      </c>
      <c r="D38" s="7">
        <f>+'1.b sz. Önkormányzat  '!BX38+'2.10. sz. Intézmények összesen'!D38</f>
        <v>7880723998</v>
      </c>
      <c r="E38" s="7">
        <f>+'1.b sz. Önkormányzat  '!BY38+'2.10. sz. Intézmények összesen'!E38</f>
        <v>9047323731</v>
      </c>
      <c r="F38" s="8">
        <f>+'1.b sz. Önkormányzat  '!BZ38+'2.10. sz. Intézmények összesen'!F38</f>
        <v>0</v>
      </c>
      <c r="G38" s="8">
        <f>+'1.b sz. Önkormányzat  '!CA38+'2.10. sz. Intézmények összesen'!G38</f>
        <v>0</v>
      </c>
      <c r="H38" s="8">
        <f>+'1.b sz. Önkormányzat  '!CB38+'2.10. sz. Intézmények összesen'!H38</f>
        <v>0</v>
      </c>
      <c r="I38" s="8">
        <f>+'1.b sz. Önkormányzat  '!CC38+'2.10. sz. Intézmények összesen'!I38</f>
        <v>0</v>
      </c>
      <c r="J38" s="8">
        <f t="shared" si="0"/>
        <v>7880723998</v>
      </c>
      <c r="K38" s="8">
        <f t="shared" si="1"/>
        <v>9047323731</v>
      </c>
      <c r="L38" s="8">
        <f>+'1.b sz. Önkormányzat  '!CF38</f>
        <v>0</v>
      </c>
      <c r="M38" s="8">
        <f>+'1.b sz. Önkormányzat  '!CG38</f>
        <v>0</v>
      </c>
      <c r="N38" s="14">
        <f t="shared" si="4"/>
        <v>7880723998</v>
      </c>
      <c r="O38" s="14">
        <f t="shared" si="5"/>
        <v>0</v>
      </c>
    </row>
    <row r="39" spans="1:16" s="2" customFormat="1" ht="24.75" customHeight="1" x14ac:dyDescent="0.25">
      <c r="A39" s="9" t="s">
        <v>271</v>
      </c>
      <c r="B39" s="105" t="s">
        <v>566</v>
      </c>
      <c r="C39" s="1"/>
      <c r="D39" s="7">
        <f>+'1.b sz. Önkormányzat  '!BX39+'2.10. sz. Intézmények összesen'!D39</f>
        <v>0</v>
      </c>
      <c r="E39" s="7">
        <f>+'1.b sz. Önkormányzat  '!BY39+'2.10. sz. Intézmények összesen'!E39</f>
        <v>395026925</v>
      </c>
      <c r="F39" s="7">
        <f>+'1.b sz. Önkormányzat  '!BZ39+'2.10. sz. Intézmények összesen'!F39</f>
        <v>0</v>
      </c>
      <c r="G39" s="7">
        <f>+'1.b sz. Önkormányzat  '!CA39+'2.10. sz. Intézmények összesen'!G39</f>
        <v>0</v>
      </c>
      <c r="H39" s="7">
        <f>+'1.b sz. Önkormányzat  '!CB39+'2.10. sz. Intézmények összesen'!H39</f>
        <v>0</v>
      </c>
      <c r="I39" s="7">
        <f>+'1.b sz. Önkormányzat  '!CC39+'2.10. sz. Intézmények összesen'!I39</f>
        <v>0</v>
      </c>
      <c r="J39" s="7">
        <f t="shared" si="0"/>
        <v>0</v>
      </c>
      <c r="K39" s="7">
        <f t="shared" si="1"/>
        <v>395026925</v>
      </c>
      <c r="L39" s="7">
        <f>+'1.b sz. Önkormányzat  '!CF39</f>
        <v>0</v>
      </c>
      <c r="M39" s="7">
        <f>+'1.b sz. Önkormányzat  '!CG39</f>
        <v>0</v>
      </c>
      <c r="N39" s="14">
        <f t="shared" si="4"/>
        <v>0</v>
      </c>
      <c r="O39" s="14">
        <f t="shared" si="5"/>
        <v>0</v>
      </c>
    </row>
    <row r="40" spans="1:16" s="17" customFormat="1" ht="24.75" customHeight="1" x14ac:dyDescent="0.25">
      <c r="A40" s="9" t="s">
        <v>272</v>
      </c>
      <c r="B40" s="105" t="s">
        <v>846</v>
      </c>
      <c r="C40" s="16"/>
      <c r="D40" s="7">
        <f>+'1.b sz. Önkormányzat  '!BX40+'2.10. sz. Intézmények összesen'!D40</f>
        <v>2456933339</v>
      </c>
      <c r="E40" s="7">
        <f>+'1.b sz. Önkormányzat  '!BY40+'2.10. sz. Intézmények összesen'!E40</f>
        <v>2777398881</v>
      </c>
      <c r="F40" s="7">
        <f>+'1.b sz. Önkormányzat  '!BZ40+'2.10. sz. Intézmények összesen'!F40</f>
        <v>0</v>
      </c>
      <c r="G40" s="7">
        <f>+'1.b sz. Önkormányzat  '!CA40+'2.10. sz. Intézmények összesen'!G40</f>
        <v>0</v>
      </c>
      <c r="H40" s="7">
        <f>+'1.b sz. Önkormányzat  '!CB40+'2.10. sz. Intézmények összesen'!H40</f>
        <v>0</v>
      </c>
      <c r="I40" s="7">
        <f>+'1.b sz. Önkormányzat  '!CC40+'2.10. sz. Intézmények összesen'!I40</f>
        <v>0</v>
      </c>
      <c r="J40" s="286">
        <f t="shared" si="0"/>
        <v>2456933339</v>
      </c>
      <c r="K40" s="7">
        <f t="shared" si="1"/>
        <v>2777398881</v>
      </c>
      <c r="L40" s="7">
        <f>+'1.b sz. Önkormányzat  '!CF40</f>
        <v>0</v>
      </c>
      <c r="M40" s="7">
        <f>+'1.b sz. Önkormányzat  '!CG40</f>
        <v>0</v>
      </c>
      <c r="N40" s="14">
        <f t="shared" si="4"/>
        <v>2456933339</v>
      </c>
      <c r="O40" s="14">
        <f t="shared" si="5"/>
        <v>0</v>
      </c>
      <c r="P40" s="350"/>
    </row>
    <row r="41" spans="1:16" s="17" customFormat="1" ht="24.75" customHeight="1" x14ac:dyDescent="0.25">
      <c r="A41" s="9" t="s">
        <v>276</v>
      </c>
      <c r="B41" s="105" t="s">
        <v>847</v>
      </c>
      <c r="C41" s="16"/>
      <c r="D41" s="7">
        <f>+'1.b sz. Önkormányzat  '!BX41+'2.10. sz. Intézmények összesen'!D41</f>
        <v>1074197711</v>
      </c>
      <c r="E41" s="7">
        <f>+'1.b sz. Önkormányzat  '!BY41+'2.10. sz. Intézmények összesen'!E41</f>
        <v>1318037711</v>
      </c>
      <c r="F41" s="7">
        <f>+'1.b sz. Önkormányzat  '!BZ41+'2.10. sz. Intézmények összesen'!F41</f>
        <v>0</v>
      </c>
      <c r="G41" s="7">
        <f>+'1.b sz. Önkormányzat  '!CA41+'2.10. sz. Intézmények összesen'!G41</f>
        <v>0</v>
      </c>
      <c r="H41" s="7">
        <f>+'1.b sz. Önkormányzat  '!CB41+'2.10. sz. Intézmények összesen'!H41</f>
        <v>0</v>
      </c>
      <c r="I41" s="7">
        <f>+'1.b sz. Önkormányzat  '!CC41+'2.10. sz. Intézmények összesen'!I41</f>
        <v>0</v>
      </c>
      <c r="J41" s="286">
        <f t="shared" si="0"/>
        <v>1074197711</v>
      </c>
      <c r="K41" s="7">
        <f t="shared" si="1"/>
        <v>1318037711</v>
      </c>
      <c r="L41" s="7">
        <f>+'1.b sz. Önkormányzat  '!CF41</f>
        <v>0</v>
      </c>
      <c r="M41" s="7">
        <f>+'1.b sz. Önkormányzat  '!CG41</f>
        <v>0</v>
      </c>
      <c r="N41" s="14">
        <f t="shared" si="4"/>
        <v>1074197711</v>
      </c>
      <c r="O41" s="14">
        <f t="shared" si="5"/>
        <v>0</v>
      </c>
      <c r="P41" s="350"/>
    </row>
    <row r="42" spans="1:16" s="17" customFormat="1" ht="24.75" customHeight="1" x14ac:dyDescent="0.25">
      <c r="A42" s="9" t="s">
        <v>277</v>
      </c>
      <c r="B42" s="105" t="s">
        <v>539</v>
      </c>
      <c r="C42" s="16"/>
      <c r="D42" s="7">
        <f>+'1.b sz. Önkormányzat  '!BX42+'2.10. sz. Intézmények összesen'!D42</f>
        <v>4291386848</v>
      </c>
      <c r="E42" s="7">
        <f>+'1.b sz. Önkormányzat  '!BY42+'2.10. sz. Intézmények összesen'!E42</f>
        <v>4479932615</v>
      </c>
      <c r="F42" s="7">
        <f>+'1.b sz. Önkormányzat  '!BZ42+'2.10. sz. Intézmények összesen'!F42</f>
        <v>0</v>
      </c>
      <c r="G42" s="7">
        <f>+'1.b sz. Önkormányzat  '!CA42+'2.10. sz. Intézmények összesen'!G42</f>
        <v>0</v>
      </c>
      <c r="H42" s="7">
        <f>+'1.b sz. Önkormányzat  '!CB42+'2.10. sz. Intézmények összesen'!H42</f>
        <v>0</v>
      </c>
      <c r="I42" s="7">
        <f>+'1.b sz. Önkormányzat  '!CC42+'2.10. sz. Intézmények összesen'!I42</f>
        <v>0</v>
      </c>
      <c r="J42" s="7">
        <f t="shared" si="0"/>
        <v>4291386848</v>
      </c>
      <c r="K42" s="7">
        <f t="shared" si="1"/>
        <v>4479932615</v>
      </c>
      <c r="L42" s="7">
        <f>+'1.b sz. Önkormányzat  '!CF42</f>
        <v>0</v>
      </c>
      <c r="M42" s="7">
        <f>+'1.b sz. Önkormányzat  '!CG42</f>
        <v>0</v>
      </c>
      <c r="N42" s="14">
        <f t="shared" si="4"/>
        <v>4291386848</v>
      </c>
      <c r="O42" s="14">
        <f t="shared" si="5"/>
        <v>0</v>
      </c>
    </row>
    <row r="43" spans="1:16" s="17" customFormat="1" ht="24.75" customHeight="1" x14ac:dyDescent="0.25">
      <c r="A43" s="9" t="s">
        <v>278</v>
      </c>
      <c r="B43" s="105" t="s">
        <v>540</v>
      </c>
      <c r="C43" s="16"/>
      <c r="D43" s="7">
        <f>+'1.b sz. Önkormányzat  '!BX43+'2.10. sz. Intézmények összesen'!D43</f>
        <v>58206100</v>
      </c>
      <c r="E43" s="7">
        <f>+'1.b sz. Önkormányzat  '!BY43+'2.10. sz. Intézmények összesen'!E43</f>
        <v>76927599</v>
      </c>
      <c r="F43" s="7">
        <f>+'1.b sz. Önkormányzat  '!BZ43+'2.10. sz. Intézmények összesen'!F43</f>
        <v>0</v>
      </c>
      <c r="G43" s="7">
        <f>+'1.b sz. Önkormányzat  '!CA43+'2.10. sz. Intézmények összesen'!G43</f>
        <v>0</v>
      </c>
      <c r="H43" s="7">
        <f>+'1.b sz. Önkormányzat  '!CB43+'2.10. sz. Intézmények összesen'!H43</f>
        <v>0</v>
      </c>
      <c r="I43" s="7">
        <f>+'1.b sz. Önkormányzat  '!CC43+'2.10. sz. Intézmények összesen'!I43</f>
        <v>0</v>
      </c>
      <c r="J43" s="7">
        <f t="shared" si="0"/>
        <v>58206100</v>
      </c>
      <c r="K43" s="7">
        <f t="shared" si="1"/>
        <v>76927599</v>
      </c>
      <c r="L43" s="7">
        <f>+'1.b sz. Önkormányzat  '!CF43</f>
        <v>0</v>
      </c>
      <c r="M43" s="7">
        <f>+'1.b sz. Önkormányzat  '!CG43</f>
        <v>0</v>
      </c>
      <c r="N43" s="14">
        <f t="shared" si="4"/>
        <v>58206100</v>
      </c>
      <c r="O43" s="14">
        <f t="shared" si="5"/>
        <v>0</v>
      </c>
    </row>
    <row r="44" spans="1:16" s="17" customFormat="1" ht="24.75" customHeight="1" x14ac:dyDescent="0.25">
      <c r="A44" s="9" t="s">
        <v>279</v>
      </c>
      <c r="B44" s="105" t="s">
        <v>574</v>
      </c>
      <c r="C44" s="16"/>
      <c r="D44" s="7">
        <f>+'1.b sz. Önkormányzat  '!BX44+'2.10. sz. Intézmények összesen'!D44</f>
        <v>0</v>
      </c>
      <c r="E44" s="7">
        <f>+'1.b sz. Önkormányzat  '!BY44+'2.10. sz. Intézmények összesen'!E44</f>
        <v>0</v>
      </c>
      <c r="F44" s="7">
        <f>+'1.b sz. Önkormányzat  '!BZ44+'2.10. sz. Intézmények összesen'!F44</f>
        <v>0</v>
      </c>
      <c r="G44" s="7">
        <f>+'1.b sz. Önkormányzat  '!CA44+'2.10. sz. Intézmények összesen'!G44</f>
        <v>0</v>
      </c>
      <c r="H44" s="7">
        <f>+'1.b sz. Önkormányzat  '!CB44+'2.10. sz. Intézmények összesen'!H44</f>
        <v>0</v>
      </c>
      <c r="I44" s="7">
        <f>+'1.b sz. Önkormányzat  '!CC44+'2.10. sz. Intézmények összesen'!I44</f>
        <v>0</v>
      </c>
      <c r="J44" s="7">
        <f t="shared" si="0"/>
        <v>0</v>
      </c>
      <c r="K44" s="7">
        <f t="shared" si="1"/>
        <v>0</v>
      </c>
      <c r="L44" s="7">
        <f>+'1.b sz. Önkormányzat  '!CF44</f>
        <v>0</v>
      </c>
      <c r="M44" s="7">
        <f>+'1.b sz. Önkormányzat  '!CG44</f>
        <v>0</v>
      </c>
      <c r="N44" s="14">
        <f t="shared" si="4"/>
        <v>0</v>
      </c>
      <c r="O44" s="14">
        <f t="shared" si="5"/>
        <v>0</v>
      </c>
    </row>
    <row r="45" spans="1:16" s="17" customFormat="1" ht="24.75" customHeight="1" x14ac:dyDescent="0.25">
      <c r="A45" s="9" t="s">
        <v>280</v>
      </c>
      <c r="B45" s="105" t="s">
        <v>815</v>
      </c>
      <c r="C45" s="16"/>
      <c r="D45" s="7">
        <f>+'1.b sz. Önkormányzat  '!BX45+'2.10. sz. Intézmények összesen'!D45</f>
        <v>0</v>
      </c>
      <c r="E45" s="7">
        <f>+'1.b sz. Önkormányzat  '!BY45+'2.10. sz. Intézmények összesen'!E45</f>
        <v>0</v>
      </c>
      <c r="F45" s="7">
        <f>+'1.b sz. Önkormányzat  '!BZ45+'2.10. sz. Intézmények összesen'!F45</f>
        <v>0</v>
      </c>
      <c r="G45" s="7">
        <f>+'1.b sz. Önkormányzat  '!CA45+'2.10. sz. Intézmények összesen'!G45</f>
        <v>0</v>
      </c>
      <c r="H45" s="7">
        <f>+'1.b sz. Önkormányzat  '!CB45+'2.10. sz. Intézmények összesen'!H45</f>
        <v>0</v>
      </c>
      <c r="I45" s="7">
        <f>+'1.b sz. Önkormányzat  '!CC45+'2.10. sz. Intézmények összesen'!I45</f>
        <v>0</v>
      </c>
      <c r="J45" s="7">
        <f t="shared" si="0"/>
        <v>0</v>
      </c>
      <c r="K45" s="7">
        <f t="shared" si="1"/>
        <v>0</v>
      </c>
      <c r="L45" s="7">
        <f>+'1.b sz. Önkormányzat  '!CF45</f>
        <v>0</v>
      </c>
      <c r="M45" s="7">
        <f>+'1.b sz. Önkormányzat  '!CG45</f>
        <v>0</v>
      </c>
      <c r="N45" s="14"/>
      <c r="O45" s="14"/>
    </row>
    <row r="46" spans="1:16" s="2" customFormat="1" ht="24.75" customHeight="1" x14ac:dyDescent="0.25">
      <c r="A46" s="9" t="s">
        <v>281</v>
      </c>
      <c r="B46" s="55" t="s">
        <v>113</v>
      </c>
      <c r="C46" s="1"/>
      <c r="D46" s="7">
        <f>+'1.b sz. Önkormányzat  '!BX46+'2.10. sz. Intézmények összesen'!D46</f>
        <v>14359310817</v>
      </c>
      <c r="E46" s="7">
        <f>+'1.b sz. Önkormányzat  '!BY46+'2.10. sz. Intézmények összesen'!E46</f>
        <v>17794939643</v>
      </c>
      <c r="F46" s="8">
        <f>+'1.b sz. Önkormányzat  '!BZ46+'2.10. sz. Intézmények összesen'!F46</f>
        <v>155500000</v>
      </c>
      <c r="G46" s="8">
        <f>+'1.b sz. Önkormányzat  '!CA46+'2.10. sz. Intézmények összesen'!G46</f>
        <v>457221071</v>
      </c>
      <c r="H46" s="8">
        <f>+'1.b sz. Önkormányzat  '!CB46+'2.10. sz. Intézmények összesen'!H46</f>
        <v>4100000</v>
      </c>
      <c r="I46" s="8">
        <f>+'1.b sz. Önkormányzat  '!CC46+'2.10. sz. Intézmények összesen'!I46</f>
        <v>5710002</v>
      </c>
      <c r="J46" s="8">
        <f t="shared" si="0"/>
        <v>14518910817</v>
      </c>
      <c r="K46" s="8">
        <f t="shared" si="1"/>
        <v>18257870716</v>
      </c>
      <c r="L46" s="8">
        <f>+'1.b sz. Önkormányzat  '!CF46</f>
        <v>0</v>
      </c>
      <c r="M46" s="8">
        <f>+'1.b sz. Önkormányzat  '!CG46</f>
        <v>0</v>
      </c>
      <c r="N46" s="14">
        <f>+D46+F46+H46</f>
        <v>14518910817</v>
      </c>
      <c r="O46" s="14">
        <f>+N46-J46</f>
        <v>0</v>
      </c>
    </row>
    <row r="47" spans="1:16" s="2" customFormat="1" ht="24.75" customHeight="1" x14ac:dyDescent="0.25">
      <c r="A47" s="9" t="s">
        <v>282</v>
      </c>
      <c r="B47" s="55" t="s">
        <v>114</v>
      </c>
      <c r="C47" s="1"/>
      <c r="D47" s="7">
        <f>+'1.b sz. Önkormányzat  '!BX47+'2.10. sz. Intézmények összesen'!D47</f>
        <v>1138925211</v>
      </c>
      <c r="E47" s="7">
        <f>+'1.b sz. Önkormányzat  '!BY47+'2.10. sz. Intézmények összesen'!E47</f>
        <v>1460596710</v>
      </c>
      <c r="F47" s="8">
        <f>+'1.b sz. Önkormányzat  '!BZ47+'2.10. sz. Intézmények összesen'!F47</f>
        <v>53728677</v>
      </c>
      <c r="G47" s="8">
        <f>+'1.b sz. Önkormányzat  '!CA47+'2.10. sz. Intézmények összesen'!G47</f>
        <v>319653776</v>
      </c>
      <c r="H47" s="8">
        <f>+'1.b sz. Önkormányzat  '!CB47+'2.10. sz. Intézmények összesen'!H47</f>
        <v>0</v>
      </c>
      <c r="I47" s="8">
        <f>+'1.b sz. Önkormányzat  '!CC47+'2.10. sz. Intézmények összesen'!I47</f>
        <v>0</v>
      </c>
      <c r="J47" s="8">
        <f t="shared" si="0"/>
        <v>1192653888</v>
      </c>
      <c r="K47" s="8">
        <f t="shared" si="1"/>
        <v>1780250486</v>
      </c>
      <c r="L47" s="8">
        <f>+'1.b sz. Önkormányzat  '!CF47</f>
        <v>0</v>
      </c>
      <c r="M47" s="8">
        <f>+'1.b sz. Önkormányzat  '!CG47</f>
        <v>314960630</v>
      </c>
      <c r="N47" s="14">
        <f>+D47+F47+H47</f>
        <v>1192653888</v>
      </c>
      <c r="O47" s="14">
        <f>+N47-J47</f>
        <v>0</v>
      </c>
      <c r="P47" s="261"/>
    </row>
    <row r="48" spans="1:16" s="2" customFormat="1" ht="24.75" customHeight="1" x14ac:dyDescent="0.25">
      <c r="A48" s="9" t="s">
        <v>283</v>
      </c>
      <c r="B48" s="55" t="s">
        <v>328</v>
      </c>
      <c r="C48" s="1" t="s">
        <v>859</v>
      </c>
      <c r="D48" s="7">
        <f>+'1.b sz. Önkormányzat  '!BX48+'2.10. sz. Intézmények összesen'!D48</f>
        <v>15498236028</v>
      </c>
      <c r="E48" s="7">
        <f>+'1.b sz. Önkormányzat  '!BY48+'2.10. sz. Intézmények összesen'!E48</f>
        <v>19255536353</v>
      </c>
      <c r="F48" s="8">
        <f>+'1.b sz. Önkormányzat  '!BZ48+'2.10. sz. Intézmények összesen'!F48</f>
        <v>209228677</v>
      </c>
      <c r="G48" s="8">
        <f>+'1.b sz. Önkormányzat  '!CA48+'2.10. sz. Intézmények összesen'!G48</f>
        <v>776874847</v>
      </c>
      <c r="H48" s="8">
        <f>+'1.b sz. Önkormányzat  '!CB48+'2.10. sz. Intézmények összesen'!H48</f>
        <v>4100000</v>
      </c>
      <c r="I48" s="8">
        <f>+'1.b sz. Önkormányzat  '!CC48+'2.10. sz. Intézmények összesen'!I48</f>
        <v>5710002</v>
      </c>
      <c r="J48" s="8">
        <f t="shared" si="0"/>
        <v>15711564705</v>
      </c>
      <c r="K48" s="8">
        <f t="shared" si="1"/>
        <v>20038121202</v>
      </c>
      <c r="L48" s="8">
        <f>+'1.b sz. Önkormányzat  '!CF48</f>
        <v>0</v>
      </c>
      <c r="M48" s="8">
        <f>+'1.b sz. Önkormányzat  '!CG48</f>
        <v>314960630</v>
      </c>
      <c r="N48" s="14">
        <f>+D48+F48+H48</f>
        <v>15711564705</v>
      </c>
      <c r="O48" s="14">
        <f>+N48-J48</f>
        <v>0</v>
      </c>
    </row>
    <row r="49" spans="1:18" s="2" customFormat="1" ht="24.75" customHeight="1" x14ac:dyDescent="0.25">
      <c r="A49" s="9" t="s">
        <v>284</v>
      </c>
      <c r="B49" s="414" t="s">
        <v>437</v>
      </c>
      <c r="C49" s="1"/>
      <c r="D49" s="7">
        <f>+'1.b sz. Önkormányzat  '!BX49+'2.10. sz. Intézmények összesen'!D49</f>
        <v>355</v>
      </c>
      <c r="E49" s="7">
        <f>+'1.b sz. Önkormányzat  '!BY49+'2.10. sz. Intézmények összesen'!E49</f>
        <v>360</v>
      </c>
      <c r="F49" s="8">
        <f>+'1.b sz. Önkormányzat  '!BZ49+'2.10. sz. Intézmények összesen'!F49</f>
        <v>19</v>
      </c>
      <c r="G49" s="8">
        <f>+'1.b sz. Önkormányzat  '!CA49+'2.10. sz. Intézmények összesen'!G49</f>
        <v>18</v>
      </c>
      <c r="H49" s="8">
        <f>+'1.b sz. Önkormányzat  '!CB49+'2.10. sz. Intézmények összesen'!H49</f>
        <v>9</v>
      </c>
      <c r="I49" s="8">
        <f>+'1.b sz. Önkormányzat  '!CC49+'2.10. sz. Intézmények összesen'!I49</f>
        <v>9</v>
      </c>
      <c r="J49" s="8">
        <f t="shared" si="0"/>
        <v>383</v>
      </c>
      <c r="K49" s="8">
        <f t="shared" si="1"/>
        <v>387</v>
      </c>
      <c r="L49" s="8">
        <f>+'1.b sz. Önkormányzat  '!CF49</f>
        <v>0</v>
      </c>
      <c r="M49" s="8">
        <f>+'1.b sz. Önkormányzat  '!CG49</f>
        <v>0</v>
      </c>
      <c r="N49" s="14">
        <f>+D49+F49+H49</f>
        <v>383</v>
      </c>
      <c r="O49" s="14">
        <f>+N49-J49</f>
        <v>0</v>
      </c>
    </row>
    <row r="50" spans="1:18" s="2" customFormat="1" ht="24.75" customHeight="1" x14ac:dyDescent="0.25">
      <c r="A50" s="9" t="s">
        <v>285</v>
      </c>
      <c r="B50" s="55" t="s">
        <v>1346</v>
      </c>
      <c r="C50" s="1"/>
      <c r="D50" s="7">
        <f>+'1.b sz. Önkormányzat  '!BX50+'2.10. sz. Intézmények összesen'!D50</f>
        <v>830000000</v>
      </c>
      <c r="E50" s="7">
        <f>+'1.b sz. Önkormányzat  '!BY50+'2.10. sz. Intézmények összesen'!E50</f>
        <v>727586700</v>
      </c>
      <c r="F50" s="8">
        <f>+'1.b sz. Önkormányzat  '!BZ50+'2.10. sz. Intézmények összesen'!F50</f>
        <v>0</v>
      </c>
      <c r="G50" s="8">
        <f>+'1.b sz. Önkormányzat  '!CA50+'2.10. sz. Intézmények összesen'!G50</f>
        <v>0</v>
      </c>
      <c r="H50" s="8">
        <f>+'1.b sz. Önkormányzat  '!CB50+'2.10. sz. Intézmények összesen'!H50</f>
        <v>0</v>
      </c>
      <c r="I50" s="8">
        <f>+'1.b sz. Önkormányzat  '!CC50+'2.10. sz. Intézmények összesen'!I50</f>
        <v>0</v>
      </c>
      <c r="J50" s="7">
        <f t="shared" si="0"/>
        <v>830000000</v>
      </c>
      <c r="K50" s="7">
        <f t="shared" si="1"/>
        <v>727586700</v>
      </c>
      <c r="L50" s="8">
        <f>+'1.b sz. Önkormányzat  '!CF50</f>
        <v>0</v>
      </c>
      <c r="M50" s="8">
        <f>+'1.b sz. Önkormányzat  '!CG50</f>
        <v>0</v>
      </c>
      <c r="N50" s="14">
        <f>+D50+F50+H50</f>
        <v>830000000</v>
      </c>
      <c r="O50" s="14">
        <f>+N50-J50</f>
        <v>0</v>
      </c>
    </row>
    <row r="51" spans="1:18" x14ac:dyDescent="0.25">
      <c r="D51" s="14"/>
      <c r="E51" s="14"/>
      <c r="F51" s="14"/>
      <c r="G51" s="14"/>
      <c r="H51" s="14"/>
      <c r="I51" s="14"/>
      <c r="J51" s="179"/>
      <c r="K51" s="14"/>
      <c r="L51" s="14"/>
      <c r="M51" s="14"/>
    </row>
    <row r="52" spans="1:18" x14ac:dyDescent="0.25">
      <c r="D52" s="14"/>
      <c r="E52" s="14"/>
      <c r="F52" s="14"/>
      <c r="G52" s="14"/>
      <c r="H52" s="14"/>
      <c r="I52" s="14"/>
      <c r="J52" s="14"/>
      <c r="K52" s="14"/>
      <c r="L52" s="14"/>
      <c r="M52" s="14"/>
    </row>
    <row r="53" spans="1:18" ht="18.75" x14ac:dyDescent="0.3">
      <c r="J53" s="412">
        <f>+J48-J29</f>
        <v>0</v>
      </c>
      <c r="K53" s="412">
        <f>+K48-K29</f>
        <v>0</v>
      </c>
      <c r="L53" s="412"/>
      <c r="O53" s="14">
        <f>+J48-J29</f>
        <v>0</v>
      </c>
      <c r="P53" s="41" t="s">
        <v>627</v>
      </c>
      <c r="Q53" s="411">
        <f>'5.sz.Műk.c.pe.átadás'!K144+'6.sz. Beruházások'!X185+'8.sz.Tartalékok'!E70</f>
        <v>727586700</v>
      </c>
    </row>
    <row r="54" spans="1:18" x14ac:dyDescent="0.25">
      <c r="N54" s="14"/>
    </row>
    <row r="55" spans="1:18" x14ac:dyDescent="0.25">
      <c r="H55" s="14"/>
      <c r="I55" s="14"/>
      <c r="J55" s="14"/>
      <c r="K55" s="14"/>
      <c r="L55" s="14"/>
      <c r="M55" s="14">
        <f>+J53+M54</f>
        <v>0</v>
      </c>
    </row>
    <row r="56" spans="1:18" x14ac:dyDescent="0.25">
      <c r="J56" s="14" t="s">
        <v>715</v>
      </c>
      <c r="K56" s="14"/>
      <c r="L56" s="14"/>
      <c r="M56" s="14" t="s">
        <v>716</v>
      </c>
      <c r="O56" s="4" t="s">
        <v>719</v>
      </c>
    </row>
    <row r="57" spans="1:18" x14ac:dyDescent="0.25">
      <c r="H57" s="4" t="s">
        <v>717</v>
      </c>
      <c r="J57" s="14">
        <f>+J8+J9+J10+J11+J12</f>
        <v>9487367785</v>
      </c>
      <c r="K57" s="14">
        <f>+K8+K9+K10+K11+K12</f>
        <v>12309704706</v>
      </c>
      <c r="L57" s="14"/>
      <c r="M57" s="14">
        <f>+J16+J17+J18</f>
        <v>1774384830</v>
      </c>
      <c r="N57" s="14">
        <f>+K16+K17+K18</f>
        <v>2753394244</v>
      </c>
      <c r="O57" s="14">
        <f>+J21</f>
        <v>4449812090</v>
      </c>
      <c r="P57" s="14">
        <f>+K21</f>
        <v>4975022252</v>
      </c>
      <c r="Q57" s="14">
        <f>+J57+M57+O57</f>
        <v>15711564705</v>
      </c>
      <c r="R57" s="14">
        <f>+K57+N57+P57</f>
        <v>20038121202</v>
      </c>
    </row>
    <row r="58" spans="1:18" x14ac:dyDescent="0.25">
      <c r="H58" s="4" t="s">
        <v>718</v>
      </c>
      <c r="J58" s="14">
        <f>+J30+J32+J33+J35</f>
        <v>7770590630</v>
      </c>
      <c r="K58" s="14">
        <f>+K30+K32+K33+K35</f>
        <v>10605512295</v>
      </c>
      <c r="L58" s="14"/>
      <c r="M58" s="14">
        <f>+J31+J34+J36</f>
        <v>60250077</v>
      </c>
      <c r="N58" s="14">
        <f>+K31+K34+K36</f>
        <v>385285176</v>
      </c>
      <c r="O58" s="14">
        <f>+J38</f>
        <v>7880723998</v>
      </c>
      <c r="P58" s="14">
        <f>+K38</f>
        <v>9047323731</v>
      </c>
      <c r="Q58" s="14">
        <f>+J58+M58+O58</f>
        <v>15711564705</v>
      </c>
      <c r="R58" s="14">
        <f>+K58+N58+P58</f>
        <v>20038121202</v>
      </c>
    </row>
    <row r="59" spans="1:18" x14ac:dyDescent="0.25">
      <c r="J59" s="14"/>
      <c r="K59" s="14"/>
      <c r="L59" s="14"/>
    </row>
    <row r="60" spans="1:18" x14ac:dyDescent="0.25">
      <c r="J60" s="14">
        <f>+J20-J37</f>
        <v>3430911908</v>
      </c>
      <c r="K60" s="14"/>
      <c r="L60" s="14"/>
      <c r="P60" s="14">
        <f>+J30+J32+J33+J35</f>
        <v>7770590630</v>
      </c>
    </row>
    <row r="61" spans="1:18" x14ac:dyDescent="0.25">
      <c r="P61" s="14">
        <f>+J31+J34+J36</f>
        <v>60250077</v>
      </c>
    </row>
    <row r="62" spans="1:18" x14ac:dyDescent="0.25">
      <c r="J62" s="14">
        <f>+J40+J41-J22-J25</f>
        <v>3430911908</v>
      </c>
      <c r="K62" s="14">
        <f>+K40+K41-K22-K25</f>
        <v>3677274554</v>
      </c>
      <c r="L62" s="14"/>
      <c r="M62" s="14">
        <f>+J62-J60</f>
        <v>0</v>
      </c>
    </row>
    <row r="64" spans="1:18" x14ac:dyDescent="0.25">
      <c r="J64" s="14">
        <f>+J48-J29</f>
        <v>0</v>
      </c>
      <c r="K64" s="14">
        <f>+K37-K29</f>
        <v>-9047323731</v>
      </c>
      <c r="L64" s="14"/>
    </row>
    <row r="67" spans="8:13" x14ac:dyDescent="0.25">
      <c r="H67" s="4" t="s">
        <v>2228</v>
      </c>
      <c r="J67" s="14">
        <f>+J42+J43</f>
        <v>4349592948</v>
      </c>
      <c r="K67" s="14">
        <f>+K42+K43</f>
        <v>4556860214</v>
      </c>
      <c r="L67" s="14"/>
      <c r="M67" s="14"/>
    </row>
    <row r="68" spans="8:13" x14ac:dyDescent="0.25">
      <c r="J68" s="14">
        <f>+J23+J24</f>
        <v>4349592948</v>
      </c>
      <c r="K68" s="14">
        <f>+K23+K24</f>
        <v>4556860214</v>
      </c>
      <c r="L68" s="14"/>
    </row>
    <row r="69" spans="8:13" x14ac:dyDescent="0.25">
      <c r="H69" s="4" t="s">
        <v>2229</v>
      </c>
      <c r="J69" s="14">
        <f>+J40+J41</f>
        <v>3531131050</v>
      </c>
      <c r="K69" s="14">
        <f>+K40+K41</f>
        <v>4095436592</v>
      </c>
      <c r="L69" s="14"/>
    </row>
    <row r="70" spans="8:13" x14ac:dyDescent="0.25">
      <c r="H70" s="4" t="s">
        <v>2230</v>
      </c>
      <c r="J70" s="14">
        <f>+J22</f>
        <v>72036518</v>
      </c>
      <c r="K70" s="14">
        <f>+K22</f>
        <v>389979414</v>
      </c>
      <c r="L70" s="14"/>
    </row>
    <row r="71" spans="8:13" x14ac:dyDescent="0.25">
      <c r="H71" s="4" t="s">
        <v>2231</v>
      </c>
      <c r="J71" s="14">
        <f>+J39</f>
        <v>0</v>
      </c>
      <c r="K71" s="14">
        <f>+K39</f>
        <v>395026925</v>
      </c>
      <c r="L71" s="14"/>
    </row>
    <row r="72" spans="8:13" x14ac:dyDescent="0.25">
      <c r="H72" s="4" t="s">
        <v>2232</v>
      </c>
      <c r="J72" s="14">
        <f>+J25</f>
        <v>28182624</v>
      </c>
      <c r="K72" s="14">
        <f>+K25</f>
        <v>28182624</v>
      </c>
      <c r="L72" s="14"/>
    </row>
  </sheetData>
  <mergeCells count="18">
    <mergeCell ref="L2:M2"/>
    <mergeCell ref="L4:L6"/>
    <mergeCell ref="M4:M6"/>
    <mergeCell ref="D2:G2"/>
    <mergeCell ref="H2:K2"/>
    <mergeCell ref="J4:J6"/>
    <mergeCell ref="H4:H6"/>
    <mergeCell ref="G4:G6"/>
    <mergeCell ref="I4:I6"/>
    <mergeCell ref="K4:K6"/>
    <mergeCell ref="A2:C2"/>
    <mergeCell ref="A3:A6"/>
    <mergeCell ref="B3:C3"/>
    <mergeCell ref="B4:C4"/>
    <mergeCell ref="F4:F6"/>
    <mergeCell ref="B5:C5"/>
    <mergeCell ref="D4:D6"/>
    <mergeCell ref="E4:E6"/>
  </mergeCells>
  <phoneticPr fontId="50" type="noConversion"/>
  <printOptions horizontalCentered="1" verticalCentered="1"/>
  <pageMargins left="0.19685039370078741" right="0.19685039370078741" top="0.39370078740157483" bottom="0.39370078740157483" header="0.51181102362204722" footer="0.51181102362204722"/>
  <pageSetup paperSize="9" scale="55" fitToHeight="0" orientation="portrait" r:id="rId1"/>
  <headerFooter alignWithMargins="0">
    <oddHeader>&amp;C2023. évi költségvetés&amp;R&amp;A</oddHeader>
    <oddFooter>&amp;C&amp;P/&amp;N</oddFooter>
  </headerFooter>
  <colBreaks count="3" manualBreakCount="3">
    <brk id="7" max="49" man="1"/>
    <brk id="11" max="49" man="1"/>
    <brk id="13" max="49"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L28"/>
  <sheetViews>
    <sheetView view="pageBreakPreview" topLeftCell="A7" zoomScaleNormal="100" zoomScaleSheetLayoutView="100" workbookViewId="0">
      <selection activeCell="K19" sqref="K19"/>
    </sheetView>
  </sheetViews>
  <sheetFormatPr defaultRowHeight="12.75" x14ac:dyDescent="0.2"/>
  <cols>
    <col min="1" max="1" width="5.5703125" style="21" customWidth="1"/>
    <col min="2" max="2" width="6" style="21" customWidth="1"/>
    <col min="3" max="3" width="7" style="21" customWidth="1"/>
    <col min="4" max="4" width="44.5703125" style="21" customWidth="1"/>
    <col min="5" max="6" width="16.85546875" style="21" customWidth="1"/>
    <col min="7" max="8" width="17.140625" style="21" customWidth="1"/>
    <col min="9" max="12" width="16.7109375" style="21" customWidth="1"/>
    <col min="13" max="16384" width="9.140625" style="21"/>
  </cols>
  <sheetData>
    <row r="1" spans="1:12" ht="23.25" customHeight="1" x14ac:dyDescent="0.2">
      <c r="A1" s="1781" t="s">
        <v>69</v>
      </c>
      <c r="B1" s="1781"/>
      <c r="C1" s="1781"/>
      <c r="D1" s="1781"/>
      <c r="E1" s="1781"/>
      <c r="F1" s="1781"/>
      <c r="G1" s="1781"/>
      <c r="H1" s="1781"/>
      <c r="I1" s="1781"/>
      <c r="J1" s="1781"/>
      <c r="K1" s="1781"/>
      <c r="L1" s="1781"/>
    </row>
    <row r="2" spans="1:12" ht="24.75" customHeight="1" x14ac:dyDescent="0.25">
      <c r="A2" s="1782"/>
      <c r="B2" s="1782"/>
      <c r="C2" s="1782"/>
      <c r="D2" s="1782"/>
      <c r="E2" s="1782"/>
      <c r="F2" s="1782"/>
      <c r="G2" s="1782"/>
      <c r="H2" s="1782"/>
      <c r="I2" s="1782"/>
      <c r="J2" s="1782"/>
      <c r="K2" s="1782"/>
      <c r="L2" s="1782"/>
    </row>
    <row r="3" spans="1:12" ht="13.5" customHeight="1" x14ac:dyDescent="0.2">
      <c r="A3" s="114"/>
      <c r="B3" s="114"/>
      <c r="C3" s="114"/>
      <c r="D3" s="114"/>
      <c r="E3" s="114"/>
      <c r="F3" s="114"/>
      <c r="G3" s="114"/>
      <c r="H3" s="114"/>
      <c r="I3" s="114"/>
      <c r="J3" s="114"/>
      <c r="L3" s="45" t="s">
        <v>431</v>
      </c>
    </row>
    <row r="4" spans="1:12" ht="29.25" customHeight="1" x14ac:dyDescent="0.2">
      <c r="A4" s="1789" t="s">
        <v>53</v>
      </c>
      <c r="B4" s="1789" t="s">
        <v>714</v>
      </c>
      <c r="C4" s="1791" t="s">
        <v>1</v>
      </c>
      <c r="D4" s="1793" t="s">
        <v>2</v>
      </c>
      <c r="E4" s="376" t="s">
        <v>273</v>
      </c>
      <c r="F4" s="959" t="s">
        <v>1561</v>
      </c>
      <c r="G4" s="376" t="s">
        <v>273</v>
      </c>
      <c r="H4" s="959" t="s">
        <v>1561</v>
      </c>
      <c r="I4" s="376" t="s">
        <v>273</v>
      </c>
      <c r="J4" s="959" t="s">
        <v>1561</v>
      </c>
      <c r="K4" s="376" t="s">
        <v>273</v>
      </c>
      <c r="L4" s="959" t="s">
        <v>1561</v>
      </c>
    </row>
    <row r="5" spans="1:12" ht="78" customHeight="1" x14ac:dyDescent="0.2">
      <c r="A5" s="1790"/>
      <c r="B5" s="1790"/>
      <c r="C5" s="1792"/>
      <c r="D5" s="1794"/>
      <c r="E5" s="1614" t="s">
        <v>1396</v>
      </c>
      <c r="F5" s="1614" t="s">
        <v>1396</v>
      </c>
      <c r="G5" s="811" t="s">
        <v>1398</v>
      </c>
      <c r="H5" s="811" t="s">
        <v>1398</v>
      </c>
      <c r="I5" s="811" t="s">
        <v>1397</v>
      </c>
      <c r="J5" s="811" t="s">
        <v>1397</v>
      </c>
      <c r="K5" s="1483" t="s">
        <v>119</v>
      </c>
      <c r="L5" s="1483" t="s">
        <v>119</v>
      </c>
    </row>
    <row r="6" spans="1:12" ht="18.75" customHeight="1" x14ac:dyDescent="0.2">
      <c r="A6" s="807"/>
      <c r="B6" s="808"/>
      <c r="C6" s="809"/>
      <c r="D6" s="810" t="s">
        <v>55</v>
      </c>
      <c r="E6" s="812" t="s">
        <v>56</v>
      </c>
      <c r="F6" s="812" t="s">
        <v>56</v>
      </c>
      <c r="G6" s="812" t="s">
        <v>61</v>
      </c>
      <c r="H6" s="812" t="s">
        <v>61</v>
      </c>
      <c r="I6" s="812" t="s">
        <v>354</v>
      </c>
      <c r="J6" s="812" t="s">
        <v>354</v>
      </c>
      <c r="K6" s="962"/>
      <c r="L6" s="963"/>
    </row>
    <row r="7" spans="1:12" s="43" customFormat="1" ht="22.5" customHeight="1" x14ac:dyDescent="0.2">
      <c r="A7" s="1785" t="s">
        <v>59</v>
      </c>
      <c r="B7" s="1786"/>
      <c r="C7" s="1786"/>
      <c r="D7" s="1786"/>
      <c r="E7" s="813">
        <f>SUM(E8:E18)</f>
        <v>1500000</v>
      </c>
      <c r="F7" s="813">
        <f>SUM(F8:F18)</f>
        <v>9700000</v>
      </c>
      <c r="G7" s="813">
        <f t="shared" ref="G7:I7" si="0">SUM(G8:G18)</f>
        <v>2000000</v>
      </c>
      <c r="H7" s="813">
        <f t="shared" si="0"/>
        <v>2968750</v>
      </c>
      <c r="I7" s="813">
        <f t="shared" si="0"/>
        <v>15320000</v>
      </c>
      <c r="J7" s="813">
        <f>SUM(J8:J18)</f>
        <v>16808495</v>
      </c>
      <c r="K7" s="961">
        <f>+E7+G7+I7</f>
        <v>18820000</v>
      </c>
      <c r="L7" s="1544">
        <f>+F7+H7+J7</f>
        <v>29477245</v>
      </c>
    </row>
    <row r="8" spans="1:12" s="275" customFormat="1" ht="22.5" customHeight="1" x14ac:dyDescent="0.2">
      <c r="A8" s="63" t="s">
        <v>188</v>
      </c>
      <c r="B8" s="177">
        <v>301</v>
      </c>
      <c r="C8" s="1489" t="s">
        <v>131</v>
      </c>
      <c r="D8" s="369" t="s">
        <v>57</v>
      </c>
      <c r="E8" s="371"/>
      <c r="F8" s="371"/>
      <c r="G8" s="371"/>
      <c r="H8" s="371"/>
      <c r="I8" s="371">
        <v>4000000</v>
      </c>
      <c r="J8" s="964">
        <f>+I8</f>
        <v>4000000</v>
      </c>
      <c r="K8" s="961">
        <f>+E8+G8+I8</f>
        <v>4000000</v>
      </c>
      <c r="L8" s="1544">
        <f t="shared" ref="L8:L21" si="1">+F8+H8+J8</f>
        <v>4000000</v>
      </c>
    </row>
    <row r="9" spans="1:12" ht="27" customHeight="1" x14ac:dyDescent="0.2">
      <c r="A9" s="148" t="s">
        <v>189</v>
      </c>
      <c r="B9" s="151">
        <v>302</v>
      </c>
      <c r="C9" s="159" t="s">
        <v>1404</v>
      </c>
      <c r="D9" s="75" t="s">
        <v>58</v>
      </c>
      <c r="E9" s="141"/>
      <c r="F9" s="141"/>
      <c r="G9" s="141"/>
      <c r="H9" s="141"/>
      <c r="I9" s="141">
        <v>4000000</v>
      </c>
      <c r="J9" s="421">
        <f>+I9</f>
        <v>4000000</v>
      </c>
      <c r="K9" s="961">
        <f>+E9+G9+I9</f>
        <v>4000000</v>
      </c>
      <c r="L9" s="1544">
        <f t="shared" si="1"/>
        <v>4000000</v>
      </c>
    </row>
    <row r="10" spans="1:12" ht="28.5" customHeight="1" x14ac:dyDescent="0.2">
      <c r="A10" s="148" t="s">
        <v>190</v>
      </c>
      <c r="B10" s="151">
        <v>317</v>
      </c>
      <c r="C10" s="159" t="s">
        <v>1288</v>
      </c>
      <c r="D10" s="351" t="s">
        <v>2686</v>
      </c>
      <c r="E10" s="141">
        <v>500000</v>
      </c>
      <c r="F10" s="141">
        <f>+E10</f>
        <v>500000</v>
      </c>
      <c r="G10" s="141"/>
      <c r="H10" s="141"/>
      <c r="I10" s="141"/>
      <c r="J10" s="421"/>
      <c r="K10" s="961">
        <f>+E10+G10+I10</f>
        <v>500000</v>
      </c>
      <c r="L10" s="1544">
        <f t="shared" si="1"/>
        <v>500000</v>
      </c>
    </row>
    <row r="11" spans="1:12" ht="27.75" customHeight="1" x14ac:dyDescent="0.2">
      <c r="A11" s="148" t="s">
        <v>191</v>
      </c>
      <c r="B11" s="152">
        <v>317</v>
      </c>
      <c r="C11" s="159" t="s">
        <v>1288</v>
      </c>
      <c r="D11" s="353" t="s">
        <v>1403</v>
      </c>
      <c r="E11" s="141">
        <v>1000000</v>
      </c>
      <c r="F11" s="141">
        <f>+E11</f>
        <v>1000000</v>
      </c>
      <c r="G11" s="141"/>
      <c r="H11" s="141"/>
      <c r="I11" s="141"/>
      <c r="J11" s="421"/>
      <c r="K11" s="961">
        <f>+E11+G11+I11</f>
        <v>1000000</v>
      </c>
      <c r="L11" s="1544">
        <f t="shared" si="1"/>
        <v>1000000</v>
      </c>
    </row>
    <row r="12" spans="1:12" ht="27.75" customHeight="1" x14ac:dyDescent="0.2">
      <c r="A12" s="148" t="s">
        <v>192</v>
      </c>
      <c r="B12" s="152">
        <v>306</v>
      </c>
      <c r="C12" s="159" t="s">
        <v>71</v>
      </c>
      <c r="D12" s="353" t="s">
        <v>2664</v>
      </c>
      <c r="E12" s="141"/>
      <c r="F12" s="141"/>
      <c r="G12" s="141"/>
      <c r="H12" s="141"/>
      <c r="I12" s="141">
        <v>6000000</v>
      </c>
      <c r="J12" s="421">
        <f>+I12+1000000+1000000</f>
        <v>8000000</v>
      </c>
      <c r="K12" s="961">
        <f>+E12+G12+I12</f>
        <v>6000000</v>
      </c>
      <c r="L12" s="1544">
        <f t="shared" si="1"/>
        <v>8000000</v>
      </c>
    </row>
    <row r="13" spans="1:12" ht="26.25" customHeight="1" x14ac:dyDescent="0.2">
      <c r="A13" s="148" t="s">
        <v>193</v>
      </c>
      <c r="B13" s="152" t="s">
        <v>67</v>
      </c>
      <c r="C13" s="159" t="s">
        <v>131</v>
      </c>
      <c r="D13" s="353" t="s">
        <v>803</v>
      </c>
      <c r="E13" s="141"/>
      <c r="F13" s="141"/>
      <c r="G13" s="141">
        <v>2000000</v>
      </c>
      <c r="H13" s="141">
        <f>+G13+968750</f>
        <v>2968750</v>
      </c>
      <c r="I13" s="141"/>
      <c r="J13" s="421"/>
      <c r="K13" s="961">
        <f t="shared" ref="K13:K22" si="2">+E13+G13+I13</f>
        <v>2000000</v>
      </c>
      <c r="L13" s="1544">
        <f t="shared" si="1"/>
        <v>2968750</v>
      </c>
    </row>
    <row r="14" spans="1:12" ht="26.25" customHeight="1" x14ac:dyDescent="0.2">
      <c r="A14" s="64" t="s">
        <v>194</v>
      </c>
      <c r="B14" s="151">
        <v>307</v>
      </c>
      <c r="C14" s="127" t="s">
        <v>73</v>
      </c>
      <c r="D14" s="75" t="s">
        <v>2335</v>
      </c>
      <c r="E14" s="141"/>
      <c r="F14" s="141"/>
      <c r="G14" s="141"/>
      <c r="H14" s="141"/>
      <c r="I14" s="141">
        <v>1320000</v>
      </c>
      <c r="J14" s="421">
        <f>+I14-1020000</f>
        <v>300000</v>
      </c>
      <c r="K14" s="961">
        <f t="shared" si="2"/>
        <v>1320000</v>
      </c>
      <c r="L14" s="1544">
        <f t="shared" si="1"/>
        <v>300000</v>
      </c>
    </row>
    <row r="15" spans="1:12" ht="41.25" customHeight="1" x14ac:dyDescent="0.2">
      <c r="A15" s="64" t="s">
        <v>195</v>
      </c>
      <c r="B15" s="151">
        <v>317</v>
      </c>
      <c r="C15" s="127" t="s">
        <v>1288</v>
      </c>
      <c r="D15" s="75" t="s">
        <v>2875</v>
      </c>
      <c r="E15" s="141"/>
      <c r="F15" s="141">
        <v>8000000</v>
      </c>
      <c r="G15" s="141"/>
      <c r="H15" s="141"/>
      <c r="I15" s="141"/>
      <c r="J15" s="421"/>
      <c r="K15" s="961">
        <f t="shared" ref="K15:L19" si="3">+E15+G15+I15</f>
        <v>0</v>
      </c>
      <c r="L15" s="1544">
        <f t="shared" si="3"/>
        <v>8000000</v>
      </c>
    </row>
    <row r="16" spans="1:12" ht="40.5" customHeight="1" x14ac:dyDescent="0.2">
      <c r="A16" s="64" t="s">
        <v>196</v>
      </c>
      <c r="B16" s="151">
        <v>306</v>
      </c>
      <c r="C16" s="127" t="s">
        <v>71</v>
      </c>
      <c r="D16" s="75" t="s">
        <v>3051</v>
      </c>
      <c r="E16" s="141"/>
      <c r="F16" s="141"/>
      <c r="G16" s="141"/>
      <c r="H16" s="141"/>
      <c r="I16" s="141"/>
      <c r="J16" s="421">
        <v>254000</v>
      </c>
      <c r="K16" s="961">
        <f t="shared" si="3"/>
        <v>0</v>
      </c>
      <c r="L16" s="1544">
        <f t="shared" si="3"/>
        <v>254000</v>
      </c>
    </row>
    <row r="17" spans="1:12" ht="40.5" customHeight="1" x14ac:dyDescent="0.2">
      <c r="A17" s="64" t="s">
        <v>197</v>
      </c>
      <c r="B17" s="151">
        <v>317</v>
      </c>
      <c r="C17" s="127" t="s">
        <v>1288</v>
      </c>
      <c r="D17" s="75" t="s">
        <v>3172</v>
      </c>
      <c r="E17" s="141"/>
      <c r="F17" s="141">
        <v>200000</v>
      </c>
      <c r="G17" s="141"/>
      <c r="H17" s="141"/>
      <c r="I17" s="141"/>
      <c r="J17" s="421"/>
      <c r="K17" s="961">
        <f t="shared" ref="K17" si="4">+E17+G17+I17</f>
        <v>0</v>
      </c>
      <c r="L17" s="1544">
        <f>+F17+H17+J17</f>
        <v>200000</v>
      </c>
    </row>
    <row r="18" spans="1:12" ht="30" customHeight="1" x14ac:dyDescent="0.2">
      <c r="A18" s="164" t="s">
        <v>198</v>
      </c>
      <c r="B18" s="728">
        <v>306</v>
      </c>
      <c r="C18" s="1488" t="s">
        <v>77</v>
      </c>
      <c r="D18" s="934" t="s">
        <v>3442</v>
      </c>
      <c r="E18" s="167"/>
      <c r="F18" s="167"/>
      <c r="G18" s="167"/>
      <c r="H18" s="167"/>
      <c r="I18" s="167"/>
      <c r="J18" s="740">
        <v>254495</v>
      </c>
      <c r="K18" s="961">
        <f t="shared" ref="K18" si="5">+E18+G18+I18</f>
        <v>0</v>
      </c>
      <c r="L18" s="1544">
        <f>+F18+H18+J18</f>
        <v>254495</v>
      </c>
    </row>
    <row r="19" spans="1:12" s="43" customFormat="1" ht="20.25" customHeight="1" x14ac:dyDescent="0.2">
      <c r="A19" s="1785" t="s">
        <v>62</v>
      </c>
      <c r="B19" s="1786"/>
      <c r="C19" s="1786"/>
      <c r="D19" s="1786"/>
      <c r="E19" s="813">
        <f>+E20</f>
        <v>0</v>
      </c>
      <c r="F19" s="813">
        <f t="shared" ref="F19:J20" si="6">+F20</f>
        <v>0</v>
      </c>
      <c r="G19" s="813">
        <f t="shared" si="6"/>
        <v>10000000</v>
      </c>
      <c r="H19" s="813">
        <f>+H20</f>
        <v>14000000</v>
      </c>
      <c r="I19" s="813">
        <f t="shared" si="6"/>
        <v>0</v>
      </c>
      <c r="J19" s="813">
        <f t="shared" si="6"/>
        <v>0</v>
      </c>
      <c r="K19" s="961">
        <f t="shared" si="3"/>
        <v>10000000</v>
      </c>
      <c r="L19" s="1544">
        <f t="shared" si="3"/>
        <v>14000000</v>
      </c>
    </row>
    <row r="20" spans="1:12" s="43" customFormat="1" ht="20.25" customHeight="1" x14ac:dyDescent="0.2">
      <c r="A20" s="1787" t="s">
        <v>491</v>
      </c>
      <c r="B20" s="1788"/>
      <c r="C20" s="1788"/>
      <c r="D20" s="1788"/>
      <c r="E20" s="814">
        <f>+E21</f>
        <v>0</v>
      </c>
      <c r="F20" s="814">
        <f t="shared" si="6"/>
        <v>0</v>
      </c>
      <c r="G20" s="814">
        <f t="shared" si="6"/>
        <v>10000000</v>
      </c>
      <c r="H20" s="814">
        <f t="shared" si="6"/>
        <v>14000000</v>
      </c>
      <c r="I20" s="814">
        <f t="shared" si="6"/>
        <v>0</v>
      </c>
      <c r="J20" s="814">
        <f t="shared" si="6"/>
        <v>0</v>
      </c>
      <c r="K20" s="961">
        <f t="shared" si="2"/>
        <v>10000000</v>
      </c>
      <c r="L20" s="1544">
        <f>+F20+H20+J20</f>
        <v>14000000</v>
      </c>
    </row>
    <row r="21" spans="1:12" ht="25.5" customHeight="1" x14ac:dyDescent="0.2">
      <c r="A21" s="244" t="s">
        <v>188</v>
      </c>
      <c r="B21" s="245" t="s">
        <v>91</v>
      </c>
      <c r="C21" s="822" t="s">
        <v>74</v>
      </c>
      <c r="D21" s="354" t="s">
        <v>60</v>
      </c>
      <c r="E21" s="355"/>
      <c r="F21" s="355"/>
      <c r="G21" s="355">
        <v>10000000</v>
      </c>
      <c r="H21" s="355">
        <f>+G21+8400+268400+1169500+553700+2000000</f>
        <v>14000000</v>
      </c>
      <c r="I21" s="355"/>
      <c r="J21" s="960"/>
      <c r="K21" s="961">
        <f t="shared" si="2"/>
        <v>10000000</v>
      </c>
      <c r="L21" s="1544">
        <f t="shared" si="1"/>
        <v>14000000</v>
      </c>
    </row>
    <row r="22" spans="1:12" ht="31.5" customHeight="1" x14ac:dyDescent="0.2">
      <c r="A22" s="1783" t="s">
        <v>29</v>
      </c>
      <c r="B22" s="1784"/>
      <c r="C22" s="1784"/>
      <c r="D22" s="1784"/>
      <c r="E22" s="72">
        <f t="shared" ref="E22:I22" si="7">+E19+E7</f>
        <v>1500000</v>
      </c>
      <c r="F22" s="72">
        <f t="shared" si="7"/>
        <v>9700000</v>
      </c>
      <c r="G22" s="72">
        <f t="shared" si="7"/>
        <v>12000000</v>
      </c>
      <c r="H22" s="72">
        <f t="shared" si="7"/>
        <v>16968750</v>
      </c>
      <c r="I22" s="72">
        <f t="shared" si="7"/>
        <v>15320000</v>
      </c>
      <c r="J22" s="72">
        <f>+J19+J7</f>
        <v>16808495</v>
      </c>
      <c r="K22" s="961">
        <f t="shared" si="2"/>
        <v>28820000</v>
      </c>
      <c r="L22" s="1544">
        <f>+F22+H22+J22</f>
        <v>43477245</v>
      </c>
    </row>
    <row r="23" spans="1:12" x14ac:dyDescent="0.2">
      <c r="E23" s="44"/>
      <c r="F23" s="44"/>
      <c r="G23" s="44"/>
      <c r="H23" s="44"/>
      <c r="I23" s="44"/>
      <c r="J23" s="44"/>
    </row>
    <row r="24" spans="1:12" x14ac:dyDescent="0.2">
      <c r="E24" s="44"/>
      <c r="F24" s="44"/>
      <c r="G24" s="44"/>
      <c r="H24" s="44"/>
      <c r="I24" s="44"/>
      <c r="J24" s="44"/>
    </row>
    <row r="25" spans="1:12" x14ac:dyDescent="0.2">
      <c r="E25" s="44"/>
      <c r="F25" s="44"/>
      <c r="G25" s="44"/>
      <c r="H25" s="44"/>
      <c r="I25" s="44"/>
      <c r="J25" s="44"/>
    </row>
    <row r="26" spans="1:12" x14ac:dyDescent="0.2">
      <c r="E26" s="44"/>
      <c r="F26" s="44"/>
      <c r="G26" s="44"/>
      <c r="H26" s="44"/>
      <c r="I26" s="44"/>
      <c r="J26" s="44"/>
    </row>
    <row r="27" spans="1:12" x14ac:dyDescent="0.2">
      <c r="E27" s="44"/>
      <c r="F27" s="44"/>
      <c r="G27" s="44"/>
      <c r="H27" s="44"/>
      <c r="I27" s="44"/>
      <c r="J27" s="44"/>
    </row>
    <row r="28" spans="1:12" x14ac:dyDescent="0.2">
      <c r="E28" s="44"/>
      <c r="F28" s="44"/>
      <c r="G28" s="44"/>
      <c r="H28" s="44"/>
      <c r="I28" s="44"/>
      <c r="J28" s="44"/>
    </row>
  </sheetData>
  <mergeCells count="10">
    <mergeCell ref="A1:L1"/>
    <mergeCell ref="A2:L2"/>
    <mergeCell ref="A22:D22"/>
    <mergeCell ref="A19:D19"/>
    <mergeCell ref="A7:D7"/>
    <mergeCell ref="A20:D20"/>
    <mergeCell ref="A4:A5"/>
    <mergeCell ref="B4:B5"/>
    <mergeCell ref="C4:C5"/>
    <mergeCell ref="D4:D5"/>
  </mergeCells>
  <phoneticPr fontId="50" type="noConversion"/>
  <printOptions horizontalCentered="1" verticalCentered="1"/>
  <pageMargins left="0.31496062992125984" right="0.31496062992125984" top="0.74803149606299213" bottom="0.74803149606299213" header="0.31496062992125984" footer="0.31496062992125984"/>
  <pageSetup paperSize="9" scale="70" orientation="landscape" r:id="rId1"/>
  <headerFooter>
    <oddHeader>&amp;C2023. évi költségvetés
&amp;R&amp;A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N171"/>
  <sheetViews>
    <sheetView view="pageBreakPreview" topLeftCell="A121" zoomScale="90" zoomScaleNormal="90" zoomScaleSheetLayoutView="90" workbookViewId="0">
      <selection activeCell="I146" sqref="I146"/>
    </sheetView>
  </sheetViews>
  <sheetFormatPr defaultRowHeight="12.75" x14ac:dyDescent="0.2"/>
  <cols>
    <col min="1" max="1" width="4.28515625" style="21" customWidth="1"/>
    <col min="2" max="2" width="3.5703125" style="21" bestFit="1" customWidth="1"/>
    <col min="3" max="3" width="5" style="21" customWidth="1"/>
    <col min="4" max="4" width="58.5703125" style="21" customWidth="1"/>
    <col min="5" max="6" width="18.5703125" style="21" customWidth="1"/>
    <col min="7" max="8" width="20" style="21" customWidth="1"/>
    <col min="9" max="10" width="20.28515625" style="21" customWidth="1"/>
    <col min="11" max="11" width="13.85546875" style="21" customWidth="1"/>
    <col min="12" max="12" width="14.5703125" style="21" customWidth="1"/>
    <col min="13" max="14" width="15.28515625" style="21" bestFit="1" customWidth="1"/>
    <col min="15" max="16384" width="9.140625" style="21"/>
  </cols>
  <sheetData>
    <row r="1" spans="1:13" ht="23.25" customHeight="1" x14ac:dyDescent="0.2">
      <c r="A1" s="1781" t="s">
        <v>63</v>
      </c>
      <c r="B1" s="1781"/>
      <c r="C1" s="1781"/>
      <c r="D1" s="1781"/>
      <c r="E1" s="1781"/>
      <c r="F1" s="1781"/>
      <c r="G1" s="1781"/>
      <c r="H1" s="1781"/>
      <c r="I1" s="1781"/>
      <c r="J1" s="1781"/>
      <c r="K1" s="1781"/>
      <c r="L1" s="1781"/>
    </row>
    <row r="2" spans="1:13" ht="27.75" customHeight="1" x14ac:dyDescent="0.25">
      <c r="A2" s="1856" t="s">
        <v>431</v>
      </c>
      <c r="B2" s="1856"/>
      <c r="C2" s="1856"/>
      <c r="D2" s="1856"/>
      <c r="E2" s="1856"/>
      <c r="F2" s="1856"/>
      <c r="G2" s="1856"/>
      <c r="H2" s="1856"/>
      <c r="I2" s="1856"/>
      <c r="J2" s="1856"/>
      <c r="K2" s="1856"/>
      <c r="L2" s="1856"/>
    </row>
    <row r="3" spans="1:13" ht="35.25" customHeight="1" x14ac:dyDescent="0.2">
      <c r="A3" s="1831" t="s">
        <v>53</v>
      </c>
      <c r="B3" s="1831" t="s">
        <v>714</v>
      </c>
      <c r="C3" s="1832" t="s">
        <v>1</v>
      </c>
      <c r="D3" s="1848" t="s">
        <v>2</v>
      </c>
      <c r="E3" s="376" t="s">
        <v>273</v>
      </c>
      <c r="F3" s="959" t="s">
        <v>1561</v>
      </c>
      <c r="G3" s="376" t="s">
        <v>273</v>
      </c>
      <c r="H3" s="959" t="s">
        <v>1561</v>
      </c>
      <c r="I3" s="376" t="s">
        <v>273</v>
      </c>
      <c r="J3" s="959" t="s">
        <v>1561</v>
      </c>
      <c r="K3" s="1855" t="s">
        <v>838</v>
      </c>
      <c r="L3" s="1855" t="s">
        <v>11</v>
      </c>
    </row>
    <row r="4" spans="1:13" ht="68.25" customHeight="1" x14ac:dyDescent="0.2">
      <c r="A4" s="1831"/>
      <c r="B4" s="1831"/>
      <c r="C4" s="1832"/>
      <c r="D4" s="1849"/>
      <c r="E4" s="1855" t="s">
        <v>70</v>
      </c>
      <c r="F4" s="1855" t="s">
        <v>70</v>
      </c>
      <c r="G4" s="1855" t="s">
        <v>762</v>
      </c>
      <c r="H4" s="1855" t="s">
        <v>762</v>
      </c>
      <c r="I4" s="1855" t="s">
        <v>66</v>
      </c>
      <c r="J4" s="1855" t="s">
        <v>66</v>
      </c>
      <c r="K4" s="1855"/>
      <c r="L4" s="1855"/>
    </row>
    <row r="5" spans="1:13" ht="23.25" customHeight="1" x14ac:dyDescent="0.2">
      <c r="A5" s="1852" t="s">
        <v>1960</v>
      </c>
      <c r="B5" s="1853"/>
      <c r="C5" s="1853"/>
      <c r="D5" s="1854"/>
      <c r="E5" s="1855"/>
      <c r="F5" s="1855"/>
      <c r="G5" s="1855"/>
      <c r="H5" s="1855"/>
      <c r="I5" s="1855"/>
      <c r="J5" s="1855"/>
      <c r="K5" s="1855"/>
      <c r="L5" s="1855"/>
    </row>
    <row r="6" spans="1:13" ht="17.25" customHeight="1" x14ac:dyDescent="0.2">
      <c r="A6" s="1850" t="s">
        <v>55</v>
      </c>
      <c r="B6" s="1851"/>
      <c r="C6" s="1851"/>
      <c r="D6" s="1851"/>
      <c r="E6" s="967" t="s">
        <v>78</v>
      </c>
      <c r="F6" s="967" t="s">
        <v>78</v>
      </c>
      <c r="G6" s="968" t="s">
        <v>763</v>
      </c>
      <c r="H6" s="968" t="s">
        <v>763</v>
      </c>
      <c r="I6" s="357" t="s">
        <v>391</v>
      </c>
      <c r="J6" s="357" t="s">
        <v>391</v>
      </c>
      <c r="K6" s="406"/>
      <c r="L6" s="966"/>
      <c r="M6" s="44"/>
    </row>
    <row r="7" spans="1:13" s="43" customFormat="1" ht="23.25" customHeight="1" x14ac:dyDescent="0.2">
      <c r="A7" s="1825" t="s">
        <v>1286</v>
      </c>
      <c r="B7" s="1805"/>
      <c r="C7" s="1805"/>
      <c r="D7" s="1618" t="s">
        <v>1287</v>
      </c>
      <c r="E7" s="47">
        <f t="shared" ref="E7:K7" si="0">+E8</f>
        <v>0</v>
      </c>
      <c r="F7" s="47">
        <f t="shared" si="0"/>
        <v>0</v>
      </c>
      <c r="G7" s="47">
        <f t="shared" si="0"/>
        <v>0</v>
      </c>
      <c r="H7" s="47">
        <f t="shared" si="0"/>
        <v>0</v>
      </c>
      <c r="I7" s="47">
        <f t="shared" si="0"/>
        <v>14856000</v>
      </c>
      <c r="J7" s="47">
        <f t="shared" si="0"/>
        <v>14856000</v>
      </c>
      <c r="K7" s="47">
        <f t="shared" si="0"/>
        <v>0</v>
      </c>
      <c r="L7" s="48"/>
      <c r="M7" s="49"/>
    </row>
    <row r="8" spans="1:13" ht="23.25" customHeight="1" x14ac:dyDescent="0.2">
      <c r="A8" s="148" t="s">
        <v>188</v>
      </c>
      <c r="B8" s="178">
        <v>313</v>
      </c>
      <c r="C8" s="150"/>
      <c r="D8" s="150" t="s">
        <v>409</v>
      </c>
      <c r="E8" s="155"/>
      <c r="F8" s="155"/>
      <c r="G8" s="155"/>
      <c r="H8" s="155"/>
      <c r="I8" s="155">
        <v>14856000</v>
      </c>
      <c r="J8" s="405">
        <f>+I8</f>
        <v>14856000</v>
      </c>
      <c r="K8" s="405"/>
      <c r="L8" s="356" t="s">
        <v>223</v>
      </c>
      <c r="M8" s="44"/>
    </row>
    <row r="9" spans="1:13" ht="23.25" customHeight="1" x14ac:dyDescent="0.2">
      <c r="A9" s="1825" t="s">
        <v>1339</v>
      </c>
      <c r="B9" s="1805"/>
      <c r="C9" s="1805"/>
      <c r="D9" s="1618" t="s">
        <v>1340</v>
      </c>
      <c r="E9" s="47">
        <f t="shared" ref="E9:K9" si="1">SUM(E10)</f>
        <v>0</v>
      </c>
      <c r="F9" s="47">
        <f t="shared" si="1"/>
        <v>0</v>
      </c>
      <c r="G9" s="47">
        <f t="shared" si="1"/>
        <v>0</v>
      </c>
      <c r="H9" s="47">
        <f t="shared" si="1"/>
        <v>0</v>
      </c>
      <c r="I9" s="47">
        <f t="shared" si="1"/>
        <v>33616800</v>
      </c>
      <c r="J9" s="47">
        <f t="shared" si="1"/>
        <v>33616800</v>
      </c>
      <c r="K9" s="47">
        <f t="shared" si="1"/>
        <v>0</v>
      </c>
      <c r="L9" s="48"/>
      <c r="M9" s="44"/>
    </row>
    <row r="10" spans="1:13" ht="23.25" customHeight="1" x14ac:dyDescent="0.2">
      <c r="A10" s="148" t="s">
        <v>188</v>
      </c>
      <c r="B10" s="178">
        <v>312</v>
      </c>
      <c r="C10" s="150"/>
      <c r="D10" s="150" t="s">
        <v>1456</v>
      </c>
      <c r="E10" s="357"/>
      <c r="F10" s="357"/>
      <c r="G10" s="357"/>
      <c r="H10" s="357"/>
      <c r="I10" s="357">
        <v>33616800</v>
      </c>
      <c r="J10" s="357">
        <f>+I10</f>
        <v>33616800</v>
      </c>
      <c r="K10" s="357"/>
      <c r="L10" s="158" t="s">
        <v>223</v>
      </c>
      <c r="M10" s="44"/>
    </row>
    <row r="11" spans="1:13" s="43" customFormat="1" ht="23.25" customHeight="1" x14ac:dyDescent="0.2">
      <c r="A11" s="1825" t="s">
        <v>71</v>
      </c>
      <c r="B11" s="1805"/>
      <c r="C11" s="1805"/>
      <c r="D11" s="1618" t="s">
        <v>1341</v>
      </c>
      <c r="E11" s="47">
        <f t="shared" ref="E11:K11" si="2">SUM(E12:E16)</f>
        <v>0</v>
      </c>
      <c r="F11" s="47">
        <f t="shared" si="2"/>
        <v>0</v>
      </c>
      <c r="G11" s="47">
        <f t="shared" si="2"/>
        <v>0</v>
      </c>
      <c r="H11" s="47">
        <f t="shared" si="2"/>
        <v>0</v>
      </c>
      <c r="I11" s="47">
        <f t="shared" si="2"/>
        <v>3000000</v>
      </c>
      <c r="J11" s="47">
        <f>SUM(J12:J21)</f>
        <v>4600000</v>
      </c>
      <c r="K11" s="47">
        <f t="shared" si="2"/>
        <v>0</v>
      </c>
      <c r="L11" s="48"/>
      <c r="M11" s="49"/>
    </row>
    <row r="12" spans="1:13" ht="23.25" customHeight="1" x14ac:dyDescent="0.2">
      <c r="A12" s="63" t="s">
        <v>188</v>
      </c>
      <c r="B12" s="177">
        <v>306</v>
      </c>
      <c r="C12" s="358"/>
      <c r="D12" s="358" t="s">
        <v>72</v>
      </c>
      <c r="E12" s="291"/>
      <c r="F12" s="291"/>
      <c r="G12" s="291"/>
      <c r="H12" s="291"/>
      <c r="I12" s="291">
        <v>500000</v>
      </c>
      <c r="J12" s="291">
        <f>+I12</f>
        <v>500000</v>
      </c>
      <c r="K12" s="291"/>
      <c r="L12" s="292" t="s">
        <v>223</v>
      </c>
      <c r="M12" s="44"/>
    </row>
    <row r="13" spans="1:13" ht="23.25" customHeight="1" x14ac:dyDescent="0.2">
      <c r="A13" s="64" t="s">
        <v>189</v>
      </c>
      <c r="B13" s="151">
        <v>306</v>
      </c>
      <c r="C13" s="128"/>
      <c r="D13" s="174" t="s">
        <v>628</v>
      </c>
      <c r="E13" s="156"/>
      <c r="F13" s="156"/>
      <c r="G13" s="156"/>
      <c r="H13" s="156"/>
      <c r="I13" s="156">
        <v>500000</v>
      </c>
      <c r="J13" s="156">
        <f>+I13</f>
        <v>500000</v>
      </c>
      <c r="K13" s="156"/>
      <c r="L13" s="80" t="s">
        <v>223</v>
      </c>
      <c r="M13" s="44"/>
    </row>
    <row r="14" spans="1:13" ht="23.25" customHeight="1" x14ac:dyDescent="0.2">
      <c r="A14" s="64" t="s">
        <v>190</v>
      </c>
      <c r="B14" s="151">
        <v>306</v>
      </c>
      <c r="C14" s="128"/>
      <c r="D14" s="174" t="s">
        <v>630</v>
      </c>
      <c r="E14" s="156"/>
      <c r="F14" s="156"/>
      <c r="G14" s="156"/>
      <c r="H14" s="156"/>
      <c r="I14" s="156">
        <v>300000</v>
      </c>
      <c r="J14" s="156">
        <f>+I14</f>
        <v>300000</v>
      </c>
      <c r="K14" s="156"/>
      <c r="L14" s="80" t="s">
        <v>223</v>
      </c>
      <c r="M14" s="44"/>
    </row>
    <row r="15" spans="1:13" ht="23.25" customHeight="1" x14ac:dyDescent="0.2">
      <c r="A15" s="64" t="s">
        <v>191</v>
      </c>
      <c r="B15" s="151">
        <v>306</v>
      </c>
      <c r="C15" s="128"/>
      <c r="D15" s="174" t="s">
        <v>629</v>
      </c>
      <c r="E15" s="156"/>
      <c r="F15" s="156"/>
      <c r="G15" s="156"/>
      <c r="H15" s="156"/>
      <c r="I15" s="156">
        <v>700000</v>
      </c>
      <c r="J15" s="156">
        <f>+I15</f>
        <v>700000</v>
      </c>
      <c r="K15" s="156"/>
      <c r="L15" s="80" t="s">
        <v>223</v>
      </c>
      <c r="M15" s="44"/>
    </row>
    <row r="16" spans="1:13" ht="23.25" customHeight="1" x14ac:dyDescent="0.2">
      <c r="A16" s="64" t="s">
        <v>192</v>
      </c>
      <c r="B16" s="151">
        <v>306</v>
      </c>
      <c r="C16" s="128"/>
      <c r="D16" s="174" t="s">
        <v>617</v>
      </c>
      <c r="E16" s="156"/>
      <c r="F16" s="156"/>
      <c r="G16" s="156"/>
      <c r="H16" s="156"/>
      <c r="I16" s="156">
        <v>1000000</v>
      </c>
      <c r="J16" s="156">
        <f>+I16</f>
        <v>1000000</v>
      </c>
      <c r="K16" s="156"/>
      <c r="L16" s="80" t="s">
        <v>223</v>
      </c>
      <c r="M16" s="44"/>
    </row>
    <row r="17" spans="1:13" ht="29.25" customHeight="1" x14ac:dyDescent="0.2">
      <c r="A17" s="64" t="s">
        <v>193</v>
      </c>
      <c r="B17" s="151">
        <v>306</v>
      </c>
      <c r="C17" s="128"/>
      <c r="D17" s="174" t="s">
        <v>1922</v>
      </c>
      <c r="E17" s="156"/>
      <c r="F17" s="156"/>
      <c r="G17" s="156"/>
      <c r="H17" s="156"/>
      <c r="I17" s="156"/>
      <c r="J17" s="156">
        <v>500000</v>
      </c>
      <c r="K17" s="156"/>
      <c r="L17" s="80" t="s">
        <v>223</v>
      </c>
      <c r="M17" s="44"/>
    </row>
    <row r="18" spans="1:13" ht="27" customHeight="1" x14ac:dyDescent="0.2">
      <c r="A18" s="64" t="s">
        <v>194</v>
      </c>
      <c r="B18" s="151">
        <v>306</v>
      </c>
      <c r="C18" s="128"/>
      <c r="D18" s="174" t="s">
        <v>2332</v>
      </c>
      <c r="E18" s="156"/>
      <c r="F18" s="156"/>
      <c r="G18" s="156"/>
      <c r="H18" s="156"/>
      <c r="I18" s="156"/>
      <c r="J18" s="156">
        <v>350000</v>
      </c>
      <c r="K18" s="156"/>
      <c r="L18" s="80" t="s">
        <v>223</v>
      </c>
      <c r="M18" s="44"/>
    </row>
    <row r="19" spans="1:13" ht="27" customHeight="1" x14ac:dyDescent="0.2">
      <c r="A19" s="64" t="s">
        <v>195</v>
      </c>
      <c r="B19" s="151">
        <v>306</v>
      </c>
      <c r="C19" s="128"/>
      <c r="D19" s="174" t="s">
        <v>2486</v>
      </c>
      <c r="E19" s="156"/>
      <c r="F19" s="156"/>
      <c r="G19" s="156"/>
      <c r="H19" s="156"/>
      <c r="I19" s="156"/>
      <c r="J19" s="156">
        <v>500000</v>
      </c>
      <c r="K19" s="156"/>
      <c r="L19" s="80" t="s">
        <v>223</v>
      </c>
      <c r="M19" s="44"/>
    </row>
    <row r="20" spans="1:13" ht="27" customHeight="1" x14ac:dyDescent="0.2">
      <c r="A20" s="64" t="s">
        <v>196</v>
      </c>
      <c r="B20" s="151">
        <v>306</v>
      </c>
      <c r="C20" s="128"/>
      <c r="D20" s="174" t="s">
        <v>2520</v>
      </c>
      <c r="E20" s="156"/>
      <c r="F20" s="156"/>
      <c r="G20" s="156"/>
      <c r="H20" s="156"/>
      <c r="I20" s="156"/>
      <c r="J20" s="156">
        <v>100000</v>
      </c>
      <c r="K20" s="156"/>
      <c r="L20" s="80" t="s">
        <v>223</v>
      </c>
      <c r="M20" s="44"/>
    </row>
    <row r="21" spans="1:13" ht="27" customHeight="1" x14ac:dyDescent="0.2">
      <c r="A21" s="164" t="s">
        <v>197</v>
      </c>
      <c r="B21" s="728">
        <v>306</v>
      </c>
      <c r="C21" s="173"/>
      <c r="D21" s="176" t="s">
        <v>3097</v>
      </c>
      <c r="E21" s="367"/>
      <c r="F21" s="367"/>
      <c r="G21" s="367"/>
      <c r="H21" s="367"/>
      <c r="I21" s="367"/>
      <c r="J21" s="367">
        <v>150000</v>
      </c>
      <c r="K21" s="367"/>
      <c r="L21" s="368" t="s">
        <v>223</v>
      </c>
      <c r="M21" s="44"/>
    </row>
    <row r="22" spans="1:13" s="43" customFormat="1" ht="23.25" customHeight="1" x14ac:dyDescent="0.2">
      <c r="A22" s="1817" t="s">
        <v>73</v>
      </c>
      <c r="B22" s="1818"/>
      <c r="C22" s="1818"/>
      <c r="D22" s="1615" t="s">
        <v>1342</v>
      </c>
      <c r="E22" s="132">
        <f t="shared" ref="E22:K22" si="3">+E23</f>
        <v>0</v>
      </c>
      <c r="F22" s="132">
        <f t="shared" si="3"/>
        <v>0</v>
      </c>
      <c r="G22" s="132">
        <f t="shared" si="3"/>
        <v>0</v>
      </c>
      <c r="H22" s="132">
        <f t="shared" si="3"/>
        <v>0</v>
      </c>
      <c r="I22" s="132">
        <f t="shared" si="3"/>
        <v>3080000</v>
      </c>
      <c r="J22" s="132">
        <f t="shared" si="3"/>
        <v>4100000</v>
      </c>
      <c r="K22" s="132">
        <f t="shared" si="3"/>
        <v>0</v>
      </c>
      <c r="L22" s="133"/>
      <c r="M22" s="49"/>
    </row>
    <row r="23" spans="1:13" ht="27.75" customHeight="1" x14ac:dyDescent="0.2">
      <c r="A23" s="1616" t="s">
        <v>188</v>
      </c>
      <c r="B23" s="157">
        <v>307</v>
      </c>
      <c r="C23" s="1617"/>
      <c r="D23" s="1328" t="s">
        <v>2336</v>
      </c>
      <c r="E23" s="357"/>
      <c r="F23" s="357"/>
      <c r="G23" s="357"/>
      <c r="H23" s="357"/>
      <c r="I23" s="357">
        <v>3080000</v>
      </c>
      <c r="J23" s="406">
        <f>+I23+1020000</f>
        <v>4100000</v>
      </c>
      <c r="K23" s="406"/>
      <c r="L23" s="158" t="s">
        <v>223</v>
      </c>
      <c r="M23" s="44"/>
    </row>
    <row r="24" spans="1:13" s="43" customFormat="1" ht="23.25" customHeight="1" x14ac:dyDescent="0.2">
      <c r="A24" s="1817" t="s">
        <v>75</v>
      </c>
      <c r="B24" s="1818"/>
      <c r="C24" s="1818"/>
      <c r="D24" s="131" t="s">
        <v>1343</v>
      </c>
      <c r="E24" s="132">
        <f>+E25</f>
        <v>0</v>
      </c>
      <c r="F24" s="132">
        <f>+F25</f>
        <v>0</v>
      </c>
      <c r="G24" s="132">
        <f>+G25</f>
        <v>0</v>
      </c>
      <c r="H24" s="132">
        <f>+H25</f>
        <v>0</v>
      </c>
      <c r="I24" s="132">
        <f>SUM(I25:I27)</f>
        <v>159260600</v>
      </c>
      <c r="J24" s="132">
        <f>SUM(J25:J27)</f>
        <v>159260600</v>
      </c>
      <c r="K24" s="132">
        <f>SUM(K25:K27)</f>
        <v>0</v>
      </c>
      <c r="L24" s="133"/>
      <c r="M24" s="49"/>
    </row>
    <row r="25" spans="1:13" ht="36.75" customHeight="1" x14ac:dyDescent="0.2">
      <c r="A25" s="63" t="s">
        <v>188</v>
      </c>
      <c r="B25" s="177">
        <v>309</v>
      </c>
      <c r="C25" s="358"/>
      <c r="D25" s="40" t="s">
        <v>1492</v>
      </c>
      <c r="E25" s="291"/>
      <c r="F25" s="291"/>
      <c r="G25" s="291"/>
      <c r="H25" s="291"/>
      <c r="I25" s="291">
        <f>(33175000)+635000</f>
        <v>33810000</v>
      </c>
      <c r="J25" s="291">
        <f>+I25</f>
        <v>33810000</v>
      </c>
      <c r="K25" s="291"/>
      <c r="L25" s="292" t="s">
        <v>222</v>
      </c>
      <c r="M25" s="44"/>
    </row>
    <row r="26" spans="1:13" ht="36.75" customHeight="1" x14ac:dyDescent="0.2">
      <c r="A26" s="64" t="s">
        <v>189</v>
      </c>
      <c r="B26" s="151">
        <v>309</v>
      </c>
      <c r="C26" s="128"/>
      <c r="D26" s="174" t="s">
        <v>1491</v>
      </c>
      <c r="E26" s="156"/>
      <c r="F26" s="156"/>
      <c r="G26" s="156"/>
      <c r="H26" s="156"/>
      <c r="I26" s="156">
        <f>+(16319500)+2451100</f>
        <v>18770600</v>
      </c>
      <c r="J26" s="156">
        <f>+I26</f>
        <v>18770600</v>
      </c>
      <c r="K26" s="156"/>
      <c r="L26" s="80" t="s">
        <v>222</v>
      </c>
      <c r="M26" s="44"/>
    </row>
    <row r="27" spans="1:13" ht="30" customHeight="1" x14ac:dyDescent="0.2">
      <c r="A27" s="164" t="s">
        <v>190</v>
      </c>
      <c r="B27" s="151">
        <v>309</v>
      </c>
      <c r="C27" s="905"/>
      <c r="D27" s="174" t="s">
        <v>1515</v>
      </c>
      <c r="E27" s="905"/>
      <c r="F27" s="905"/>
      <c r="G27" s="905"/>
      <c r="H27" s="965"/>
      <c r="I27" s="156">
        <v>106680000</v>
      </c>
      <c r="J27" s="361">
        <f>+I27</f>
        <v>106680000</v>
      </c>
      <c r="K27" s="367"/>
      <c r="L27" s="368" t="s">
        <v>222</v>
      </c>
      <c r="M27" s="44"/>
    </row>
    <row r="28" spans="1:13" s="43" customFormat="1" ht="24" customHeight="1" x14ac:dyDescent="0.2">
      <c r="A28" s="1817" t="s">
        <v>1288</v>
      </c>
      <c r="B28" s="1818"/>
      <c r="C28" s="1818"/>
      <c r="D28" s="1615" t="s">
        <v>1525</v>
      </c>
      <c r="E28" s="132">
        <f t="shared" ref="E28:K28" si="4">SUM(E29:E31)</f>
        <v>11850000</v>
      </c>
      <c r="F28" s="132">
        <f>SUM(F29:F38)</f>
        <v>16490000</v>
      </c>
      <c r="G28" s="132">
        <f t="shared" si="4"/>
        <v>0</v>
      </c>
      <c r="H28" s="132">
        <f t="shared" si="4"/>
        <v>0</v>
      </c>
      <c r="I28" s="132">
        <f t="shared" si="4"/>
        <v>0</v>
      </c>
      <c r="J28" s="132">
        <f t="shared" si="4"/>
        <v>0</v>
      </c>
      <c r="K28" s="132">
        <f t="shared" si="4"/>
        <v>0</v>
      </c>
      <c r="L28" s="133"/>
      <c r="M28" s="49"/>
    </row>
    <row r="29" spans="1:13" ht="23.25" customHeight="1" x14ac:dyDescent="0.2">
      <c r="A29" s="63" t="s">
        <v>188</v>
      </c>
      <c r="B29" s="177">
        <v>310</v>
      </c>
      <c r="C29" s="358"/>
      <c r="D29" s="358" t="s">
        <v>76</v>
      </c>
      <c r="E29" s="291">
        <v>4000000</v>
      </c>
      <c r="F29" s="291">
        <f>+E29</f>
        <v>4000000</v>
      </c>
      <c r="G29" s="291"/>
      <c r="H29" s="291"/>
      <c r="I29" s="291"/>
      <c r="J29" s="291"/>
      <c r="K29" s="291"/>
      <c r="L29" s="292" t="s">
        <v>223</v>
      </c>
      <c r="M29" s="44"/>
    </row>
    <row r="30" spans="1:13" ht="23.25" customHeight="1" x14ac:dyDescent="0.2">
      <c r="A30" s="64" t="s">
        <v>189</v>
      </c>
      <c r="B30" s="151">
        <v>317</v>
      </c>
      <c r="C30" s="128"/>
      <c r="D30" s="128" t="s">
        <v>1473</v>
      </c>
      <c r="E30" s="156">
        <v>5650000</v>
      </c>
      <c r="F30" s="156">
        <f>+E30</f>
        <v>5650000</v>
      </c>
      <c r="G30" s="156"/>
      <c r="H30" s="156"/>
      <c r="I30" s="156"/>
      <c r="J30" s="156"/>
      <c r="K30" s="156"/>
      <c r="L30" s="80" t="s">
        <v>223</v>
      </c>
      <c r="M30" s="44"/>
    </row>
    <row r="31" spans="1:13" ht="22.5" customHeight="1" x14ac:dyDescent="0.2">
      <c r="A31" s="64" t="s">
        <v>190</v>
      </c>
      <c r="B31" s="151">
        <v>317</v>
      </c>
      <c r="C31" s="128"/>
      <c r="D31" s="128" t="s">
        <v>1559</v>
      </c>
      <c r="E31" s="156">
        <v>2200000</v>
      </c>
      <c r="F31" s="156">
        <f>+E31-2200000</f>
        <v>0</v>
      </c>
      <c r="G31" s="156"/>
      <c r="H31" s="156"/>
      <c r="I31" s="156"/>
      <c r="J31" s="156"/>
      <c r="K31" s="156"/>
      <c r="L31" s="80" t="s">
        <v>223</v>
      </c>
      <c r="M31" s="44"/>
    </row>
    <row r="32" spans="1:13" ht="22.5" customHeight="1" x14ac:dyDescent="0.2">
      <c r="A32" s="164" t="s">
        <v>191</v>
      </c>
      <c r="B32" s="728">
        <v>317</v>
      </c>
      <c r="C32" s="173"/>
      <c r="D32" s="173" t="s">
        <v>2027</v>
      </c>
      <c r="E32" s="367"/>
      <c r="F32" s="367">
        <v>350000</v>
      </c>
      <c r="G32" s="367"/>
      <c r="H32" s="367"/>
      <c r="I32" s="367"/>
      <c r="J32" s="367"/>
      <c r="K32" s="367"/>
      <c r="L32" s="368" t="s">
        <v>223</v>
      </c>
      <c r="M32" s="44"/>
    </row>
    <row r="33" spans="1:13" ht="26.25" customHeight="1" x14ac:dyDescent="0.2">
      <c r="A33" s="148" t="s">
        <v>192</v>
      </c>
      <c r="B33" s="178">
        <v>317</v>
      </c>
      <c r="C33" s="150"/>
      <c r="D33" s="1684" t="s">
        <v>2028</v>
      </c>
      <c r="E33" s="155"/>
      <c r="F33" s="155">
        <v>200000</v>
      </c>
      <c r="G33" s="155"/>
      <c r="H33" s="155"/>
      <c r="I33" s="155"/>
      <c r="J33" s="155"/>
      <c r="K33" s="155"/>
      <c r="L33" s="356" t="s">
        <v>223</v>
      </c>
      <c r="M33" s="44"/>
    </row>
    <row r="34" spans="1:13" ht="26.25" customHeight="1" x14ac:dyDescent="0.2">
      <c r="A34" s="64" t="s">
        <v>193</v>
      </c>
      <c r="B34" s="151">
        <v>317</v>
      </c>
      <c r="C34" s="128"/>
      <c r="D34" s="174" t="s">
        <v>2029</v>
      </c>
      <c r="E34" s="156"/>
      <c r="F34" s="156">
        <v>340000</v>
      </c>
      <c r="G34" s="156"/>
      <c r="H34" s="156"/>
      <c r="I34" s="156"/>
      <c r="J34" s="156"/>
      <c r="K34" s="156"/>
      <c r="L34" s="80" t="s">
        <v>223</v>
      </c>
      <c r="M34" s="44"/>
    </row>
    <row r="35" spans="1:13" ht="27.75" customHeight="1" x14ac:dyDescent="0.2">
      <c r="A35" s="64" t="s">
        <v>194</v>
      </c>
      <c r="B35" s="151">
        <v>317</v>
      </c>
      <c r="C35" s="128"/>
      <c r="D35" s="174" t="s">
        <v>2030</v>
      </c>
      <c r="E35" s="156"/>
      <c r="F35" s="156">
        <v>340000</v>
      </c>
      <c r="G35" s="156"/>
      <c r="H35" s="156"/>
      <c r="I35" s="156"/>
      <c r="J35" s="156"/>
      <c r="K35" s="156"/>
      <c r="L35" s="80" t="s">
        <v>223</v>
      </c>
      <c r="M35" s="44"/>
    </row>
    <row r="36" spans="1:13" ht="29.25" customHeight="1" x14ac:dyDescent="0.2">
      <c r="A36" s="64" t="s">
        <v>195</v>
      </c>
      <c r="B36" s="151">
        <v>317</v>
      </c>
      <c r="C36" s="128"/>
      <c r="D36" s="174" t="s">
        <v>2031</v>
      </c>
      <c r="E36" s="156"/>
      <c r="F36" s="156">
        <v>310000</v>
      </c>
      <c r="G36" s="156"/>
      <c r="H36" s="156"/>
      <c r="I36" s="156"/>
      <c r="J36" s="156"/>
      <c r="K36" s="156"/>
      <c r="L36" s="80" t="s">
        <v>223</v>
      </c>
      <c r="M36" s="44"/>
    </row>
    <row r="37" spans="1:13" ht="29.25" customHeight="1" x14ac:dyDescent="0.2">
      <c r="A37" s="64" t="s">
        <v>196</v>
      </c>
      <c r="B37" s="151">
        <v>317</v>
      </c>
      <c r="C37" s="128"/>
      <c r="D37" s="174" t="s">
        <v>2874</v>
      </c>
      <c r="E37" s="156"/>
      <c r="F37" s="156">
        <v>5000000</v>
      </c>
      <c r="G37" s="156"/>
      <c r="H37" s="156"/>
      <c r="I37" s="156"/>
      <c r="J37" s="156"/>
      <c r="K37" s="156"/>
      <c r="L37" s="80" t="s">
        <v>223</v>
      </c>
      <c r="M37" s="44"/>
    </row>
    <row r="38" spans="1:13" ht="34.5" customHeight="1" x14ac:dyDescent="0.2">
      <c r="A38" s="164" t="s">
        <v>197</v>
      </c>
      <c r="B38" s="728">
        <v>317</v>
      </c>
      <c r="C38" s="173"/>
      <c r="D38" s="934" t="s">
        <v>3173</v>
      </c>
      <c r="E38" s="367"/>
      <c r="F38" s="367">
        <v>300000</v>
      </c>
      <c r="G38" s="367"/>
      <c r="H38" s="367"/>
      <c r="I38" s="367"/>
      <c r="J38" s="367"/>
      <c r="K38" s="367"/>
      <c r="L38" s="368" t="s">
        <v>223</v>
      </c>
      <c r="M38" s="44"/>
    </row>
    <row r="39" spans="1:13" ht="23.25" customHeight="1" x14ac:dyDescent="0.2">
      <c r="A39" s="1826" t="s">
        <v>602</v>
      </c>
      <c r="B39" s="1827"/>
      <c r="C39" s="1827"/>
      <c r="D39" s="359" t="s">
        <v>2350</v>
      </c>
      <c r="E39" s="132">
        <f>SUM(E40:E42)</f>
        <v>0</v>
      </c>
      <c r="F39" s="132">
        <f t="shared" ref="F39:K39" si="5">SUM(F40:F42)</f>
        <v>0</v>
      </c>
      <c r="G39" s="132">
        <f t="shared" si="5"/>
        <v>0</v>
      </c>
      <c r="H39" s="132">
        <f t="shared" si="5"/>
        <v>0</v>
      </c>
      <c r="I39" s="132">
        <f t="shared" si="5"/>
        <v>3940000</v>
      </c>
      <c r="J39" s="132">
        <f>SUM(J40:J47)</f>
        <v>6815000</v>
      </c>
      <c r="K39" s="132">
        <f t="shared" si="5"/>
        <v>0</v>
      </c>
      <c r="L39" s="360"/>
      <c r="M39" s="44"/>
    </row>
    <row r="40" spans="1:13" ht="25.5" customHeight="1" x14ac:dyDescent="0.2">
      <c r="A40" s="63" t="s">
        <v>188</v>
      </c>
      <c r="B40" s="177">
        <v>306</v>
      </c>
      <c r="C40" s="358"/>
      <c r="D40" s="727" t="s">
        <v>2331</v>
      </c>
      <c r="E40" s="291"/>
      <c r="F40" s="291"/>
      <c r="G40" s="291"/>
      <c r="H40" s="291"/>
      <c r="I40" s="291">
        <v>3000000</v>
      </c>
      <c r="J40" s="291">
        <f>+I40+2000000</f>
        <v>5000000</v>
      </c>
      <c r="K40" s="291"/>
      <c r="L40" s="292" t="s">
        <v>223</v>
      </c>
      <c r="M40" s="44"/>
    </row>
    <row r="41" spans="1:13" ht="24" customHeight="1" x14ac:dyDescent="0.2">
      <c r="A41" s="64" t="s">
        <v>189</v>
      </c>
      <c r="B41" s="151">
        <v>306</v>
      </c>
      <c r="C41" s="128"/>
      <c r="D41" s="887" t="s">
        <v>1304</v>
      </c>
      <c r="E41" s="156"/>
      <c r="F41" s="156"/>
      <c r="G41" s="156"/>
      <c r="H41" s="156"/>
      <c r="I41" s="156">
        <v>840000</v>
      </c>
      <c r="J41" s="156">
        <f>+I41</f>
        <v>840000</v>
      </c>
      <c r="K41" s="156"/>
      <c r="L41" s="80" t="s">
        <v>223</v>
      </c>
      <c r="M41" s="44"/>
    </row>
    <row r="42" spans="1:13" ht="28.5" customHeight="1" x14ac:dyDescent="0.2">
      <c r="A42" s="64" t="s">
        <v>190</v>
      </c>
      <c r="B42" s="151">
        <v>306</v>
      </c>
      <c r="C42" s="128"/>
      <c r="D42" s="174" t="s">
        <v>1493</v>
      </c>
      <c r="E42" s="156"/>
      <c r="F42" s="156"/>
      <c r="G42" s="156"/>
      <c r="H42" s="156"/>
      <c r="I42" s="156">
        <v>100000</v>
      </c>
      <c r="J42" s="156">
        <f>+I42</f>
        <v>100000</v>
      </c>
      <c r="K42" s="156"/>
      <c r="L42" s="80" t="s">
        <v>223</v>
      </c>
      <c r="M42" s="44"/>
    </row>
    <row r="43" spans="1:13" ht="25.5" customHeight="1" x14ac:dyDescent="0.2">
      <c r="A43" s="64" t="s">
        <v>191</v>
      </c>
      <c r="B43" s="151">
        <v>306</v>
      </c>
      <c r="C43" s="128"/>
      <c r="D43" s="174" t="s">
        <v>1876</v>
      </c>
      <c r="E43" s="156"/>
      <c r="F43" s="156"/>
      <c r="G43" s="156"/>
      <c r="H43" s="156"/>
      <c r="I43" s="156"/>
      <c r="J43" s="156">
        <v>150000</v>
      </c>
      <c r="K43" s="156"/>
      <c r="L43" s="80" t="s">
        <v>223</v>
      </c>
      <c r="M43" s="44"/>
    </row>
    <row r="44" spans="1:13" ht="28.5" customHeight="1" x14ac:dyDescent="0.2">
      <c r="A44" s="64" t="s">
        <v>192</v>
      </c>
      <c r="B44" s="151">
        <v>306</v>
      </c>
      <c r="C44" s="128"/>
      <c r="D44" s="174" t="s">
        <v>2279</v>
      </c>
      <c r="E44" s="156"/>
      <c r="F44" s="156"/>
      <c r="G44" s="156"/>
      <c r="H44" s="156"/>
      <c r="I44" s="156"/>
      <c r="J44" s="156">
        <v>150000</v>
      </c>
      <c r="K44" s="156"/>
      <c r="L44" s="80" t="s">
        <v>223</v>
      </c>
      <c r="M44" s="44"/>
    </row>
    <row r="45" spans="1:13" ht="28.5" customHeight="1" x14ac:dyDescent="0.2">
      <c r="A45" s="395" t="s">
        <v>193</v>
      </c>
      <c r="B45" s="401">
        <v>306</v>
      </c>
      <c r="C45" s="127"/>
      <c r="D45" s="1573" t="s">
        <v>2488</v>
      </c>
      <c r="E45" s="1574"/>
      <c r="F45" s="1574"/>
      <c r="G45" s="1574"/>
      <c r="H45" s="1574"/>
      <c r="I45" s="1574"/>
      <c r="J45" s="156">
        <v>100000</v>
      </c>
      <c r="K45" s="1574"/>
      <c r="L45" s="1575" t="s">
        <v>223</v>
      </c>
      <c r="M45" s="44"/>
    </row>
    <row r="46" spans="1:13" ht="28.5" customHeight="1" x14ac:dyDescent="0.2">
      <c r="A46" s="395" t="s">
        <v>194</v>
      </c>
      <c r="B46" s="401" t="s">
        <v>1875</v>
      </c>
      <c r="C46" s="127"/>
      <c r="D46" s="1573" t="s">
        <v>2892</v>
      </c>
      <c r="E46" s="1574"/>
      <c r="F46" s="1574"/>
      <c r="G46" s="1574"/>
      <c r="H46" s="1574"/>
      <c r="I46" s="1574"/>
      <c r="J46" s="156">
        <v>225000</v>
      </c>
      <c r="K46" s="1574"/>
      <c r="L46" s="1575" t="s">
        <v>223</v>
      </c>
      <c r="M46" s="44"/>
    </row>
    <row r="47" spans="1:13" ht="26.25" customHeight="1" x14ac:dyDescent="0.2">
      <c r="A47" s="735" t="s">
        <v>195</v>
      </c>
      <c r="B47" s="723" t="s">
        <v>1875</v>
      </c>
      <c r="C47" s="1488"/>
      <c r="D47" s="173" t="s">
        <v>3029</v>
      </c>
      <c r="E47" s="1576"/>
      <c r="F47" s="1576"/>
      <c r="G47" s="1576"/>
      <c r="H47" s="1576"/>
      <c r="I47" s="1576"/>
      <c r="J47" s="367">
        <v>250000</v>
      </c>
      <c r="K47" s="1576"/>
      <c r="L47" s="1577" t="s">
        <v>223</v>
      </c>
      <c r="M47" s="44"/>
    </row>
    <row r="48" spans="1:13" ht="23.25" customHeight="1" x14ac:dyDescent="0.2">
      <c r="A48" s="1826" t="s">
        <v>77</v>
      </c>
      <c r="B48" s="1827"/>
      <c r="C48" s="1827"/>
      <c r="D48" s="359" t="s">
        <v>1987</v>
      </c>
      <c r="E48" s="1396">
        <f>SUM(E49)</f>
        <v>0</v>
      </c>
      <c r="F48" s="1396">
        <f t="shared" ref="F48:K48" si="6">SUM(F49)</f>
        <v>0</v>
      </c>
      <c r="G48" s="1396">
        <f t="shared" si="6"/>
        <v>0</v>
      </c>
      <c r="H48" s="1396">
        <f t="shared" si="6"/>
        <v>0</v>
      </c>
      <c r="I48" s="1396">
        <f t="shared" si="6"/>
        <v>0</v>
      </c>
      <c r="J48" s="132">
        <f>SUM(J49:J56)</f>
        <v>3645505</v>
      </c>
      <c r="K48" s="1396">
        <f t="shared" si="6"/>
        <v>0</v>
      </c>
      <c r="L48" s="133"/>
      <c r="M48" s="44"/>
    </row>
    <row r="49" spans="1:14" ht="25.5" customHeight="1" x14ac:dyDescent="0.2">
      <c r="A49" s="63" t="s">
        <v>188</v>
      </c>
      <c r="B49" s="177">
        <v>306</v>
      </c>
      <c r="C49" s="358"/>
      <c r="D49" s="40" t="s">
        <v>1962</v>
      </c>
      <c r="E49" s="291"/>
      <c r="F49" s="291"/>
      <c r="G49" s="291"/>
      <c r="H49" s="291"/>
      <c r="I49" s="291"/>
      <c r="J49" s="291">
        <v>1000000</v>
      </c>
      <c r="K49" s="291"/>
      <c r="L49" s="292" t="s">
        <v>223</v>
      </c>
      <c r="M49" s="61"/>
    </row>
    <row r="50" spans="1:14" ht="27" customHeight="1" x14ac:dyDescent="0.2">
      <c r="A50" s="64" t="s">
        <v>189</v>
      </c>
      <c r="B50" s="151">
        <v>306</v>
      </c>
      <c r="C50" s="128"/>
      <c r="D50" s="174" t="s">
        <v>2278</v>
      </c>
      <c r="E50" s="156"/>
      <c r="F50" s="156"/>
      <c r="G50" s="156"/>
      <c r="H50" s="156"/>
      <c r="I50" s="156"/>
      <c r="J50" s="156">
        <v>150000</v>
      </c>
      <c r="K50" s="156"/>
      <c r="L50" s="80" t="s">
        <v>223</v>
      </c>
      <c r="M50" s="61"/>
    </row>
    <row r="51" spans="1:14" ht="27" customHeight="1" x14ac:dyDescent="0.2">
      <c r="A51" s="64" t="s">
        <v>190</v>
      </c>
      <c r="B51" s="151">
        <v>306</v>
      </c>
      <c r="C51" s="128"/>
      <c r="D51" s="174" t="s">
        <v>2287</v>
      </c>
      <c r="E51" s="156"/>
      <c r="F51" s="156"/>
      <c r="G51" s="156"/>
      <c r="H51" s="156"/>
      <c r="I51" s="156"/>
      <c r="J51" s="156">
        <v>400000</v>
      </c>
      <c r="K51" s="156"/>
      <c r="L51" s="80" t="s">
        <v>223</v>
      </c>
      <c r="M51" s="61"/>
    </row>
    <row r="52" spans="1:14" ht="29.25" customHeight="1" x14ac:dyDescent="0.2">
      <c r="A52" s="64" t="s">
        <v>191</v>
      </c>
      <c r="B52" s="151">
        <v>306</v>
      </c>
      <c r="C52" s="128"/>
      <c r="D52" s="174" t="s">
        <v>2338</v>
      </c>
      <c r="E52" s="156"/>
      <c r="F52" s="156"/>
      <c r="G52" s="156"/>
      <c r="H52" s="156"/>
      <c r="I52" s="156"/>
      <c r="J52" s="156">
        <v>100000</v>
      </c>
      <c r="K52" s="156"/>
      <c r="L52" s="80" t="s">
        <v>223</v>
      </c>
      <c r="M52" s="61"/>
    </row>
    <row r="53" spans="1:14" ht="27.75" customHeight="1" x14ac:dyDescent="0.2">
      <c r="A53" s="64" t="s">
        <v>192</v>
      </c>
      <c r="B53" s="151">
        <v>306</v>
      </c>
      <c r="C53" s="128"/>
      <c r="D53" s="174" t="s">
        <v>2863</v>
      </c>
      <c r="E53" s="156"/>
      <c r="F53" s="156"/>
      <c r="G53" s="156"/>
      <c r="H53" s="156"/>
      <c r="I53" s="156"/>
      <c r="J53" s="156">
        <f>1500000-254495</f>
        <v>1245505</v>
      </c>
      <c r="K53" s="156"/>
      <c r="L53" s="80" t="s">
        <v>223</v>
      </c>
      <c r="M53" s="61"/>
    </row>
    <row r="54" spans="1:14" ht="29.25" customHeight="1" x14ac:dyDescent="0.2">
      <c r="A54" s="64" t="s">
        <v>193</v>
      </c>
      <c r="B54" s="151">
        <v>306</v>
      </c>
      <c r="C54" s="128"/>
      <c r="D54" s="174" t="s">
        <v>2889</v>
      </c>
      <c r="E54" s="156"/>
      <c r="F54" s="156"/>
      <c r="G54" s="156"/>
      <c r="H54" s="156"/>
      <c r="I54" s="156"/>
      <c r="J54" s="156">
        <v>300000</v>
      </c>
      <c r="K54" s="156"/>
      <c r="L54" s="80" t="s">
        <v>223</v>
      </c>
      <c r="M54" s="61"/>
    </row>
    <row r="55" spans="1:14" ht="33.75" customHeight="1" x14ac:dyDescent="0.2">
      <c r="A55" s="64" t="s">
        <v>194</v>
      </c>
      <c r="B55" s="151">
        <v>306</v>
      </c>
      <c r="C55" s="128"/>
      <c r="D55" s="174" t="s">
        <v>3194</v>
      </c>
      <c r="E55" s="156"/>
      <c r="F55" s="156"/>
      <c r="G55" s="156"/>
      <c r="H55" s="156"/>
      <c r="I55" s="156"/>
      <c r="J55" s="156">
        <v>200000</v>
      </c>
      <c r="K55" s="156"/>
      <c r="L55" s="80" t="s">
        <v>223</v>
      </c>
      <c r="M55" s="61"/>
    </row>
    <row r="56" spans="1:14" ht="33.75" customHeight="1" x14ac:dyDescent="0.2">
      <c r="A56" s="164" t="s">
        <v>195</v>
      </c>
      <c r="B56" s="728">
        <v>306</v>
      </c>
      <c r="C56" s="173"/>
      <c r="D56" s="176" t="s">
        <v>3197</v>
      </c>
      <c r="E56" s="367"/>
      <c r="F56" s="367"/>
      <c r="G56" s="367"/>
      <c r="H56" s="367"/>
      <c r="I56" s="367"/>
      <c r="J56" s="367">
        <v>250000</v>
      </c>
      <c r="K56" s="367"/>
      <c r="L56" s="368" t="s">
        <v>223</v>
      </c>
      <c r="M56" s="61"/>
    </row>
    <row r="57" spans="1:14" ht="24.75" customHeight="1" x14ac:dyDescent="0.2">
      <c r="A57" s="1795" t="s">
        <v>2041</v>
      </c>
      <c r="B57" s="1796"/>
      <c r="C57" s="1797"/>
      <c r="D57" s="359" t="s">
        <v>3295</v>
      </c>
      <c r="E57" s="132">
        <f>SUM(E58)</f>
        <v>0</v>
      </c>
      <c r="F57" s="132">
        <f t="shared" ref="F57:K57" si="7">SUM(F58)</f>
        <v>0</v>
      </c>
      <c r="G57" s="132">
        <f t="shared" si="7"/>
        <v>0</v>
      </c>
      <c r="H57" s="132">
        <f t="shared" si="7"/>
        <v>0</v>
      </c>
      <c r="I57" s="132">
        <f t="shared" si="7"/>
        <v>0</v>
      </c>
      <c r="J57" s="132">
        <f t="shared" si="7"/>
        <v>150000</v>
      </c>
      <c r="K57" s="132">
        <f t="shared" si="7"/>
        <v>0</v>
      </c>
      <c r="L57" s="133"/>
      <c r="M57" s="61"/>
    </row>
    <row r="58" spans="1:14" ht="39" customHeight="1" x14ac:dyDescent="0.2">
      <c r="A58" s="1621" t="s">
        <v>188</v>
      </c>
      <c r="B58" s="1595">
        <v>303</v>
      </c>
      <c r="C58" s="1622"/>
      <c r="D58" s="1327" t="s">
        <v>3296</v>
      </c>
      <c r="E58" s="1396"/>
      <c r="F58" s="1396"/>
      <c r="G58" s="1396"/>
      <c r="H58" s="1396"/>
      <c r="I58" s="1396"/>
      <c r="J58" s="1396">
        <v>150000</v>
      </c>
      <c r="K58" s="1396"/>
      <c r="L58" s="133" t="s">
        <v>223</v>
      </c>
      <c r="M58" s="61"/>
    </row>
    <row r="59" spans="1:14" ht="25.5" customHeight="1" x14ac:dyDescent="0.2">
      <c r="A59" s="1841" t="s">
        <v>2044</v>
      </c>
      <c r="B59" s="1842"/>
      <c r="C59" s="1842"/>
      <c r="D59" s="1842"/>
      <c r="E59" s="1842"/>
      <c r="F59" s="1842"/>
      <c r="G59" s="1842"/>
      <c r="H59" s="1842"/>
      <c r="I59" s="1842"/>
      <c r="J59" s="1842"/>
      <c r="K59" s="1842"/>
      <c r="L59" s="1843"/>
      <c r="M59" s="1438"/>
      <c r="N59" s="1438"/>
    </row>
    <row r="60" spans="1:14" ht="25.5" customHeight="1" x14ac:dyDescent="0.2">
      <c r="A60" s="1844"/>
      <c r="B60" s="1845"/>
      <c r="C60" s="1845"/>
      <c r="D60" s="1845"/>
      <c r="E60" s="1845"/>
      <c r="F60" s="1845"/>
      <c r="G60" s="1845"/>
      <c r="H60" s="1845"/>
      <c r="I60" s="1845"/>
      <c r="J60" s="1845"/>
      <c r="K60" s="1845"/>
      <c r="L60" s="1846"/>
      <c r="M60" s="1438"/>
      <c r="N60" s="1438"/>
    </row>
    <row r="61" spans="1:14" ht="30.75" customHeight="1" x14ac:dyDescent="0.2">
      <c r="A61" s="1831" t="s">
        <v>53</v>
      </c>
      <c r="B61" s="1831" t="s">
        <v>714</v>
      </c>
      <c r="C61" s="1832" t="s">
        <v>1</v>
      </c>
      <c r="D61" s="1833" t="s">
        <v>2</v>
      </c>
      <c r="E61" s="1442" t="s">
        <v>273</v>
      </c>
      <c r="F61" s="1614" t="s">
        <v>1561</v>
      </c>
      <c r="G61" s="1614" t="s">
        <v>273</v>
      </c>
      <c r="H61" s="1614" t="s">
        <v>1561</v>
      </c>
      <c r="I61" s="1614" t="s">
        <v>273</v>
      </c>
      <c r="J61" s="1614" t="s">
        <v>1561</v>
      </c>
      <c r="K61" s="1798" t="s">
        <v>838</v>
      </c>
      <c r="L61" s="1798" t="s">
        <v>11</v>
      </c>
    </row>
    <row r="62" spans="1:14" ht="75" customHeight="1" x14ac:dyDescent="0.2">
      <c r="A62" s="1831"/>
      <c r="B62" s="1831"/>
      <c r="C62" s="1832"/>
      <c r="D62" s="1834"/>
      <c r="E62" s="1442" t="s">
        <v>70</v>
      </c>
      <c r="F62" s="1614" t="s">
        <v>70</v>
      </c>
      <c r="G62" s="1614" t="s">
        <v>762</v>
      </c>
      <c r="H62" s="1614" t="s">
        <v>762</v>
      </c>
      <c r="I62" s="1614" t="s">
        <v>66</v>
      </c>
      <c r="J62" s="1614" t="s">
        <v>66</v>
      </c>
      <c r="K62" s="1799"/>
      <c r="L62" s="1799"/>
    </row>
    <row r="63" spans="1:14" ht="18.75" customHeight="1" x14ac:dyDescent="0.2">
      <c r="A63" s="1802" t="s">
        <v>55</v>
      </c>
      <c r="B63" s="1803"/>
      <c r="C63" s="1803"/>
      <c r="D63" s="1803"/>
      <c r="E63" s="1431" t="s">
        <v>78</v>
      </c>
      <c r="F63" s="1431" t="s">
        <v>78</v>
      </c>
      <c r="G63" s="1431" t="s">
        <v>763</v>
      </c>
      <c r="H63" s="1431" t="s">
        <v>763</v>
      </c>
      <c r="I63" s="1396" t="s">
        <v>391</v>
      </c>
      <c r="J63" s="1396" t="s">
        <v>391</v>
      </c>
      <c r="K63" s="1439"/>
      <c r="L63" s="1440"/>
    </row>
    <row r="64" spans="1:14" ht="25.5" customHeight="1" x14ac:dyDescent="0.2">
      <c r="A64" s="1804" t="s">
        <v>77</v>
      </c>
      <c r="B64" s="1805"/>
      <c r="C64" s="1805"/>
      <c r="D64" s="1432" t="s">
        <v>2043</v>
      </c>
      <c r="E64" s="47">
        <f>SUM(E65:E70)</f>
        <v>0</v>
      </c>
      <c r="F64" s="47">
        <f t="shared" ref="F64:I64" si="8">SUM(F65:F70)</f>
        <v>0</v>
      </c>
      <c r="G64" s="47">
        <f t="shared" si="8"/>
        <v>0</v>
      </c>
      <c r="H64" s="47">
        <f t="shared" si="8"/>
        <v>0</v>
      </c>
      <c r="I64" s="47">
        <f t="shared" si="8"/>
        <v>0</v>
      </c>
      <c r="J64" s="47">
        <f>SUM(J65:J70)</f>
        <v>2000000</v>
      </c>
      <c r="K64" s="47">
        <f>SUM(K65:K70)</f>
        <v>0</v>
      </c>
      <c r="L64" s="48"/>
      <c r="M64" s="1430"/>
    </row>
    <row r="65" spans="1:14" ht="25.5" customHeight="1" x14ac:dyDescent="0.2">
      <c r="A65" s="63" t="s">
        <v>188</v>
      </c>
      <c r="B65" s="177">
        <v>306</v>
      </c>
      <c r="C65" s="358"/>
      <c r="D65" s="40" t="s">
        <v>2045</v>
      </c>
      <c r="E65" s="291"/>
      <c r="F65" s="291"/>
      <c r="G65" s="291"/>
      <c r="H65" s="291"/>
      <c r="I65" s="291"/>
      <c r="J65" s="291">
        <v>500000</v>
      </c>
      <c r="K65" s="291"/>
      <c r="L65" s="292" t="s">
        <v>223</v>
      </c>
      <c r="M65" s="44"/>
    </row>
    <row r="66" spans="1:14" ht="25.5" customHeight="1" x14ac:dyDescent="0.2">
      <c r="A66" s="64" t="s">
        <v>189</v>
      </c>
      <c r="B66" s="151">
        <v>306</v>
      </c>
      <c r="C66" s="128"/>
      <c r="D66" s="128" t="s">
        <v>2046</v>
      </c>
      <c r="E66" s="156"/>
      <c r="F66" s="156"/>
      <c r="G66" s="156"/>
      <c r="H66" s="156"/>
      <c r="I66" s="156"/>
      <c r="J66" s="156">
        <v>200000</v>
      </c>
      <c r="K66" s="156"/>
      <c r="L66" s="80" t="s">
        <v>223</v>
      </c>
      <c r="M66" s="44"/>
    </row>
    <row r="67" spans="1:14" ht="25.5" customHeight="1" x14ac:dyDescent="0.2">
      <c r="A67" s="64" t="s">
        <v>190</v>
      </c>
      <c r="B67" s="151">
        <v>306</v>
      </c>
      <c r="C67" s="128"/>
      <c r="D67" s="174" t="s">
        <v>2047</v>
      </c>
      <c r="E67" s="156"/>
      <c r="F67" s="156"/>
      <c r="G67" s="156"/>
      <c r="H67" s="156"/>
      <c r="I67" s="156"/>
      <c r="J67" s="156">
        <v>100000</v>
      </c>
      <c r="K67" s="156"/>
      <c r="L67" s="80" t="s">
        <v>223</v>
      </c>
      <c r="M67" s="44"/>
    </row>
    <row r="68" spans="1:14" ht="25.5" customHeight="1" x14ac:dyDescent="0.2">
      <c r="A68" s="64" t="s">
        <v>191</v>
      </c>
      <c r="B68" s="151">
        <v>306</v>
      </c>
      <c r="C68" s="128"/>
      <c r="D68" s="174" t="s">
        <v>2048</v>
      </c>
      <c r="E68" s="156"/>
      <c r="F68" s="156"/>
      <c r="G68" s="156"/>
      <c r="H68" s="156"/>
      <c r="I68" s="156"/>
      <c r="J68" s="156">
        <v>700000</v>
      </c>
      <c r="K68" s="156"/>
      <c r="L68" s="80" t="s">
        <v>223</v>
      </c>
      <c r="M68" s="44"/>
    </row>
    <row r="69" spans="1:14" ht="25.5" customHeight="1" x14ac:dyDescent="0.2">
      <c r="A69" s="64" t="s">
        <v>192</v>
      </c>
      <c r="B69" s="151">
        <v>306</v>
      </c>
      <c r="C69" s="128"/>
      <c r="D69" s="128" t="s">
        <v>2049</v>
      </c>
      <c r="E69" s="156"/>
      <c r="F69" s="156"/>
      <c r="G69" s="156"/>
      <c r="H69" s="156"/>
      <c r="I69" s="156"/>
      <c r="J69" s="156">
        <v>200000</v>
      </c>
      <c r="K69" s="156"/>
      <c r="L69" s="80" t="s">
        <v>223</v>
      </c>
      <c r="M69" s="61"/>
    </row>
    <row r="70" spans="1:14" ht="25.5" customHeight="1" x14ac:dyDescent="0.2">
      <c r="A70" s="64" t="s">
        <v>193</v>
      </c>
      <c r="B70" s="151">
        <v>306</v>
      </c>
      <c r="C70" s="128"/>
      <c r="D70" s="128" t="s">
        <v>2050</v>
      </c>
      <c r="E70" s="156"/>
      <c r="F70" s="156"/>
      <c r="G70" s="156"/>
      <c r="H70" s="156"/>
      <c r="I70" s="156"/>
      <c r="J70" s="156">
        <v>300000</v>
      </c>
      <c r="K70" s="156"/>
      <c r="L70" s="80" t="s">
        <v>223</v>
      </c>
      <c r="M70" s="61"/>
    </row>
    <row r="71" spans="1:14" ht="25.5" customHeight="1" x14ac:dyDescent="0.2">
      <c r="A71" s="1804" t="s">
        <v>71</v>
      </c>
      <c r="B71" s="1805"/>
      <c r="C71" s="1805"/>
      <c r="D71" s="1432" t="s">
        <v>2051</v>
      </c>
      <c r="E71" s="47">
        <f>SUM(E72:E82)</f>
        <v>0</v>
      </c>
      <c r="F71" s="47">
        <f t="shared" ref="F71:K71" si="9">SUM(F72:F82)</f>
        <v>0</v>
      </c>
      <c r="G71" s="47">
        <f t="shared" si="9"/>
        <v>0</v>
      </c>
      <c r="H71" s="47">
        <f t="shared" si="9"/>
        <v>0</v>
      </c>
      <c r="I71" s="47">
        <f t="shared" si="9"/>
        <v>0</v>
      </c>
      <c r="J71" s="47">
        <f t="shared" si="9"/>
        <v>1285000</v>
      </c>
      <c r="K71" s="47">
        <f t="shared" si="9"/>
        <v>0</v>
      </c>
      <c r="L71" s="48"/>
      <c r="M71" s="1441"/>
      <c r="N71" s="1430"/>
    </row>
    <row r="72" spans="1:14" ht="25.5" customHeight="1" x14ac:dyDescent="0.2">
      <c r="A72" s="63" t="s">
        <v>188</v>
      </c>
      <c r="B72" s="177">
        <v>306</v>
      </c>
      <c r="C72" s="358"/>
      <c r="D72" s="358" t="s">
        <v>2052</v>
      </c>
      <c r="E72" s="291"/>
      <c r="F72" s="291"/>
      <c r="G72" s="291"/>
      <c r="H72" s="291"/>
      <c r="I72" s="291"/>
      <c r="J72" s="291">
        <v>15000</v>
      </c>
      <c r="K72" s="291"/>
      <c r="L72" s="292" t="s">
        <v>223</v>
      </c>
      <c r="M72" s="61"/>
    </row>
    <row r="73" spans="1:14" ht="25.5" customHeight="1" x14ac:dyDescent="0.2">
      <c r="A73" s="64" t="s">
        <v>189</v>
      </c>
      <c r="B73" s="151">
        <v>306</v>
      </c>
      <c r="C73" s="128"/>
      <c r="D73" s="128" t="s">
        <v>2053</v>
      </c>
      <c r="E73" s="156"/>
      <c r="F73" s="156"/>
      <c r="G73" s="156"/>
      <c r="H73" s="156"/>
      <c r="I73" s="156"/>
      <c r="J73" s="156">
        <v>150000</v>
      </c>
      <c r="K73" s="156"/>
      <c r="L73" s="80" t="s">
        <v>223</v>
      </c>
      <c r="M73" s="44"/>
    </row>
    <row r="74" spans="1:14" ht="25.5" customHeight="1" x14ac:dyDescent="0.2">
      <c r="A74" s="64" t="s">
        <v>190</v>
      </c>
      <c r="B74" s="151">
        <v>306</v>
      </c>
      <c r="C74" s="128"/>
      <c r="D74" s="174" t="s">
        <v>2054</v>
      </c>
      <c r="E74" s="156"/>
      <c r="F74" s="156"/>
      <c r="G74" s="156"/>
      <c r="H74" s="156"/>
      <c r="I74" s="156"/>
      <c r="J74" s="156">
        <v>50000</v>
      </c>
      <c r="K74" s="156"/>
      <c r="L74" s="80" t="s">
        <v>223</v>
      </c>
      <c r="M74" s="44"/>
    </row>
    <row r="75" spans="1:14" ht="25.5" customHeight="1" x14ac:dyDescent="0.2">
      <c r="A75" s="64" t="s">
        <v>191</v>
      </c>
      <c r="B75" s="151">
        <v>306</v>
      </c>
      <c r="C75" s="128"/>
      <c r="D75" s="128" t="s">
        <v>2055</v>
      </c>
      <c r="E75" s="156"/>
      <c r="F75" s="156"/>
      <c r="G75" s="156"/>
      <c r="H75" s="156"/>
      <c r="I75" s="156"/>
      <c r="J75" s="156">
        <v>100000</v>
      </c>
      <c r="K75" s="156"/>
      <c r="L75" s="80" t="s">
        <v>223</v>
      </c>
      <c r="M75" s="44"/>
    </row>
    <row r="76" spans="1:14" ht="25.5" customHeight="1" x14ac:dyDescent="0.2">
      <c r="A76" s="64" t="s">
        <v>192</v>
      </c>
      <c r="B76" s="151">
        <v>306</v>
      </c>
      <c r="C76" s="128"/>
      <c r="D76" s="128" t="s">
        <v>2056</v>
      </c>
      <c r="E76" s="156"/>
      <c r="F76" s="156"/>
      <c r="G76" s="156"/>
      <c r="H76" s="156"/>
      <c r="I76" s="156"/>
      <c r="J76" s="156">
        <v>150000</v>
      </c>
      <c r="K76" s="156"/>
      <c r="L76" s="80" t="s">
        <v>223</v>
      </c>
      <c r="M76" s="44"/>
    </row>
    <row r="77" spans="1:14" ht="25.5" customHeight="1" x14ac:dyDescent="0.2">
      <c r="A77" s="64" t="s">
        <v>193</v>
      </c>
      <c r="B77" s="151">
        <v>306</v>
      </c>
      <c r="C77" s="128"/>
      <c r="D77" s="128" t="s">
        <v>2057</v>
      </c>
      <c r="E77" s="156"/>
      <c r="F77" s="156"/>
      <c r="G77" s="156"/>
      <c r="H77" s="156"/>
      <c r="I77" s="156"/>
      <c r="J77" s="156">
        <v>400000</v>
      </c>
      <c r="K77" s="156"/>
      <c r="L77" s="80" t="s">
        <v>223</v>
      </c>
      <c r="M77" s="44"/>
    </row>
    <row r="78" spans="1:14" ht="25.5" customHeight="1" x14ac:dyDescent="0.2">
      <c r="A78" s="64" t="s">
        <v>194</v>
      </c>
      <c r="B78" s="151">
        <v>306</v>
      </c>
      <c r="C78" s="128"/>
      <c r="D78" s="128" t="s">
        <v>2058</v>
      </c>
      <c r="E78" s="156"/>
      <c r="F78" s="156"/>
      <c r="G78" s="156"/>
      <c r="H78" s="156"/>
      <c r="I78" s="156"/>
      <c r="J78" s="156">
        <v>60000</v>
      </c>
      <c r="K78" s="156"/>
      <c r="L78" s="80" t="s">
        <v>223</v>
      </c>
      <c r="M78" s="44"/>
    </row>
    <row r="79" spans="1:14" ht="25.5" customHeight="1" x14ac:dyDescent="0.2">
      <c r="A79" s="64" t="s">
        <v>195</v>
      </c>
      <c r="B79" s="151">
        <v>306</v>
      </c>
      <c r="C79" s="128"/>
      <c r="D79" s="174" t="s">
        <v>2059</v>
      </c>
      <c r="E79" s="156"/>
      <c r="F79" s="156"/>
      <c r="G79" s="156"/>
      <c r="H79" s="156"/>
      <c r="I79" s="156"/>
      <c r="J79" s="156">
        <f>150000-150000</f>
        <v>0</v>
      </c>
      <c r="K79" s="156"/>
      <c r="L79" s="80" t="s">
        <v>223</v>
      </c>
      <c r="M79" s="44"/>
    </row>
    <row r="80" spans="1:14" ht="25.5" customHeight="1" x14ac:dyDescent="0.2">
      <c r="A80" s="64" t="s">
        <v>196</v>
      </c>
      <c r="B80" s="151">
        <v>306</v>
      </c>
      <c r="C80" s="128"/>
      <c r="D80" s="174" t="s">
        <v>2060</v>
      </c>
      <c r="E80" s="156"/>
      <c r="F80" s="156"/>
      <c r="G80" s="156"/>
      <c r="H80" s="156"/>
      <c r="I80" s="156"/>
      <c r="J80" s="156">
        <v>250000</v>
      </c>
      <c r="K80" s="156"/>
      <c r="L80" s="80" t="s">
        <v>223</v>
      </c>
      <c r="M80" s="44"/>
    </row>
    <row r="81" spans="1:14" ht="25.5" customHeight="1" x14ac:dyDescent="0.2">
      <c r="A81" s="64" t="s">
        <v>197</v>
      </c>
      <c r="B81" s="151">
        <v>306</v>
      </c>
      <c r="C81" s="128"/>
      <c r="D81" s="128" t="s">
        <v>2061</v>
      </c>
      <c r="E81" s="156"/>
      <c r="F81" s="156"/>
      <c r="G81" s="156"/>
      <c r="H81" s="156"/>
      <c r="I81" s="156"/>
      <c r="J81" s="156">
        <v>50000</v>
      </c>
      <c r="K81" s="156"/>
      <c r="L81" s="80" t="s">
        <v>223</v>
      </c>
      <c r="M81" s="61"/>
    </row>
    <row r="82" spans="1:14" ht="25.5" customHeight="1" x14ac:dyDescent="0.2">
      <c r="A82" s="1616" t="s">
        <v>198</v>
      </c>
      <c r="B82" s="157">
        <v>306</v>
      </c>
      <c r="C82" s="1617"/>
      <c r="D82" s="174" t="s">
        <v>2068</v>
      </c>
      <c r="E82" s="357"/>
      <c r="F82" s="357"/>
      <c r="G82" s="357"/>
      <c r="H82" s="357"/>
      <c r="I82" s="357"/>
      <c r="J82" s="357">
        <v>60000</v>
      </c>
      <c r="K82" s="357"/>
      <c r="L82" s="158" t="s">
        <v>223</v>
      </c>
      <c r="M82" s="61"/>
    </row>
    <row r="83" spans="1:14" ht="25.5" customHeight="1" x14ac:dyDescent="0.2">
      <c r="A83" s="1804" t="s">
        <v>602</v>
      </c>
      <c r="B83" s="1847"/>
      <c r="C83" s="1847"/>
      <c r="D83" s="1432" t="s">
        <v>2062</v>
      </c>
      <c r="E83" s="47">
        <f>SUM(E84:E111)</f>
        <v>0</v>
      </c>
      <c r="F83" s="47">
        <f t="shared" ref="F83:K83" si="10">SUM(F84:F111)</f>
        <v>0</v>
      </c>
      <c r="G83" s="47">
        <f t="shared" si="10"/>
        <v>0</v>
      </c>
      <c r="H83" s="47">
        <f t="shared" si="10"/>
        <v>0</v>
      </c>
      <c r="I83" s="47">
        <f t="shared" si="10"/>
        <v>0</v>
      </c>
      <c r="J83" s="47">
        <f t="shared" si="10"/>
        <v>9391000</v>
      </c>
      <c r="K83" s="47">
        <f t="shared" si="10"/>
        <v>0</v>
      </c>
      <c r="L83" s="48"/>
      <c r="N83" s="1441"/>
    </row>
    <row r="84" spans="1:14" ht="25.5" customHeight="1" x14ac:dyDescent="0.2">
      <c r="A84" s="63" t="s">
        <v>188</v>
      </c>
      <c r="B84" s="177" t="s">
        <v>1875</v>
      </c>
      <c r="C84" s="358"/>
      <c r="D84" s="358" t="s">
        <v>2052</v>
      </c>
      <c r="E84" s="1445"/>
      <c r="F84" s="1445"/>
      <c r="G84" s="1445"/>
      <c r="H84" s="1445"/>
      <c r="I84" s="1445"/>
      <c r="J84" s="1447">
        <v>165000</v>
      </c>
      <c r="K84" s="1445"/>
      <c r="L84" s="1449" t="s">
        <v>223</v>
      </c>
      <c r="N84" s="1441"/>
    </row>
    <row r="85" spans="1:14" ht="25.5" customHeight="1" x14ac:dyDescent="0.2">
      <c r="A85" s="64" t="s">
        <v>189</v>
      </c>
      <c r="B85" s="151">
        <v>306</v>
      </c>
      <c r="C85" s="128"/>
      <c r="D85" s="128" t="s">
        <v>2063</v>
      </c>
      <c r="E85" s="1446"/>
      <c r="F85" s="1446"/>
      <c r="G85" s="1446"/>
      <c r="H85" s="1446"/>
      <c r="I85" s="1446"/>
      <c r="J85" s="1448">
        <v>350000</v>
      </c>
      <c r="K85" s="1446"/>
      <c r="L85" s="1450" t="s">
        <v>223</v>
      </c>
      <c r="N85" s="1441"/>
    </row>
    <row r="86" spans="1:14" ht="25.5" customHeight="1" x14ac:dyDescent="0.2">
      <c r="A86" s="64" t="s">
        <v>190</v>
      </c>
      <c r="B86" s="151">
        <v>306</v>
      </c>
      <c r="C86" s="128"/>
      <c r="D86" s="128" t="s">
        <v>2064</v>
      </c>
      <c r="E86" s="1446"/>
      <c r="F86" s="1446"/>
      <c r="G86" s="1446"/>
      <c r="H86" s="1446"/>
      <c r="I86" s="1446"/>
      <c r="J86" s="1448">
        <v>350000</v>
      </c>
      <c r="K86" s="1446"/>
      <c r="L86" s="1450" t="s">
        <v>223</v>
      </c>
      <c r="N86" s="1441"/>
    </row>
    <row r="87" spans="1:14" ht="25.5" customHeight="1" x14ac:dyDescent="0.2">
      <c r="A87" s="164" t="s">
        <v>191</v>
      </c>
      <c r="B87" s="728">
        <v>306</v>
      </c>
      <c r="C87" s="173"/>
      <c r="D87" s="173" t="s">
        <v>2065</v>
      </c>
      <c r="E87" s="1681"/>
      <c r="F87" s="1681"/>
      <c r="G87" s="1681"/>
      <c r="H87" s="1681"/>
      <c r="I87" s="1681"/>
      <c r="J87" s="1682">
        <v>500000</v>
      </c>
      <c r="K87" s="1681"/>
      <c r="L87" s="1683" t="s">
        <v>223</v>
      </c>
      <c r="N87" s="1441"/>
    </row>
    <row r="88" spans="1:14" ht="25.5" customHeight="1" x14ac:dyDescent="0.2">
      <c r="A88" s="148" t="s">
        <v>192</v>
      </c>
      <c r="B88" s="178">
        <v>306</v>
      </c>
      <c r="C88" s="150"/>
      <c r="D88" s="150" t="s">
        <v>2066</v>
      </c>
      <c r="E88" s="1678"/>
      <c r="F88" s="1678"/>
      <c r="G88" s="1678"/>
      <c r="H88" s="1678"/>
      <c r="I88" s="1678"/>
      <c r="J88" s="1679">
        <v>250000</v>
      </c>
      <c r="K88" s="1678"/>
      <c r="L88" s="1680" t="s">
        <v>223</v>
      </c>
      <c r="N88" s="1441"/>
    </row>
    <row r="89" spans="1:14" ht="25.5" customHeight="1" x14ac:dyDescent="0.2">
      <c r="A89" s="64" t="s">
        <v>193</v>
      </c>
      <c r="B89" s="151">
        <v>306</v>
      </c>
      <c r="C89" s="128"/>
      <c r="D89" s="128" t="s">
        <v>2067</v>
      </c>
      <c r="E89" s="1446"/>
      <c r="F89" s="1446"/>
      <c r="G89" s="1446"/>
      <c r="H89" s="1446"/>
      <c r="I89" s="1446"/>
      <c r="J89" s="1448">
        <f>450000-254000</f>
        <v>196000</v>
      </c>
      <c r="K89" s="1446"/>
      <c r="L89" s="1450" t="s">
        <v>223</v>
      </c>
      <c r="N89" s="1441"/>
    </row>
    <row r="90" spans="1:14" ht="25.5" customHeight="1" x14ac:dyDescent="0.2">
      <c r="A90" s="64" t="s">
        <v>194</v>
      </c>
      <c r="B90" s="151">
        <v>306</v>
      </c>
      <c r="C90" s="128"/>
      <c r="D90" s="128" t="s">
        <v>2053</v>
      </c>
      <c r="E90" s="1446"/>
      <c r="F90" s="1446"/>
      <c r="G90" s="1446"/>
      <c r="H90" s="1446"/>
      <c r="I90" s="1446"/>
      <c r="J90" s="1448">
        <v>150000</v>
      </c>
      <c r="K90" s="1446"/>
      <c r="L90" s="1450" t="s">
        <v>223</v>
      </c>
      <c r="N90" s="1441"/>
    </row>
    <row r="91" spans="1:14" ht="25.5" customHeight="1" x14ac:dyDescent="0.2">
      <c r="A91" s="64" t="s">
        <v>195</v>
      </c>
      <c r="B91" s="151">
        <v>306</v>
      </c>
      <c r="C91" s="128"/>
      <c r="D91" s="174" t="s">
        <v>2068</v>
      </c>
      <c r="E91" s="1446"/>
      <c r="F91" s="1446"/>
      <c r="G91" s="1446"/>
      <c r="H91" s="1446"/>
      <c r="I91" s="1446"/>
      <c r="J91" s="1448">
        <v>290000</v>
      </c>
      <c r="K91" s="1446"/>
      <c r="L91" s="1450" t="s">
        <v>223</v>
      </c>
      <c r="N91" s="1441"/>
    </row>
    <row r="92" spans="1:14" ht="25.5" customHeight="1" x14ac:dyDescent="0.2">
      <c r="A92" s="64" t="s">
        <v>196</v>
      </c>
      <c r="B92" s="151">
        <v>306</v>
      </c>
      <c r="C92" s="128"/>
      <c r="D92" s="128" t="s">
        <v>2069</v>
      </c>
      <c r="E92" s="1446"/>
      <c r="F92" s="1446"/>
      <c r="G92" s="1446"/>
      <c r="H92" s="1446"/>
      <c r="I92" s="1446"/>
      <c r="J92" s="1448">
        <v>350000</v>
      </c>
      <c r="K92" s="1446"/>
      <c r="L92" s="1450" t="s">
        <v>223</v>
      </c>
      <c r="N92" s="1441"/>
    </row>
    <row r="93" spans="1:14" ht="25.5" customHeight="1" x14ac:dyDescent="0.2">
      <c r="A93" s="64" t="s">
        <v>197</v>
      </c>
      <c r="B93" s="151">
        <v>306</v>
      </c>
      <c r="C93" s="128"/>
      <c r="D93" s="174" t="s">
        <v>2054</v>
      </c>
      <c r="E93" s="1446"/>
      <c r="F93" s="1446"/>
      <c r="G93" s="1446"/>
      <c r="H93" s="1446"/>
      <c r="I93" s="1446"/>
      <c r="J93" s="1448">
        <v>200000</v>
      </c>
      <c r="K93" s="1446"/>
      <c r="L93" s="1450" t="s">
        <v>223</v>
      </c>
      <c r="N93" s="1441"/>
    </row>
    <row r="94" spans="1:14" ht="25.5" customHeight="1" x14ac:dyDescent="0.2">
      <c r="A94" s="64" t="s">
        <v>198</v>
      </c>
      <c r="B94" s="151">
        <v>306</v>
      </c>
      <c r="C94" s="128"/>
      <c r="D94" s="128" t="s">
        <v>2055</v>
      </c>
      <c r="E94" s="156"/>
      <c r="F94" s="156"/>
      <c r="G94" s="156"/>
      <c r="H94" s="156"/>
      <c r="I94" s="156"/>
      <c r="J94" s="156">
        <v>100000</v>
      </c>
      <c r="K94" s="156"/>
      <c r="L94" s="80" t="s">
        <v>223</v>
      </c>
      <c r="M94" s="61"/>
    </row>
    <row r="95" spans="1:14" ht="25.5" customHeight="1" x14ac:dyDescent="0.2">
      <c r="A95" s="64" t="s">
        <v>225</v>
      </c>
      <c r="B95" s="151">
        <v>306</v>
      </c>
      <c r="C95" s="128"/>
      <c r="D95" s="128" t="s">
        <v>2056</v>
      </c>
      <c r="E95" s="156"/>
      <c r="F95" s="156"/>
      <c r="G95" s="156"/>
      <c r="H95" s="156"/>
      <c r="I95" s="156"/>
      <c r="J95" s="156">
        <v>300000</v>
      </c>
      <c r="K95" s="156"/>
      <c r="L95" s="80" t="s">
        <v>223</v>
      </c>
      <c r="M95" s="44"/>
    </row>
    <row r="96" spans="1:14" ht="25.5" customHeight="1" x14ac:dyDescent="0.2">
      <c r="A96" s="64" t="s">
        <v>226</v>
      </c>
      <c r="B96" s="151">
        <v>306</v>
      </c>
      <c r="C96" s="128"/>
      <c r="D96" s="174" t="s">
        <v>2070</v>
      </c>
      <c r="E96" s="156"/>
      <c r="F96" s="156"/>
      <c r="G96" s="156"/>
      <c r="H96" s="156"/>
      <c r="I96" s="156"/>
      <c r="J96" s="156">
        <v>200000</v>
      </c>
      <c r="K96" s="156"/>
      <c r="L96" s="80" t="s">
        <v>223</v>
      </c>
      <c r="M96" s="44"/>
    </row>
    <row r="97" spans="1:14" ht="22.5" customHeight="1" x14ac:dyDescent="0.2">
      <c r="A97" s="64" t="s">
        <v>227</v>
      </c>
      <c r="B97" s="151">
        <v>306</v>
      </c>
      <c r="C97" s="128"/>
      <c r="D97" s="174" t="s">
        <v>2071</v>
      </c>
      <c r="E97" s="156"/>
      <c r="F97" s="156"/>
      <c r="G97" s="156"/>
      <c r="H97" s="156"/>
      <c r="I97" s="156"/>
      <c r="J97" s="156">
        <v>100000</v>
      </c>
      <c r="K97" s="156"/>
      <c r="L97" s="80" t="s">
        <v>223</v>
      </c>
      <c r="M97" s="44"/>
    </row>
    <row r="98" spans="1:14" ht="25.5" customHeight="1" x14ac:dyDescent="0.2">
      <c r="A98" s="64" t="s">
        <v>228</v>
      </c>
      <c r="B98" s="151">
        <v>306</v>
      </c>
      <c r="C98" s="128"/>
      <c r="D98" s="128" t="s">
        <v>2072</v>
      </c>
      <c r="E98" s="156"/>
      <c r="F98" s="156"/>
      <c r="G98" s="156"/>
      <c r="H98" s="156"/>
      <c r="I98" s="156"/>
      <c r="J98" s="156">
        <v>350000</v>
      </c>
      <c r="K98" s="156"/>
      <c r="L98" s="80" t="s">
        <v>223</v>
      </c>
      <c r="M98" s="44"/>
    </row>
    <row r="99" spans="1:14" ht="25.5" customHeight="1" x14ac:dyDescent="0.2">
      <c r="A99" s="64" t="s">
        <v>229</v>
      </c>
      <c r="B99" s="151">
        <v>306</v>
      </c>
      <c r="C99" s="128"/>
      <c r="D99" s="128" t="s">
        <v>2058</v>
      </c>
      <c r="E99" s="156"/>
      <c r="F99" s="156"/>
      <c r="G99" s="156"/>
      <c r="H99" s="156"/>
      <c r="I99" s="156"/>
      <c r="J99" s="156">
        <v>540000</v>
      </c>
      <c r="K99" s="156"/>
      <c r="L99" s="80" t="s">
        <v>223</v>
      </c>
      <c r="M99" s="44"/>
    </row>
    <row r="100" spans="1:14" ht="25.5" customHeight="1" x14ac:dyDescent="0.2">
      <c r="A100" s="64" t="s">
        <v>230</v>
      </c>
      <c r="B100" s="151">
        <v>306</v>
      </c>
      <c r="C100" s="128"/>
      <c r="D100" s="174" t="s">
        <v>2059</v>
      </c>
      <c r="E100" s="156"/>
      <c r="F100" s="156"/>
      <c r="G100" s="156"/>
      <c r="H100" s="156"/>
      <c r="I100" s="156"/>
      <c r="J100" s="156">
        <f>150000+150000</f>
        <v>300000</v>
      </c>
      <c r="K100" s="156"/>
      <c r="L100" s="80" t="s">
        <v>223</v>
      </c>
      <c r="M100" s="44"/>
    </row>
    <row r="101" spans="1:14" ht="25.5" customHeight="1" x14ac:dyDescent="0.2">
      <c r="A101" s="64" t="s">
        <v>231</v>
      </c>
      <c r="B101" s="151">
        <v>306</v>
      </c>
      <c r="C101" s="128"/>
      <c r="D101" s="174" t="s">
        <v>2060</v>
      </c>
      <c r="E101" s="156"/>
      <c r="F101" s="156"/>
      <c r="G101" s="156"/>
      <c r="H101" s="156"/>
      <c r="I101" s="156"/>
      <c r="J101" s="156">
        <v>250000</v>
      </c>
      <c r="K101" s="156"/>
      <c r="L101" s="80" t="s">
        <v>223</v>
      </c>
      <c r="M101" s="44"/>
    </row>
    <row r="102" spans="1:14" ht="25.5" customHeight="1" x14ac:dyDescent="0.2">
      <c r="A102" s="64" t="s">
        <v>232</v>
      </c>
      <c r="B102" s="151">
        <v>306</v>
      </c>
      <c r="C102" s="128"/>
      <c r="D102" s="128" t="s">
        <v>2061</v>
      </c>
      <c r="E102" s="156"/>
      <c r="F102" s="156"/>
      <c r="G102" s="156"/>
      <c r="H102" s="156"/>
      <c r="I102" s="156"/>
      <c r="J102" s="156">
        <v>450000</v>
      </c>
      <c r="K102" s="156"/>
      <c r="L102" s="80" t="s">
        <v>223</v>
      </c>
      <c r="M102" s="44"/>
    </row>
    <row r="103" spans="1:14" ht="25.5" customHeight="1" x14ac:dyDescent="0.2">
      <c r="A103" s="64" t="s">
        <v>233</v>
      </c>
      <c r="B103" s="151">
        <v>306</v>
      </c>
      <c r="C103" s="128"/>
      <c r="D103" s="128" t="s">
        <v>2073</v>
      </c>
      <c r="E103" s="156"/>
      <c r="F103" s="156"/>
      <c r="G103" s="156"/>
      <c r="H103" s="156"/>
      <c r="I103" s="156"/>
      <c r="J103" s="156">
        <v>400000</v>
      </c>
      <c r="K103" s="156"/>
      <c r="L103" s="80" t="s">
        <v>223</v>
      </c>
      <c r="M103" s="44"/>
    </row>
    <row r="104" spans="1:14" ht="25.5" customHeight="1" x14ac:dyDescent="0.2">
      <c r="A104" s="64" t="s">
        <v>260</v>
      </c>
      <c r="B104" s="151">
        <v>306</v>
      </c>
      <c r="C104" s="128"/>
      <c r="D104" s="128" t="s">
        <v>2074</v>
      </c>
      <c r="E104" s="156"/>
      <c r="F104" s="156"/>
      <c r="G104" s="156"/>
      <c r="H104" s="156"/>
      <c r="I104" s="156"/>
      <c r="J104" s="156">
        <v>500000</v>
      </c>
      <c r="K104" s="156"/>
      <c r="L104" s="80" t="s">
        <v>223</v>
      </c>
      <c r="M104" s="44"/>
    </row>
    <row r="105" spans="1:14" ht="25.5" customHeight="1" x14ac:dyDescent="0.2">
      <c r="A105" s="64" t="s">
        <v>261</v>
      </c>
      <c r="B105" s="151">
        <v>306</v>
      </c>
      <c r="C105" s="128"/>
      <c r="D105" s="128" t="s">
        <v>2075</v>
      </c>
      <c r="E105" s="156"/>
      <c r="F105" s="156"/>
      <c r="G105" s="156"/>
      <c r="H105" s="156"/>
      <c r="I105" s="156"/>
      <c r="J105" s="156">
        <v>150000</v>
      </c>
      <c r="K105" s="156"/>
      <c r="L105" s="80" t="s">
        <v>223</v>
      </c>
      <c r="M105" s="44"/>
    </row>
    <row r="106" spans="1:14" ht="25.5" customHeight="1" x14ac:dyDescent="0.2">
      <c r="A106" s="64" t="s">
        <v>262</v>
      </c>
      <c r="B106" s="151">
        <v>306</v>
      </c>
      <c r="C106" s="128"/>
      <c r="D106" s="75" t="s">
        <v>2076</v>
      </c>
      <c r="E106" s="156"/>
      <c r="F106" s="156"/>
      <c r="G106" s="156"/>
      <c r="H106" s="156"/>
      <c r="I106" s="156"/>
      <c r="J106" s="156">
        <v>100000</v>
      </c>
      <c r="K106" s="156"/>
      <c r="L106" s="80" t="s">
        <v>223</v>
      </c>
      <c r="M106" s="44"/>
    </row>
    <row r="107" spans="1:14" ht="25.5" customHeight="1" x14ac:dyDescent="0.2">
      <c r="A107" s="64" t="s">
        <v>263</v>
      </c>
      <c r="B107" s="151">
        <v>306</v>
      </c>
      <c r="C107" s="128"/>
      <c r="D107" s="128" t="s">
        <v>2077</v>
      </c>
      <c r="E107" s="156"/>
      <c r="F107" s="156"/>
      <c r="G107" s="156"/>
      <c r="H107" s="156"/>
      <c r="I107" s="156"/>
      <c r="J107" s="156">
        <v>300000</v>
      </c>
      <c r="K107" s="156"/>
      <c r="L107" s="80" t="s">
        <v>223</v>
      </c>
      <c r="M107" s="44"/>
    </row>
    <row r="108" spans="1:14" ht="25.5" customHeight="1" x14ac:dyDescent="0.2">
      <c r="A108" s="64" t="s">
        <v>264</v>
      </c>
      <c r="B108" s="151">
        <v>306</v>
      </c>
      <c r="C108" s="128"/>
      <c r="D108" s="128" t="s">
        <v>2078</v>
      </c>
      <c r="E108" s="156"/>
      <c r="F108" s="156"/>
      <c r="G108" s="156"/>
      <c r="H108" s="156"/>
      <c r="I108" s="156"/>
      <c r="J108" s="156">
        <v>450000</v>
      </c>
      <c r="K108" s="156"/>
      <c r="L108" s="80" t="s">
        <v>223</v>
      </c>
      <c r="M108" s="44"/>
    </row>
    <row r="109" spans="1:14" ht="25.5" customHeight="1" x14ac:dyDescent="0.2">
      <c r="A109" s="64" t="s">
        <v>265</v>
      </c>
      <c r="B109" s="151">
        <v>306</v>
      </c>
      <c r="C109" s="128"/>
      <c r="D109" s="128" t="s">
        <v>2079</v>
      </c>
      <c r="E109" s="156"/>
      <c r="F109" s="156"/>
      <c r="G109" s="156"/>
      <c r="H109" s="156"/>
      <c r="I109" s="156"/>
      <c r="J109" s="156">
        <v>450000</v>
      </c>
      <c r="K109" s="156"/>
      <c r="L109" s="80" t="s">
        <v>223</v>
      </c>
      <c r="M109" s="44"/>
    </row>
    <row r="110" spans="1:14" ht="25.5" customHeight="1" x14ac:dyDescent="0.2">
      <c r="A110" s="64" t="s">
        <v>266</v>
      </c>
      <c r="B110" s="151">
        <v>306</v>
      </c>
      <c r="C110" s="128"/>
      <c r="D110" s="128" t="s">
        <v>2080</v>
      </c>
      <c r="E110" s="156"/>
      <c r="F110" s="156"/>
      <c r="G110" s="156"/>
      <c r="H110" s="156"/>
      <c r="I110" s="156"/>
      <c r="J110" s="156">
        <v>750000</v>
      </c>
      <c r="K110" s="156"/>
      <c r="L110" s="80" t="s">
        <v>223</v>
      </c>
      <c r="M110" s="61"/>
    </row>
    <row r="111" spans="1:14" ht="25.5" customHeight="1" x14ac:dyDescent="0.2">
      <c r="A111" s="64" t="s">
        <v>267</v>
      </c>
      <c r="B111" s="151">
        <v>306</v>
      </c>
      <c r="C111" s="128"/>
      <c r="D111" s="128" t="s">
        <v>2081</v>
      </c>
      <c r="E111" s="156"/>
      <c r="F111" s="156"/>
      <c r="G111" s="156"/>
      <c r="H111" s="156"/>
      <c r="I111" s="156"/>
      <c r="J111" s="156">
        <v>900000</v>
      </c>
      <c r="K111" s="156"/>
      <c r="L111" s="80" t="s">
        <v>223</v>
      </c>
      <c r="M111" s="61"/>
    </row>
    <row r="112" spans="1:14" ht="25.5" customHeight="1" x14ac:dyDescent="0.2">
      <c r="A112" s="1795" t="s">
        <v>2041</v>
      </c>
      <c r="B112" s="1796"/>
      <c r="C112" s="1797"/>
      <c r="D112" s="359" t="s">
        <v>2082</v>
      </c>
      <c r="E112" s="47">
        <f>SUM(E113:E118)</f>
        <v>0</v>
      </c>
      <c r="F112" s="47">
        <f t="shared" ref="F112:L112" si="11">SUM(F113:F118)</f>
        <v>0</v>
      </c>
      <c r="G112" s="47">
        <f t="shared" si="11"/>
        <v>0</v>
      </c>
      <c r="H112" s="47">
        <f t="shared" si="11"/>
        <v>0</v>
      </c>
      <c r="I112" s="47">
        <f t="shared" si="11"/>
        <v>0</v>
      </c>
      <c r="J112" s="47">
        <f>SUM(J113:J118)</f>
        <v>2070000</v>
      </c>
      <c r="K112" s="47">
        <f t="shared" si="11"/>
        <v>0</v>
      </c>
      <c r="L112" s="48">
        <f t="shared" si="11"/>
        <v>0</v>
      </c>
      <c r="M112" s="1441"/>
      <c r="N112" s="1430"/>
    </row>
    <row r="113" spans="1:14" ht="25.5" customHeight="1" x14ac:dyDescent="0.2">
      <c r="A113" s="63" t="s">
        <v>188</v>
      </c>
      <c r="B113" s="177">
        <v>306</v>
      </c>
      <c r="C113" s="358"/>
      <c r="D113" s="358" t="s">
        <v>2083</v>
      </c>
      <c r="E113" s="291"/>
      <c r="F113" s="291"/>
      <c r="G113" s="291"/>
      <c r="H113" s="291"/>
      <c r="I113" s="291"/>
      <c r="J113" s="291">
        <v>300000</v>
      </c>
      <c r="K113" s="291"/>
      <c r="L113" s="292" t="s">
        <v>223</v>
      </c>
      <c r="M113" s="61"/>
    </row>
    <row r="114" spans="1:14" ht="25.5" customHeight="1" x14ac:dyDescent="0.2">
      <c r="A114" s="64" t="s">
        <v>189</v>
      </c>
      <c r="B114" s="151">
        <v>306</v>
      </c>
      <c r="C114" s="128"/>
      <c r="D114" s="128" t="s">
        <v>2084</v>
      </c>
      <c r="E114" s="156"/>
      <c r="F114" s="156"/>
      <c r="G114" s="156"/>
      <c r="H114" s="156"/>
      <c r="I114" s="156"/>
      <c r="J114" s="156">
        <v>450000</v>
      </c>
      <c r="K114" s="156"/>
      <c r="L114" s="80" t="s">
        <v>223</v>
      </c>
      <c r="M114" s="61"/>
    </row>
    <row r="115" spans="1:14" ht="25.5" customHeight="1" x14ac:dyDescent="0.2">
      <c r="A115" s="64" t="s">
        <v>190</v>
      </c>
      <c r="B115" s="151">
        <v>306</v>
      </c>
      <c r="C115" s="128"/>
      <c r="D115" s="128" t="s">
        <v>2085</v>
      </c>
      <c r="E115" s="156"/>
      <c r="F115" s="156"/>
      <c r="G115" s="156"/>
      <c r="H115" s="156"/>
      <c r="I115" s="156"/>
      <c r="J115" s="156">
        <v>450000</v>
      </c>
      <c r="K115" s="156"/>
      <c r="L115" s="80" t="s">
        <v>223</v>
      </c>
      <c r="M115" s="44"/>
    </row>
    <row r="116" spans="1:14" ht="25.5" customHeight="1" x14ac:dyDescent="0.2">
      <c r="A116" s="64" t="s">
        <v>191</v>
      </c>
      <c r="B116" s="151">
        <v>306</v>
      </c>
      <c r="C116" s="128"/>
      <c r="D116" s="128" t="s">
        <v>2086</v>
      </c>
      <c r="E116" s="156"/>
      <c r="F116" s="156"/>
      <c r="G116" s="156"/>
      <c r="H116" s="156"/>
      <c r="I116" s="156"/>
      <c r="J116" s="156">
        <v>220000</v>
      </c>
      <c r="K116" s="156"/>
      <c r="L116" s="80" t="s">
        <v>223</v>
      </c>
      <c r="M116" s="44"/>
    </row>
    <row r="117" spans="1:14" ht="25.5" customHeight="1" x14ac:dyDescent="0.2">
      <c r="A117" s="64" t="s">
        <v>192</v>
      </c>
      <c r="B117" s="151">
        <v>306</v>
      </c>
      <c r="C117" s="128"/>
      <c r="D117" s="128" t="s">
        <v>2087</v>
      </c>
      <c r="E117" s="156"/>
      <c r="F117" s="156"/>
      <c r="G117" s="156"/>
      <c r="H117" s="156"/>
      <c r="I117" s="156"/>
      <c r="J117" s="156">
        <v>300000</v>
      </c>
      <c r="K117" s="156"/>
      <c r="L117" s="80" t="s">
        <v>223</v>
      </c>
      <c r="M117" s="61"/>
    </row>
    <row r="118" spans="1:14" ht="25.5" customHeight="1" x14ac:dyDescent="0.2">
      <c r="A118" s="929" t="s">
        <v>193</v>
      </c>
      <c r="B118" s="152">
        <v>306</v>
      </c>
      <c r="C118" s="930"/>
      <c r="D118" s="173" t="s">
        <v>2088</v>
      </c>
      <c r="E118" s="361"/>
      <c r="F118" s="361"/>
      <c r="G118" s="361"/>
      <c r="H118" s="361"/>
      <c r="I118" s="361"/>
      <c r="J118" s="361">
        <v>350000</v>
      </c>
      <c r="K118" s="361"/>
      <c r="L118" s="326" t="s">
        <v>223</v>
      </c>
      <c r="M118" s="61"/>
    </row>
    <row r="119" spans="1:14" ht="25.5" customHeight="1" x14ac:dyDescent="0.2">
      <c r="A119" s="1800" t="s">
        <v>2089</v>
      </c>
      <c r="B119" s="1801"/>
      <c r="C119" s="1801"/>
      <c r="D119" s="1801"/>
      <c r="E119" s="1453"/>
      <c r="F119" s="1453"/>
      <c r="G119" s="1453"/>
      <c r="H119" s="1453"/>
      <c r="I119" s="1453"/>
      <c r="J119" s="1453">
        <f>+J112+J83+J71+J64</f>
        <v>14746000</v>
      </c>
      <c r="K119" s="1453"/>
      <c r="L119" s="1454"/>
      <c r="M119" s="1451"/>
      <c r="N119" s="1451"/>
    </row>
    <row r="120" spans="1:14" ht="12.75" customHeight="1" x14ac:dyDescent="0.2">
      <c r="A120" s="1835" t="s">
        <v>528</v>
      </c>
      <c r="B120" s="1836"/>
      <c r="C120" s="1836"/>
      <c r="D120" s="1836"/>
      <c r="E120" s="1836"/>
      <c r="F120" s="1836"/>
      <c r="G120" s="1836"/>
      <c r="H120" s="1836"/>
      <c r="I120" s="1836"/>
      <c r="J120" s="1836"/>
      <c r="K120" s="1836"/>
      <c r="L120" s="1837"/>
      <c r="M120" s="61"/>
    </row>
    <row r="121" spans="1:14" s="54" customFormat="1" ht="15" customHeight="1" x14ac:dyDescent="0.25">
      <c r="A121" s="1838"/>
      <c r="B121" s="1839"/>
      <c r="C121" s="1839"/>
      <c r="D121" s="1839"/>
      <c r="E121" s="1839"/>
      <c r="F121" s="1839"/>
      <c r="G121" s="1839"/>
      <c r="H121" s="1839"/>
      <c r="I121" s="1839"/>
      <c r="J121" s="1839"/>
      <c r="K121" s="1839"/>
      <c r="L121" s="1840"/>
      <c r="M121" s="1452"/>
    </row>
    <row r="122" spans="1:14" ht="73.5" customHeight="1" x14ac:dyDescent="0.2">
      <c r="A122" s="1443" t="s">
        <v>53</v>
      </c>
      <c r="B122" s="1443" t="s">
        <v>54</v>
      </c>
      <c r="C122" s="1620" t="s">
        <v>1</v>
      </c>
      <c r="D122" s="931" t="s">
        <v>2</v>
      </c>
      <c r="E122" s="429" t="s">
        <v>70</v>
      </c>
      <c r="F122" s="429" t="s">
        <v>70</v>
      </c>
      <c r="G122" s="1614" t="s">
        <v>762</v>
      </c>
      <c r="H122" s="1614" t="s">
        <v>762</v>
      </c>
      <c r="I122" s="429" t="s">
        <v>66</v>
      </c>
      <c r="J122" s="429" t="s">
        <v>66</v>
      </c>
      <c r="K122" s="1614" t="s">
        <v>838</v>
      </c>
      <c r="L122" s="429" t="s">
        <v>11</v>
      </c>
    </row>
    <row r="123" spans="1:14" ht="20.25" customHeight="1" x14ac:dyDescent="0.2">
      <c r="A123" s="1829" t="s">
        <v>55</v>
      </c>
      <c r="B123" s="1830"/>
      <c r="C123" s="1830"/>
      <c r="D123" s="1830"/>
      <c r="E123" s="357" t="s">
        <v>78</v>
      </c>
      <c r="F123" s="357" t="s">
        <v>78</v>
      </c>
      <c r="G123" s="968" t="s">
        <v>763</v>
      </c>
      <c r="H123" s="968" t="s">
        <v>763</v>
      </c>
      <c r="I123" s="357" t="s">
        <v>391</v>
      </c>
      <c r="J123" s="357" t="s">
        <v>391</v>
      </c>
      <c r="K123" s="406"/>
      <c r="L123" s="158"/>
      <c r="M123" s="44"/>
    </row>
    <row r="124" spans="1:14" s="43" customFormat="1" ht="23.25" customHeight="1" x14ac:dyDescent="0.2">
      <c r="A124" s="1817" t="s">
        <v>64</v>
      </c>
      <c r="B124" s="1818"/>
      <c r="C124" s="1818"/>
      <c r="D124" s="1615" t="s">
        <v>65</v>
      </c>
      <c r="E124" s="362">
        <f>SUM(E125:E125)</f>
        <v>0</v>
      </c>
      <c r="F124" s="362">
        <f t="shared" ref="F124:K124" si="12">SUM(F125:F125)</f>
        <v>0</v>
      </c>
      <c r="G124" s="362">
        <f t="shared" si="12"/>
        <v>0</v>
      </c>
      <c r="H124" s="362">
        <f t="shared" si="12"/>
        <v>0</v>
      </c>
      <c r="I124" s="362">
        <f t="shared" si="12"/>
        <v>12000000</v>
      </c>
      <c r="J124" s="362">
        <f t="shared" si="12"/>
        <v>12000000</v>
      </c>
      <c r="K124" s="362">
        <f t="shared" si="12"/>
        <v>0</v>
      </c>
      <c r="L124" s="363"/>
      <c r="M124" s="49"/>
    </row>
    <row r="125" spans="1:14" ht="34.15" customHeight="1" x14ac:dyDescent="0.2">
      <c r="A125" s="148" t="s">
        <v>188</v>
      </c>
      <c r="B125" s="159" t="s">
        <v>745</v>
      </c>
      <c r="C125" s="160"/>
      <c r="D125" s="364" t="s">
        <v>1520</v>
      </c>
      <c r="E125" s="108"/>
      <c r="F125" s="108"/>
      <c r="G125" s="108"/>
      <c r="H125" s="108"/>
      <c r="I125" s="107">
        <v>12000000</v>
      </c>
      <c r="J125" s="407">
        <f>+I125</f>
        <v>12000000</v>
      </c>
      <c r="K125" s="407"/>
      <c r="L125" s="77" t="s">
        <v>223</v>
      </c>
      <c r="M125" s="44"/>
    </row>
    <row r="126" spans="1:14" s="43" customFormat="1" ht="23.25" customHeight="1" x14ac:dyDescent="0.2">
      <c r="A126" s="1817" t="s">
        <v>77</v>
      </c>
      <c r="B126" s="1818"/>
      <c r="C126" s="1818"/>
      <c r="D126" s="1615" t="s">
        <v>429</v>
      </c>
      <c r="E126" s="365">
        <f t="shared" ref="E126:K126" si="13">SUM(E127:E127)</f>
        <v>0</v>
      </c>
      <c r="F126" s="365">
        <f t="shared" si="13"/>
        <v>0</v>
      </c>
      <c r="G126" s="365">
        <f t="shared" si="13"/>
        <v>0</v>
      </c>
      <c r="H126" s="365">
        <f t="shared" si="13"/>
        <v>0</v>
      </c>
      <c r="I126" s="365">
        <f t="shared" si="13"/>
        <v>88000000</v>
      </c>
      <c r="J126" s="365">
        <f t="shared" si="13"/>
        <v>108000000</v>
      </c>
      <c r="K126" s="365">
        <f t="shared" si="13"/>
        <v>0</v>
      </c>
      <c r="L126" s="106"/>
      <c r="M126" s="49"/>
    </row>
    <row r="127" spans="1:14" ht="23.25" customHeight="1" x14ac:dyDescent="0.2">
      <c r="A127" s="244" t="s">
        <v>188</v>
      </c>
      <c r="B127" s="822" t="s">
        <v>746</v>
      </c>
      <c r="C127" s="1434"/>
      <c r="D127" s="354" t="s">
        <v>1521</v>
      </c>
      <c r="E127" s="1435"/>
      <c r="F127" s="1435"/>
      <c r="G127" s="1435"/>
      <c r="H127" s="1435"/>
      <c r="I127" s="355">
        <v>88000000</v>
      </c>
      <c r="J127" s="1436">
        <f>+I127+20000000</f>
        <v>108000000</v>
      </c>
      <c r="K127" s="1436"/>
      <c r="L127" s="1437" t="s">
        <v>223</v>
      </c>
      <c r="M127" s="44"/>
    </row>
    <row r="128" spans="1:14" ht="23.25" customHeight="1" x14ac:dyDescent="0.2">
      <c r="A128" s="1828" t="s">
        <v>80</v>
      </c>
      <c r="B128" s="1827"/>
      <c r="C128" s="1827"/>
      <c r="D128" s="1827"/>
      <c r="E128" s="175">
        <f>+E124+E126</f>
        <v>0</v>
      </c>
      <c r="F128" s="377">
        <f t="shared" ref="F128:K128" si="14">+F124+F126</f>
        <v>0</v>
      </c>
      <c r="G128" s="377">
        <f t="shared" si="14"/>
        <v>0</v>
      </c>
      <c r="H128" s="377">
        <f t="shared" si="14"/>
        <v>0</v>
      </c>
      <c r="I128" s="377">
        <f>+I124+I126</f>
        <v>100000000</v>
      </c>
      <c r="J128" s="377">
        <f>+J124+J126</f>
        <v>120000000</v>
      </c>
      <c r="K128" s="377">
        <f t="shared" si="14"/>
        <v>0</v>
      </c>
      <c r="L128" s="366"/>
      <c r="M128" s="44"/>
    </row>
    <row r="129" spans="1:14" x14ac:dyDescent="0.2">
      <c r="A129" s="1819" t="s">
        <v>79</v>
      </c>
      <c r="B129" s="1820"/>
      <c r="C129" s="1820"/>
      <c r="D129" s="1820"/>
      <c r="E129" s="1820"/>
      <c r="F129" s="1820"/>
      <c r="G129" s="1820"/>
      <c r="H129" s="1820"/>
      <c r="I129" s="1820"/>
      <c r="J129" s="1820"/>
      <c r="K129" s="1820"/>
      <c r="L129" s="1821"/>
      <c r="M129" s="44"/>
    </row>
    <row r="130" spans="1:14" s="54" customFormat="1" ht="22.5" customHeight="1" x14ac:dyDescent="0.25">
      <c r="A130" s="1822"/>
      <c r="B130" s="1823"/>
      <c r="C130" s="1823"/>
      <c r="D130" s="1823"/>
      <c r="E130" s="1823"/>
      <c r="F130" s="1823"/>
      <c r="G130" s="1823"/>
      <c r="H130" s="1823"/>
      <c r="I130" s="1823"/>
      <c r="J130" s="1823"/>
      <c r="K130" s="1823"/>
      <c r="L130" s="1824"/>
      <c r="M130" s="53"/>
    </row>
    <row r="131" spans="1:14" ht="69" customHeight="1" x14ac:dyDescent="0.2">
      <c r="A131" s="1443" t="s">
        <v>53</v>
      </c>
      <c r="B131" s="1443" t="s">
        <v>54</v>
      </c>
      <c r="C131" s="1620" t="s">
        <v>1</v>
      </c>
      <c r="D131" s="931" t="s">
        <v>2</v>
      </c>
      <c r="E131" s="429" t="s">
        <v>70</v>
      </c>
      <c r="F131" s="429" t="s">
        <v>70</v>
      </c>
      <c r="G131" s="1614" t="s">
        <v>762</v>
      </c>
      <c r="H131" s="1614" t="s">
        <v>762</v>
      </c>
      <c r="I131" s="429" t="s">
        <v>66</v>
      </c>
      <c r="J131" s="429" t="s">
        <v>66</v>
      </c>
      <c r="K131" s="1614" t="s">
        <v>838</v>
      </c>
      <c r="L131" s="429" t="s">
        <v>66</v>
      </c>
    </row>
    <row r="132" spans="1:14" ht="18" customHeight="1" x14ac:dyDescent="0.2">
      <c r="A132" s="1812" t="s">
        <v>55</v>
      </c>
      <c r="B132" s="1813"/>
      <c r="C132" s="1813"/>
      <c r="D132" s="1814"/>
      <c r="E132" s="1405" t="s">
        <v>78</v>
      </c>
      <c r="F132" s="1405" t="s">
        <v>78</v>
      </c>
      <c r="G132" s="967" t="s">
        <v>763</v>
      </c>
      <c r="H132" s="967" t="s">
        <v>763</v>
      </c>
      <c r="I132" s="1405" t="s">
        <v>391</v>
      </c>
      <c r="J132" s="1405" t="s">
        <v>391</v>
      </c>
      <c r="K132" s="1433"/>
      <c r="L132" s="1406"/>
      <c r="M132" s="44"/>
    </row>
    <row r="133" spans="1:14" s="43" customFormat="1" ht="23.25" customHeight="1" x14ac:dyDescent="0.2">
      <c r="A133" s="1817" t="s">
        <v>1288</v>
      </c>
      <c r="B133" s="1818"/>
      <c r="C133" s="1818"/>
      <c r="D133" s="1615" t="s">
        <v>1289</v>
      </c>
      <c r="E133" s="365"/>
      <c r="F133" s="365"/>
      <c r="G133" s="365"/>
      <c r="H133" s="365"/>
      <c r="I133" s="365"/>
      <c r="J133" s="365"/>
      <c r="K133" s="365"/>
      <c r="L133" s="106"/>
      <c r="M133" s="49"/>
    </row>
    <row r="134" spans="1:14" ht="19.5" customHeight="1" x14ac:dyDescent="0.2">
      <c r="A134" s="148" t="s">
        <v>188</v>
      </c>
      <c r="B134" s="162" t="s">
        <v>747</v>
      </c>
      <c r="C134" s="160"/>
      <c r="D134" s="149" t="s">
        <v>81</v>
      </c>
      <c r="E134" s="371">
        <v>4000000</v>
      </c>
      <c r="F134" s="371">
        <f>+E134</f>
        <v>4000000</v>
      </c>
      <c r="G134" s="371"/>
      <c r="H134" s="371"/>
      <c r="I134" s="726"/>
      <c r="J134" s="726"/>
      <c r="K134" s="726"/>
      <c r="L134" s="77" t="s">
        <v>223</v>
      </c>
      <c r="M134" s="44"/>
    </row>
    <row r="135" spans="1:14" ht="19.5" customHeight="1" x14ac:dyDescent="0.2">
      <c r="A135" s="64" t="s">
        <v>189</v>
      </c>
      <c r="B135" s="163" t="s">
        <v>747</v>
      </c>
      <c r="C135" s="161"/>
      <c r="D135" s="83" t="s">
        <v>82</v>
      </c>
      <c r="E135" s="141">
        <v>18600000</v>
      </c>
      <c r="F135" s="141">
        <f>+E135</f>
        <v>18600000</v>
      </c>
      <c r="G135" s="141"/>
      <c r="H135" s="141"/>
      <c r="I135" s="396"/>
      <c r="J135" s="396"/>
      <c r="K135" s="396"/>
      <c r="L135" s="78" t="s">
        <v>223</v>
      </c>
      <c r="M135" s="44"/>
    </row>
    <row r="136" spans="1:14" ht="19.5" customHeight="1" x14ac:dyDescent="0.2">
      <c r="A136" s="164" t="s">
        <v>190</v>
      </c>
      <c r="B136" s="165">
        <v>311</v>
      </c>
      <c r="C136" s="166"/>
      <c r="D136" s="84" t="s">
        <v>607</v>
      </c>
      <c r="E136" s="167">
        <v>4000000</v>
      </c>
      <c r="F136" s="167">
        <f>+E136</f>
        <v>4000000</v>
      </c>
      <c r="G136" s="167"/>
      <c r="H136" s="167"/>
      <c r="I136" s="372"/>
      <c r="J136" s="372"/>
      <c r="K136" s="372"/>
      <c r="L136" s="194" t="s">
        <v>223</v>
      </c>
      <c r="M136" s="44"/>
    </row>
    <row r="137" spans="1:14" s="43" customFormat="1" ht="22.5" customHeight="1" x14ac:dyDescent="0.2">
      <c r="A137" s="1815" t="s">
        <v>408</v>
      </c>
      <c r="B137" s="1816"/>
      <c r="C137" s="1816"/>
      <c r="D137" s="1816"/>
      <c r="E137" s="140">
        <f>SUM(E134:E136)</f>
        <v>26600000</v>
      </c>
      <c r="F137" s="140">
        <f t="shared" ref="F137:K137" si="15">SUM(F134:F136)</f>
        <v>26600000</v>
      </c>
      <c r="G137" s="140">
        <f t="shared" si="15"/>
        <v>0</v>
      </c>
      <c r="H137" s="140">
        <f t="shared" si="15"/>
        <v>0</v>
      </c>
      <c r="I137" s="140">
        <f t="shared" si="15"/>
        <v>0</v>
      </c>
      <c r="J137" s="140">
        <f t="shared" si="15"/>
        <v>0</v>
      </c>
      <c r="K137" s="140">
        <f t="shared" si="15"/>
        <v>0</v>
      </c>
      <c r="L137" s="109"/>
    </row>
    <row r="138" spans="1:14" s="43" customFormat="1" ht="22.5" customHeight="1" x14ac:dyDescent="0.2">
      <c r="A138" s="1626"/>
      <c r="B138" s="1627"/>
      <c r="C138" s="1627"/>
      <c r="D138" s="1627"/>
      <c r="E138" s="119"/>
      <c r="F138" s="119"/>
      <c r="G138" s="119"/>
      <c r="H138" s="119"/>
      <c r="I138" s="119"/>
      <c r="J138" s="119"/>
      <c r="K138" s="119"/>
      <c r="L138" s="1429"/>
    </row>
    <row r="139" spans="1:14" s="43" customFormat="1" ht="33.75" customHeight="1" x14ac:dyDescent="0.25">
      <c r="A139" s="1811" t="s">
        <v>84</v>
      </c>
      <c r="B139" s="1811"/>
      <c r="C139" s="1811"/>
      <c r="D139" s="1811"/>
      <c r="E139" s="110">
        <f>+E128+E48+E39+E28+E24+E22+E11+E9+E7+E137</f>
        <v>38450000</v>
      </c>
      <c r="F139" s="110">
        <f>+F128+F48+F39+F28+F24+F22+F11+F9+F7+F137</f>
        <v>43090000</v>
      </c>
      <c r="G139" s="110">
        <f t="shared" ref="G139:K139" si="16">+G128+G48+G39+G28+G24+G22+G11+G9+G7+G137</f>
        <v>0</v>
      </c>
      <c r="H139" s="110">
        <f t="shared" si="16"/>
        <v>0</v>
      </c>
      <c r="I139" s="110">
        <f t="shared" si="16"/>
        <v>317753400</v>
      </c>
      <c r="J139" s="110">
        <f>+J128+J48+J39+J28+J24+J22+J11+J9+J7+J137+J119+J57</f>
        <v>361789905</v>
      </c>
      <c r="K139" s="110">
        <f t="shared" si="16"/>
        <v>0</v>
      </c>
      <c r="L139" s="110"/>
      <c r="M139" s="1427">
        <f>+E139+I139</f>
        <v>356203400</v>
      </c>
      <c r="N139" s="1427">
        <f>+F139+J139</f>
        <v>404879905</v>
      </c>
    </row>
    <row r="140" spans="1:14" s="43" customFormat="1" ht="22.5" customHeight="1" x14ac:dyDescent="0.25">
      <c r="A140" s="1455"/>
      <c r="B140" s="1424"/>
      <c r="C140" s="1424"/>
      <c r="D140" s="1424"/>
      <c r="E140" s="1425"/>
      <c r="F140" s="1425"/>
      <c r="G140" s="1425"/>
      <c r="H140" s="1425"/>
      <c r="I140" s="1425"/>
      <c r="J140" s="1425"/>
      <c r="K140" s="1425"/>
      <c r="L140" s="1456"/>
      <c r="M140" s="1428"/>
      <c r="N140" s="1428"/>
    </row>
    <row r="141" spans="1:14" s="43" customFormat="1" ht="22.5" customHeight="1" x14ac:dyDescent="0.2">
      <c r="A141" s="1809" t="s">
        <v>1961</v>
      </c>
      <c r="B141" s="1810"/>
      <c r="C141" s="1810"/>
      <c r="D141" s="1810"/>
      <c r="E141" s="691">
        <f>SUM(E142)</f>
        <v>0</v>
      </c>
      <c r="F141" s="691">
        <f>SUM(F142)</f>
        <v>5109250</v>
      </c>
      <c r="G141" s="691">
        <f t="shared" ref="G141:K141" si="17">SUM(G142)</f>
        <v>0</v>
      </c>
      <c r="H141" s="691">
        <f t="shared" si="17"/>
        <v>0</v>
      </c>
      <c r="I141" s="691">
        <f t="shared" si="17"/>
        <v>0</v>
      </c>
      <c r="J141" s="691">
        <f t="shared" si="17"/>
        <v>0</v>
      </c>
      <c r="K141" s="691">
        <f t="shared" si="17"/>
        <v>0</v>
      </c>
      <c r="L141" s="1444"/>
    </row>
    <row r="142" spans="1:14" s="43" customFormat="1" ht="32.25" customHeight="1" x14ac:dyDescent="0.2">
      <c r="A142" s="1806" t="s">
        <v>1935</v>
      </c>
      <c r="B142" s="1807"/>
      <c r="C142" s="1807"/>
      <c r="D142" s="1808"/>
      <c r="E142" s="1396"/>
      <c r="F142" s="1396">
        <v>5109250</v>
      </c>
      <c r="G142" s="1396"/>
      <c r="H142" s="1396"/>
      <c r="I142" s="1396"/>
      <c r="J142" s="1396"/>
      <c r="K142" s="1396"/>
      <c r="L142" s="133" t="s">
        <v>224</v>
      </c>
    </row>
    <row r="143" spans="1:14" x14ac:dyDescent="0.2">
      <c r="A143" s="1457"/>
      <c r="L143" s="241"/>
    </row>
    <row r="144" spans="1:14" ht="43.5" customHeight="1" x14ac:dyDescent="0.2">
      <c r="A144" s="1783" t="s">
        <v>29</v>
      </c>
      <c r="B144" s="1784"/>
      <c r="C144" s="1784"/>
      <c r="D144" s="1784"/>
      <c r="E144" s="110">
        <f>+E139+E141</f>
        <v>38450000</v>
      </c>
      <c r="F144" s="110">
        <f>+F139+F141</f>
        <v>48199250</v>
      </c>
      <c r="G144" s="110">
        <f t="shared" ref="G144:L144" si="18">+G139+G141</f>
        <v>0</v>
      </c>
      <c r="H144" s="110">
        <f t="shared" si="18"/>
        <v>0</v>
      </c>
      <c r="I144" s="110">
        <f t="shared" si="18"/>
        <v>317753400</v>
      </c>
      <c r="J144" s="110">
        <f>+J139+J141</f>
        <v>361789905</v>
      </c>
      <c r="K144" s="110">
        <f t="shared" si="18"/>
        <v>0</v>
      </c>
      <c r="L144" s="110">
        <f t="shared" si="18"/>
        <v>0</v>
      </c>
      <c r="M144" s="56"/>
      <c r="N144" s="56"/>
    </row>
    <row r="146" spans="9:11" ht="33.75" customHeight="1" x14ac:dyDescent="0.2">
      <c r="I146" s="1426">
        <f>+I144+E144</f>
        <v>356203400</v>
      </c>
      <c r="J146" s="1426">
        <f>+J144+F144</f>
        <v>409989155</v>
      </c>
      <c r="K146" s="56"/>
    </row>
    <row r="147" spans="9:11" ht="18.75" customHeight="1" x14ac:dyDescent="0.2"/>
    <row r="149" spans="9:11" x14ac:dyDescent="0.2">
      <c r="I149" s="56">
        <f>+I146-'3. sz.Városi szintű összesen'!J13</f>
        <v>0</v>
      </c>
      <c r="J149" s="56"/>
    </row>
    <row r="150" spans="9:11" ht="18.75" customHeight="1" x14ac:dyDescent="0.2"/>
    <row r="151" spans="9:11" ht="18.75" customHeight="1" x14ac:dyDescent="0.2">
      <c r="I151" s="56">
        <f>+I146-E144</f>
        <v>317753400</v>
      </c>
      <c r="J151" s="56"/>
    </row>
    <row r="152" spans="9:11" ht="18.75" customHeight="1" x14ac:dyDescent="0.2">
      <c r="I152" s="56"/>
      <c r="J152" s="56"/>
    </row>
    <row r="153" spans="9:11" ht="18.75" customHeight="1" x14ac:dyDescent="0.2"/>
    <row r="159" spans="9:11" ht="21" customHeight="1" x14ac:dyDescent="0.2"/>
    <row r="160" spans="9:11" ht="21" customHeight="1" x14ac:dyDescent="0.2"/>
    <row r="161" ht="21" customHeight="1" x14ac:dyDescent="0.2"/>
    <row r="162" ht="21" customHeight="1" x14ac:dyDescent="0.2"/>
    <row r="163" ht="21" customHeight="1" x14ac:dyDescent="0.2"/>
    <row r="164" ht="21" customHeight="1" x14ac:dyDescent="0.2"/>
    <row r="165" ht="21" customHeight="1" x14ac:dyDescent="0.2"/>
    <row r="166" ht="21" customHeight="1" x14ac:dyDescent="0.2"/>
    <row r="167" ht="21" customHeight="1" x14ac:dyDescent="0.2"/>
    <row r="171" ht="21.75" customHeight="1" x14ac:dyDescent="0.2"/>
  </sheetData>
  <mergeCells count="51">
    <mergeCell ref="A1:L1"/>
    <mergeCell ref="A6:D6"/>
    <mergeCell ref="C3:C4"/>
    <mergeCell ref="A5:D5"/>
    <mergeCell ref="E4:E5"/>
    <mergeCell ref="F4:F5"/>
    <mergeCell ref="G4:G5"/>
    <mergeCell ref="H4:H5"/>
    <mergeCell ref="I4:I5"/>
    <mergeCell ref="A2:L2"/>
    <mergeCell ref="J4:J5"/>
    <mergeCell ref="L3:L5"/>
    <mergeCell ref="K3:K5"/>
    <mergeCell ref="A24:C24"/>
    <mergeCell ref="A39:C39"/>
    <mergeCell ref="D3:D4"/>
    <mergeCell ref="A3:A4"/>
    <mergeCell ref="B3:B4"/>
    <mergeCell ref="A11:C11"/>
    <mergeCell ref="A22:C22"/>
    <mergeCell ref="A28:C28"/>
    <mergeCell ref="A129:L130"/>
    <mergeCell ref="A126:C126"/>
    <mergeCell ref="A124:C124"/>
    <mergeCell ref="A7:C7"/>
    <mergeCell ref="A9:C9"/>
    <mergeCell ref="A48:C48"/>
    <mergeCell ref="A128:D128"/>
    <mergeCell ref="A123:D123"/>
    <mergeCell ref="A61:A62"/>
    <mergeCell ref="B61:B62"/>
    <mergeCell ref="C61:C62"/>
    <mergeCell ref="D61:D62"/>
    <mergeCell ref="A120:L121"/>
    <mergeCell ref="A59:L60"/>
    <mergeCell ref="A71:C71"/>
    <mergeCell ref="A83:C83"/>
    <mergeCell ref="A142:D142"/>
    <mergeCell ref="A141:D141"/>
    <mergeCell ref="A139:D139"/>
    <mergeCell ref="A144:D144"/>
    <mergeCell ref="A132:D132"/>
    <mergeCell ref="A137:D137"/>
    <mergeCell ref="A133:C133"/>
    <mergeCell ref="A57:C57"/>
    <mergeCell ref="L61:L62"/>
    <mergeCell ref="A112:C112"/>
    <mergeCell ref="A119:D119"/>
    <mergeCell ref="A63:D63"/>
    <mergeCell ref="A64:C64"/>
    <mergeCell ref="K61:K62"/>
  </mergeCells>
  <phoneticPr fontId="50" type="noConversion"/>
  <printOptions horizontalCentered="1" verticalCentered="1"/>
  <pageMargins left="0.51181102362204722" right="0.11811023622047245" top="0.39370078740157483" bottom="0.35433070866141736" header="0.31496062992125984" footer="0.31496062992125984"/>
  <pageSetup paperSize="9" scale="60" orientation="landscape" r:id="rId1"/>
  <headerFooter>
    <oddHeader>&amp;C2023. évi költségvetés&amp;R&amp;A</oddHeader>
    <oddFooter>&amp;C&amp;P/&amp;N</oddFooter>
  </headerFooter>
  <rowBreaks count="5" manualBreakCount="5">
    <brk id="32" max="11" man="1"/>
    <brk id="58" max="11" man="1"/>
    <brk id="87" max="11" man="1"/>
    <brk id="119" max="11" man="1"/>
    <brk id="144" max="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AC191"/>
  <sheetViews>
    <sheetView view="pageBreakPreview" zoomScale="80" zoomScaleNormal="80" zoomScaleSheetLayoutView="80" workbookViewId="0">
      <pane xSplit="3" ySplit="7" topLeftCell="D122" activePane="bottomRight" state="frozen"/>
      <selection pane="topRight" activeCell="E1" sqref="E1"/>
      <selection pane="bottomLeft" activeCell="A8" sqref="A8"/>
      <selection pane="bottomRight" activeCell="E125" sqref="E125:E126"/>
    </sheetView>
  </sheetViews>
  <sheetFormatPr defaultRowHeight="12.75" x14ac:dyDescent="0.2"/>
  <cols>
    <col min="1" max="1" width="6.7109375" style="10" customWidth="1"/>
    <col min="2" max="2" width="11.140625" style="10" customWidth="1"/>
    <col min="3" max="3" width="57" style="10" customWidth="1"/>
    <col min="4" max="4" width="17.140625" style="11" customWidth="1"/>
    <col min="5" max="5" width="17.7109375" style="11" customWidth="1"/>
    <col min="6" max="6" width="15.7109375" style="10" customWidth="1"/>
    <col min="7" max="7" width="15.5703125" style="10" customWidth="1"/>
    <col min="8" max="8" width="17.5703125" style="10" customWidth="1"/>
    <col min="9" max="9" width="17.7109375" style="10" customWidth="1"/>
    <col min="10" max="10" width="15" style="10" customWidth="1"/>
    <col min="11" max="11" width="14.7109375" style="10" customWidth="1"/>
    <col min="12" max="12" width="15.5703125" style="10" customWidth="1"/>
    <col min="13" max="13" width="17.42578125" style="10" customWidth="1"/>
    <col min="14" max="17" width="15.28515625" style="10" customWidth="1"/>
    <col min="18" max="19" width="16.42578125" style="10" customWidth="1"/>
    <col min="20" max="20" width="18" style="130" customWidth="1"/>
    <col min="21" max="21" width="16" style="10" customWidth="1"/>
    <col min="22" max="22" width="15.85546875" style="10" customWidth="1"/>
    <col min="23" max="23" width="11.42578125" style="10" customWidth="1"/>
    <col min="24" max="24" width="16.42578125" style="10" customWidth="1"/>
    <col min="25" max="25" width="14.140625" style="10" customWidth="1"/>
    <col min="26" max="26" width="9.28515625" style="10" bestFit="1" customWidth="1"/>
    <col min="27" max="27" width="15.5703125" style="10" bestFit="1" customWidth="1"/>
    <col min="28" max="28" width="13" style="10" customWidth="1"/>
    <col min="29" max="29" width="9.28515625" style="10" bestFit="1" customWidth="1"/>
    <col min="30" max="16384" width="9.140625" style="10"/>
  </cols>
  <sheetData>
    <row r="1" spans="1:29" ht="39.75" customHeight="1" x14ac:dyDescent="0.2">
      <c r="A1" s="1872" t="s">
        <v>30</v>
      </c>
      <c r="B1" s="1872"/>
      <c r="C1" s="1872"/>
      <c r="D1" s="1872"/>
      <c r="E1" s="1872"/>
      <c r="F1" s="1872"/>
      <c r="G1" s="1872"/>
      <c r="H1" s="1872"/>
      <c r="I1" s="1872"/>
      <c r="J1" s="1872"/>
      <c r="K1" s="1872"/>
      <c r="L1" s="1686"/>
      <c r="M1" s="1686"/>
      <c r="N1" s="1686"/>
      <c r="O1" s="1686"/>
      <c r="P1" s="1686"/>
      <c r="Q1" s="1686"/>
      <c r="R1" s="1686"/>
      <c r="S1" s="1686"/>
      <c r="T1" s="1686"/>
      <c r="U1" s="1686"/>
      <c r="V1" s="1686"/>
      <c r="W1" s="1686"/>
      <c r="X1" s="1686"/>
      <c r="Y1" s="1686"/>
    </row>
    <row r="2" spans="1:29" ht="20.25" customHeight="1" x14ac:dyDescent="0.2">
      <c r="A2" s="305"/>
      <c r="B2" s="305"/>
      <c r="C2" s="305"/>
      <c r="D2" s="305"/>
      <c r="E2" s="305"/>
      <c r="F2" s="305"/>
      <c r="G2" s="305"/>
      <c r="H2" s="305"/>
      <c r="I2" s="305"/>
      <c r="J2" s="305"/>
      <c r="K2" s="308" t="s">
        <v>431</v>
      </c>
      <c r="M2" s="305"/>
      <c r="N2" s="305"/>
      <c r="O2" s="305"/>
      <c r="P2" s="305"/>
      <c r="Q2" s="305"/>
      <c r="R2" s="305"/>
      <c r="S2" s="308" t="s">
        <v>431</v>
      </c>
      <c r="T2" s="305"/>
      <c r="U2" s="305"/>
      <c r="V2" s="305"/>
      <c r="W2" s="305"/>
      <c r="X2" s="305"/>
      <c r="Y2" s="308" t="s">
        <v>431</v>
      </c>
    </row>
    <row r="3" spans="1:29" ht="54" customHeight="1" x14ac:dyDescent="0.2">
      <c r="A3" s="1871" t="s">
        <v>750</v>
      </c>
      <c r="B3" s="1871" t="s">
        <v>1</v>
      </c>
      <c r="C3" s="1871" t="s">
        <v>2</v>
      </c>
      <c r="D3" s="376" t="s">
        <v>273</v>
      </c>
      <c r="E3" s="959" t="s">
        <v>1561</v>
      </c>
      <c r="F3" s="376" t="s">
        <v>273</v>
      </c>
      <c r="G3" s="959" t="s">
        <v>1561</v>
      </c>
      <c r="H3" s="376" t="s">
        <v>273</v>
      </c>
      <c r="I3" s="959" t="s">
        <v>1561</v>
      </c>
      <c r="J3" s="376" t="s">
        <v>273</v>
      </c>
      <c r="K3" s="959" t="s">
        <v>1561</v>
      </c>
      <c r="L3" s="976" t="s">
        <v>273</v>
      </c>
      <c r="M3" s="1541" t="s">
        <v>1561</v>
      </c>
      <c r="N3" s="969" t="s">
        <v>273</v>
      </c>
      <c r="O3" s="959" t="s">
        <v>1561</v>
      </c>
      <c r="P3" s="969" t="s">
        <v>273</v>
      </c>
      <c r="Q3" s="959" t="s">
        <v>1561</v>
      </c>
      <c r="R3" s="969" t="s">
        <v>273</v>
      </c>
      <c r="S3" s="959" t="s">
        <v>1561</v>
      </c>
      <c r="T3" s="1863" t="s">
        <v>1348</v>
      </c>
      <c r="U3" s="1863"/>
      <c r="V3" s="1863"/>
      <c r="W3" s="1863"/>
      <c r="X3" s="1863"/>
      <c r="Y3" s="1864"/>
    </row>
    <row r="4" spans="1:29" ht="19.5" customHeight="1" x14ac:dyDescent="0.2">
      <c r="A4" s="1871"/>
      <c r="B4" s="1871"/>
      <c r="C4" s="1871"/>
      <c r="D4" s="1858" t="s">
        <v>1347</v>
      </c>
      <c r="E4" s="1871" t="s">
        <v>1347</v>
      </c>
      <c r="F4" s="1857" t="s">
        <v>3</v>
      </c>
      <c r="G4" s="1857" t="s">
        <v>3</v>
      </c>
      <c r="H4" s="1857" t="s">
        <v>4</v>
      </c>
      <c r="I4" s="1857" t="s">
        <v>4</v>
      </c>
      <c r="J4" s="1857" t="s">
        <v>5</v>
      </c>
      <c r="K4" s="1857" t="s">
        <v>5</v>
      </c>
      <c r="L4" s="1873" t="s">
        <v>6</v>
      </c>
      <c r="M4" s="1873" t="s">
        <v>6</v>
      </c>
      <c r="N4" s="1857" t="s">
        <v>1245</v>
      </c>
      <c r="O4" s="1857" t="s">
        <v>1245</v>
      </c>
      <c r="P4" s="1859" t="s">
        <v>767</v>
      </c>
      <c r="Q4" s="1859" t="s">
        <v>767</v>
      </c>
      <c r="R4" s="1857" t="s">
        <v>7</v>
      </c>
      <c r="S4" s="1857" t="s">
        <v>7</v>
      </c>
      <c r="T4" s="1865" t="s">
        <v>8</v>
      </c>
      <c r="U4" s="1868" t="s">
        <v>9</v>
      </c>
      <c r="V4" s="1868" t="s">
        <v>184</v>
      </c>
      <c r="W4" s="1868" t="s">
        <v>10</v>
      </c>
      <c r="X4" s="1868" t="s">
        <v>627</v>
      </c>
      <c r="Y4" s="1871" t="s">
        <v>11</v>
      </c>
    </row>
    <row r="5" spans="1:29" ht="83.25" customHeight="1" x14ac:dyDescent="0.2">
      <c r="A5" s="1871"/>
      <c r="B5" s="1871"/>
      <c r="C5" s="1871"/>
      <c r="D5" s="1858"/>
      <c r="E5" s="1871"/>
      <c r="F5" s="1857"/>
      <c r="G5" s="1857"/>
      <c r="H5" s="1857"/>
      <c r="I5" s="1857"/>
      <c r="J5" s="1857"/>
      <c r="K5" s="1857"/>
      <c r="L5" s="1873"/>
      <c r="M5" s="1873"/>
      <c r="N5" s="1857"/>
      <c r="O5" s="1857"/>
      <c r="P5" s="1860"/>
      <c r="Q5" s="1860"/>
      <c r="R5" s="1857"/>
      <c r="S5" s="1857"/>
      <c r="T5" s="1866"/>
      <c r="U5" s="1869"/>
      <c r="V5" s="1869"/>
      <c r="W5" s="1869"/>
      <c r="X5" s="1869"/>
      <c r="Y5" s="1871"/>
    </row>
    <row r="6" spans="1:29" ht="19.5" customHeight="1" x14ac:dyDescent="0.2">
      <c r="A6" s="1861" t="s">
        <v>245</v>
      </c>
      <c r="B6" s="1862"/>
      <c r="C6" s="1862"/>
      <c r="D6" s="1862"/>
      <c r="E6" s="1622"/>
      <c r="F6" s="1622" t="s">
        <v>12</v>
      </c>
      <c r="G6" s="1622" t="s">
        <v>12</v>
      </c>
      <c r="H6" s="1622" t="s">
        <v>13</v>
      </c>
      <c r="I6" s="1622" t="s">
        <v>13</v>
      </c>
      <c r="J6" s="1622" t="s">
        <v>14</v>
      </c>
      <c r="K6" s="971" t="s">
        <v>14</v>
      </c>
      <c r="L6" s="1685" t="s">
        <v>15</v>
      </c>
      <c r="M6" s="975" t="s">
        <v>15</v>
      </c>
      <c r="N6" s="1622" t="s">
        <v>1246</v>
      </c>
      <c r="O6" s="1622" t="s">
        <v>1246</v>
      </c>
      <c r="P6" s="1622" t="s">
        <v>766</v>
      </c>
      <c r="Q6" s="1622" t="s">
        <v>766</v>
      </c>
      <c r="R6" s="1622" t="s">
        <v>16</v>
      </c>
      <c r="S6" s="971" t="s">
        <v>16</v>
      </c>
      <c r="T6" s="1867"/>
      <c r="U6" s="1870"/>
      <c r="V6" s="1870"/>
      <c r="W6" s="1870"/>
      <c r="X6" s="1870"/>
      <c r="Y6" s="1871"/>
    </row>
    <row r="7" spans="1:29" s="11" customFormat="1" ht="21" customHeight="1" x14ac:dyDescent="0.2">
      <c r="A7" s="1623" t="s">
        <v>28</v>
      </c>
      <c r="B7" s="1615"/>
      <c r="C7" s="1615"/>
      <c r="D7" s="1538">
        <f>SUM(D8:D9)</f>
        <v>50000000</v>
      </c>
      <c r="E7" s="1538">
        <f>SUM(E8:E9)</f>
        <v>365921397</v>
      </c>
      <c r="F7" s="1538">
        <f t="shared" ref="F7:S7" si="0">SUM(F8:F9)</f>
        <v>0</v>
      </c>
      <c r="G7" s="1538">
        <f t="shared" si="0"/>
        <v>435000</v>
      </c>
      <c r="H7" s="1538">
        <f>SUM(H8:H9)</f>
        <v>39370079</v>
      </c>
      <c r="I7" s="1538">
        <f>SUM(I8:I9)</f>
        <v>287692084</v>
      </c>
      <c r="J7" s="1538">
        <f t="shared" si="0"/>
        <v>0</v>
      </c>
      <c r="K7" s="1543">
        <f t="shared" si="0"/>
        <v>0</v>
      </c>
      <c r="L7" s="1542">
        <f t="shared" si="0"/>
        <v>0</v>
      </c>
      <c r="M7" s="1538">
        <f t="shared" si="0"/>
        <v>0</v>
      </c>
      <c r="N7" s="1538">
        <f t="shared" si="0"/>
        <v>0</v>
      </c>
      <c r="O7" s="1538">
        <f t="shared" si="0"/>
        <v>0</v>
      </c>
      <c r="P7" s="1538">
        <f t="shared" si="0"/>
        <v>0</v>
      </c>
      <c r="Q7" s="1538">
        <f t="shared" si="0"/>
        <v>0</v>
      </c>
      <c r="R7" s="1538">
        <f t="shared" si="0"/>
        <v>10629921</v>
      </c>
      <c r="S7" s="1543">
        <f t="shared" si="0"/>
        <v>77794313</v>
      </c>
      <c r="T7" s="1542">
        <f>SUM(T8:T9)</f>
        <v>86070522</v>
      </c>
      <c r="U7" s="1538">
        <f>SUM(U8:U9)</f>
        <v>279850875</v>
      </c>
      <c r="V7" s="1538">
        <f>SUM(V8:V9)</f>
        <v>0</v>
      </c>
      <c r="W7" s="1538">
        <f>SUM(W8:W9)</f>
        <v>0</v>
      </c>
      <c r="X7" s="1538">
        <f>SUM(X8:X9)</f>
        <v>0</v>
      </c>
      <c r="Y7" s="363"/>
      <c r="Z7" s="139"/>
      <c r="AB7" s="139"/>
      <c r="AC7" s="139"/>
    </row>
    <row r="8" spans="1:29" s="11" customFormat="1" ht="60.75" customHeight="1" x14ac:dyDescent="0.2">
      <c r="A8" s="739" t="s">
        <v>1457</v>
      </c>
      <c r="B8" s="427" t="s">
        <v>583</v>
      </c>
      <c r="C8" s="311" t="s">
        <v>3446</v>
      </c>
      <c r="D8" s="856">
        <f>F8+H8+J8+L8+R8+N8+P8</f>
        <v>50000000</v>
      </c>
      <c r="E8" s="856">
        <f>G8+I8+K8+M8+S8+O8+Q8</f>
        <v>11212397</v>
      </c>
      <c r="F8" s="107"/>
      <c r="G8" s="107">
        <v>435000</v>
      </c>
      <c r="H8" s="107">
        <v>39370079</v>
      </c>
      <c r="I8" s="107">
        <f>+H8+245000+190000-11811024-7352546-465700-14500-1387650-1750000-7875000-320000-435000</f>
        <v>8393659</v>
      </c>
      <c r="J8" s="107"/>
      <c r="K8" s="77"/>
      <c r="L8" s="1392"/>
      <c r="M8" s="107"/>
      <c r="N8" s="107"/>
      <c r="O8" s="107"/>
      <c r="P8" s="107"/>
      <c r="Q8" s="107"/>
      <c r="R8" s="107">
        <v>10629921</v>
      </c>
      <c r="S8" s="77">
        <f>+R8+66150+51300-3188976-1985187-125739-3915-374666-472500-2126250-86400</f>
        <v>2383738</v>
      </c>
      <c r="T8" s="1392">
        <f>+E8-U8</f>
        <v>10659947</v>
      </c>
      <c r="U8" s="1392">
        <v>552450</v>
      </c>
      <c r="V8" s="107"/>
      <c r="W8" s="856"/>
      <c r="X8" s="856"/>
      <c r="Y8" s="77" t="s">
        <v>222</v>
      </c>
      <c r="Z8" s="139"/>
      <c r="AB8" s="139"/>
      <c r="AC8" s="139"/>
    </row>
    <row r="9" spans="1:29" s="11" customFormat="1" ht="48.75" customHeight="1" x14ac:dyDescent="0.2">
      <c r="A9" s="884" t="s">
        <v>1420</v>
      </c>
      <c r="B9" s="723" t="s">
        <v>813</v>
      </c>
      <c r="C9" s="1570" t="s">
        <v>2837</v>
      </c>
      <c r="D9" s="1407">
        <f>F9+H9+J9+L9+R9+N9+P9</f>
        <v>0</v>
      </c>
      <c r="E9" s="1560">
        <f>G9+I9+K9+M9+S9+O9+Q9</f>
        <v>354709000</v>
      </c>
      <c r="F9" s="126"/>
      <c r="G9" s="126"/>
      <c r="H9" s="126"/>
      <c r="I9" s="126">
        <v>279298425</v>
      </c>
      <c r="J9" s="126"/>
      <c r="K9" s="76"/>
      <c r="L9" s="734"/>
      <c r="M9" s="172"/>
      <c r="N9" s="126"/>
      <c r="O9" s="126"/>
      <c r="P9" s="126"/>
      <c r="Q9" s="126"/>
      <c r="R9" s="126"/>
      <c r="S9" s="76">
        <v>75410575</v>
      </c>
      <c r="T9" s="1390">
        <f>+E9-U9</f>
        <v>75410575</v>
      </c>
      <c r="U9" s="154">
        <v>279298425</v>
      </c>
      <c r="V9" s="402"/>
      <c r="W9" s="402"/>
      <c r="X9" s="402"/>
      <c r="Y9" s="326" t="s">
        <v>223</v>
      </c>
      <c r="Z9" s="139"/>
      <c r="AB9" s="139"/>
      <c r="AC9" s="139"/>
    </row>
    <row r="10" spans="1:29" s="11" customFormat="1" ht="21.75" customHeight="1" x14ac:dyDescent="0.2">
      <c r="A10" s="1623" t="s">
        <v>17</v>
      </c>
      <c r="B10" s="1615"/>
      <c r="C10" s="1714"/>
      <c r="D10" s="362">
        <f t="shared" ref="D10:X10" si="1">SUM(D11:D25)</f>
        <v>35400000</v>
      </c>
      <c r="E10" s="1532">
        <f t="shared" si="1"/>
        <v>178249957</v>
      </c>
      <c r="F10" s="362">
        <f t="shared" si="1"/>
        <v>0</v>
      </c>
      <c r="G10" s="362">
        <f t="shared" si="1"/>
        <v>1750000</v>
      </c>
      <c r="H10" s="362">
        <f t="shared" si="1"/>
        <v>27874016</v>
      </c>
      <c r="I10" s="362">
        <f t="shared" si="1"/>
        <v>161038370</v>
      </c>
      <c r="J10" s="362">
        <f t="shared" si="1"/>
        <v>0</v>
      </c>
      <c r="K10" s="106">
        <f t="shared" si="1"/>
        <v>0</v>
      </c>
      <c r="L10" s="743">
        <f t="shared" si="1"/>
        <v>0</v>
      </c>
      <c r="M10" s="362">
        <f t="shared" si="1"/>
        <v>0</v>
      </c>
      <c r="N10" s="362">
        <f t="shared" si="1"/>
        <v>0</v>
      </c>
      <c r="O10" s="362">
        <f t="shared" si="1"/>
        <v>0</v>
      </c>
      <c r="P10" s="362">
        <f t="shared" si="1"/>
        <v>0</v>
      </c>
      <c r="Q10" s="362">
        <f t="shared" si="1"/>
        <v>0</v>
      </c>
      <c r="R10" s="362">
        <f t="shared" si="1"/>
        <v>7525984</v>
      </c>
      <c r="S10" s="106">
        <f t="shared" si="1"/>
        <v>15461587</v>
      </c>
      <c r="T10" s="743">
        <f t="shared" si="1"/>
        <v>178249957</v>
      </c>
      <c r="U10" s="362">
        <f t="shared" si="1"/>
        <v>0</v>
      </c>
      <c r="V10" s="362">
        <f t="shared" si="1"/>
        <v>0</v>
      </c>
      <c r="W10" s="362">
        <f t="shared" si="1"/>
        <v>0</v>
      </c>
      <c r="X10" s="362">
        <f t="shared" si="1"/>
        <v>198336000</v>
      </c>
      <c r="Y10" s="106"/>
      <c r="AA10" s="139">
        <f>SUM(T10:X10)</f>
        <v>376585957</v>
      </c>
      <c r="AB10" s="139">
        <f>+AA10-D10</f>
        <v>341185957</v>
      </c>
      <c r="AC10" s="139"/>
    </row>
    <row r="11" spans="1:29" ht="29.25" customHeight="1" x14ac:dyDescent="0.2">
      <c r="A11" s="395" t="s">
        <v>128</v>
      </c>
      <c r="B11" s="401" t="s">
        <v>583</v>
      </c>
      <c r="C11" s="74" t="s">
        <v>2710</v>
      </c>
      <c r="D11" s="856">
        <f>+F11+H11+J11+L11+N11+P11+R11</f>
        <v>0</v>
      </c>
      <c r="E11" s="858">
        <f>+G11+I11+K11+M11+O11+Q11+S11</f>
        <v>101664000</v>
      </c>
      <c r="F11" s="107"/>
      <c r="G11" s="107"/>
      <c r="H11" s="107"/>
      <c r="I11" s="107">
        <f>97600000+3200000</f>
        <v>100800000</v>
      </c>
      <c r="J11" s="107"/>
      <c r="K11" s="77"/>
      <c r="L11" s="974"/>
      <c r="M11" s="699"/>
      <c r="N11" s="107"/>
      <c r="O11" s="107"/>
      <c r="P11" s="107"/>
      <c r="Q11" s="107"/>
      <c r="R11" s="107"/>
      <c r="S11" s="77">
        <f>26352000+864000-26352000</f>
        <v>864000</v>
      </c>
      <c r="T11" s="1392">
        <f>+E11</f>
        <v>101664000</v>
      </c>
      <c r="U11" s="142"/>
      <c r="V11" s="108"/>
      <c r="W11" s="142"/>
      <c r="X11" s="107">
        <f>250000000-E11</f>
        <v>148336000</v>
      </c>
      <c r="Y11" s="77" t="s">
        <v>222</v>
      </c>
      <c r="AA11" s="139"/>
      <c r="AB11" s="139"/>
      <c r="AC11" s="15"/>
    </row>
    <row r="12" spans="1:29" ht="29.25" customHeight="1" x14ac:dyDescent="0.2">
      <c r="A12" s="395" t="s">
        <v>128</v>
      </c>
      <c r="B12" s="401" t="s">
        <v>583</v>
      </c>
      <c r="C12" s="74" t="s">
        <v>2399</v>
      </c>
      <c r="D12" s="857">
        <f>+F12+H12+J12+L12+N12+P12+R12</f>
        <v>5000000</v>
      </c>
      <c r="E12" s="1393">
        <f>+G12+I12+K12+M12+O12+Q12+S12</f>
        <v>0</v>
      </c>
      <c r="F12" s="125"/>
      <c r="G12" s="125"/>
      <c r="H12" s="125">
        <v>3937008</v>
      </c>
      <c r="I12" s="125">
        <f>+H12-1150320-2786688</f>
        <v>0</v>
      </c>
      <c r="J12" s="125"/>
      <c r="K12" s="78"/>
      <c r="L12" s="424"/>
      <c r="M12" s="125"/>
      <c r="N12" s="125"/>
      <c r="O12" s="125"/>
      <c r="P12" s="125"/>
      <c r="Q12" s="125"/>
      <c r="R12" s="125">
        <v>1062992</v>
      </c>
      <c r="S12" s="78">
        <f>+R12-310586-752406</f>
        <v>0</v>
      </c>
      <c r="T12" s="424">
        <f>+E12</f>
        <v>0</v>
      </c>
      <c r="U12" s="396"/>
      <c r="V12" s="141"/>
      <c r="W12" s="396"/>
      <c r="X12" s="396"/>
      <c r="Y12" s="78" t="s">
        <v>222</v>
      </c>
      <c r="AA12" s="139"/>
      <c r="AB12" s="139"/>
      <c r="AC12" s="15"/>
    </row>
    <row r="13" spans="1:29" ht="29.25" customHeight="1" x14ac:dyDescent="0.2">
      <c r="A13" s="395" t="s">
        <v>128</v>
      </c>
      <c r="B13" s="427" t="s">
        <v>583</v>
      </c>
      <c r="C13" s="71" t="s">
        <v>1451</v>
      </c>
      <c r="D13" s="857">
        <f t="shared" ref="D13:E25" si="2">+F13+H13+J13+L13+N13+P13+R13</f>
        <v>4000000</v>
      </c>
      <c r="E13" s="1393">
        <f t="shared" si="2"/>
        <v>0</v>
      </c>
      <c r="F13" s="125"/>
      <c r="G13" s="125"/>
      <c r="H13" s="125">
        <v>3149606</v>
      </c>
      <c r="I13" s="125">
        <f>+H13-3149606</f>
        <v>0</v>
      </c>
      <c r="J13" s="125"/>
      <c r="K13" s="78"/>
      <c r="L13" s="424"/>
      <c r="M13" s="125"/>
      <c r="N13" s="125"/>
      <c r="O13" s="125"/>
      <c r="P13" s="125"/>
      <c r="Q13" s="125"/>
      <c r="R13" s="125">
        <v>850394</v>
      </c>
      <c r="S13" s="78">
        <f>+R13-850394</f>
        <v>0</v>
      </c>
      <c r="T13" s="424">
        <f>+E13</f>
        <v>0</v>
      </c>
      <c r="U13" s="396"/>
      <c r="V13" s="141"/>
      <c r="W13" s="396"/>
      <c r="X13" s="396"/>
      <c r="Y13" s="78" t="s">
        <v>222</v>
      </c>
      <c r="AA13" s="139"/>
      <c r="AB13" s="139"/>
      <c r="AC13" s="15"/>
    </row>
    <row r="14" spans="1:29" ht="29.25" customHeight="1" x14ac:dyDescent="0.2">
      <c r="A14" s="395" t="s">
        <v>128</v>
      </c>
      <c r="B14" s="427" t="s">
        <v>583</v>
      </c>
      <c r="C14" s="71" t="s">
        <v>1903</v>
      </c>
      <c r="D14" s="857">
        <f t="shared" ref="D14" si="3">+F14+H14+J14+L14+N14+P14+R14</f>
        <v>0</v>
      </c>
      <c r="E14" s="1393">
        <f t="shared" ref="E14" si="4">+G14+I14+K14+M14+O14+Q14+S14</f>
        <v>1460906</v>
      </c>
      <c r="F14" s="125"/>
      <c r="G14" s="125"/>
      <c r="H14" s="125"/>
      <c r="I14" s="125">
        <v>1150320</v>
      </c>
      <c r="J14" s="125"/>
      <c r="K14" s="78"/>
      <c r="L14" s="424"/>
      <c r="M14" s="125"/>
      <c r="N14" s="125"/>
      <c r="O14" s="125"/>
      <c r="P14" s="125"/>
      <c r="Q14" s="125"/>
      <c r="R14" s="125"/>
      <c r="S14" s="78">
        <v>310586</v>
      </c>
      <c r="T14" s="424">
        <f>+E14</f>
        <v>1460906</v>
      </c>
      <c r="U14" s="396"/>
      <c r="V14" s="141"/>
      <c r="W14" s="396"/>
      <c r="X14" s="396"/>
      <c r="Y14" s="78" t="s">
        <v>222</v>
      </c>
      <c r="AA14" s="139"/>
      <c r="AB14" s="139"/>
      <c r="AC14" s="15"/>
    </row>
    <row r="15" spans="1:29" ht="29.25" customHeight="1" x14ac:dyDescent="0.2">
      <c r="A15" s="395" t="s">
        <v>128</v>
      </c>
      <c r="B15" s="427" t="s">
        <v>583</v>
      </c>
      <c r="C15" s="71" t="s">
        <v>882</v>
      </c>
      <c r="D15" s="857">
        <f t="shared" si="2"/>
        <v>0</v>
      </c>
      <c r="E15" s="1393">
        <f t="shared" si="2"/>
        <v>0</v>
      </c>
      <c r="F15" s="125"/>
      <c r="G15" s="125"/>
      <c r="H15" s="125"/>
      <c r="I15" s="125"/>
      <c r="J15" s="125"/>
      <c r="K15" s="78"/>
      <c r="L15" s="424"/>
      <c r="M15" s="125"/>
      <c r="N15" s="125"/>
      <c r="O15" s="125"/>
      <c r="P15" s="125"/>
      <c r="Q15" s="125"/>
      <c r="R15" s="125"/>
      <c r="S15" s="78"/>
      <c r="T15" s="424">
        <f t="shared" ref="T15:T25" si="5">+D15</f>
        <v>0</v>
      </c>
      <c r="U15" s="396"/>
      <c r="V15" s="141"/>
      <c r="W15" s="396"/>
      <c r="X15" s="396"/>
      <c r="Y15" s="78" t="s">
        <v>222</v>
      </c>
      <c r="AA15" s="139"/>
      <c r="AB15" s="139"/>
      <c r="AC15" s="15"/>
    </row>
    <row r="16" spans="1:29" ht="29.25" customHeight="1" x14ac:dyDescent="0.2">
      <c r="A16" s="395" t="s">
        <v>128</v>
      </c>
      <c r="B16" s="427" t="s">
        <v>583</v>
      </c>
      <c r="C16" s="71" t="s">
        <v>2220</v>
      </c>
      <c r="D16" s="857">
        <f t="shared" si="2"/>
        <v>0</v>
      </c>
      <c r="E16" s="1393">
        <f t="shared" si="2"/>
        <v>0</v>
      </c>
      <c r="F16" s="125"/>
      <c r="G16" s="125"/>
      <c r="H16" s="125"/>
      <c r="I16" s="125"/>
      <c r="J16" s="125"/>
      <c r="K16" s="78"/>
      <c r="L16" s="424"/>
      <c r="M16" s="125"/>
      <c r="N16" s="125"/>
      <c r="O16" s="125"/>
      <c r="P16" s="125"/>
      <c r="Q16" s="125"/>
      <c r="R16" s="125"/>
      <c r="S16" s="78"/>
      <c r="T16" s="424">
        <f t="shared" si="5"/>
        <v>0</v>
      </c>
      <c r="U16" s="396"/>
      <c r="V16" s="141"/>
      <c r="W16" s="396"/>
      <c r="X16" s="396"/>
      <c r="Y16" s="78" t="s">
        <v>222</v>
      </c>
      <c r="AA16" s="139"/>
      <c r="AB16" s="139"/>
      <c r="AC16" s="15"/>
    </row>
    <row r="17" spans="1:29" ht="36" customHeight="1" x14ac:dyDescent="0.2">
      <c r="A17" s="395" t="s">
        <v>128</v>
      </c>
      <c r="B17" s="427" t="s">
        <v>583</v>
      </c>
      <c r="C17" s="71" t="s">
        <v>2594</v>
      </c>
      <c r="D17" s="857">
        <f t="shared" si="2"/>
        <v>26400000</v>
      </c>
      <c r="E17" s="1393">
        <f t="shared" si="2"/>
        <v>32369000</v>
      </c>
      <c r="F17" s="125"/>
      <c r="G17" s="125"/>
      <c r="H17" s="125">
        <v>20787402</v>
      </c>
      <c r="I17" s="125">
        <f>+H17+4700000</f>
        <v>25487402</v>
      </c>
      <c r="J17" s="125"/>
      <c r="K17" s="78"/>
      <c r="L17" s="424"/>
      <c r="M17" s="125"/>
      <c r="N17" s="125"/>
      <c r="O17" s="125"/>
      <c r="P17" s="125"/>
      <c r="Q17" s="125"/>
      <c r="R17" s="125">
        <v>5612598</v>
      </c>
      <c r="S17" s="78">
        <f>+R17+1269000</f>
        <v>6881598</v>
      </c>
      <c r="T17" s="424">
        <f>+E17</f>
        <v>32369000</v>
      </c>
      <c r="U17" s="396"/>
      <c r="V17" s="141"/>
      <c r="W17" s="396"/>
      <c r="X17" s="396"/>
      <c r="Y17" s="78" t="s">
        <v>222</v>
      </c>
      <c r="AA17" s="139"/>
      <c r="AB17" s="139"/>
      <c r="AC17" s="15"/>
    </row>
    <row r="18" spans="1:29" ht="24.75" customHeight="1" x14ac:dyDescent="0.2">
      <c r="A18" s="395" t="s">
        <v>128</v>
      </c>
      <c r="B18" s="427" t="s">
        <v>583</v>
      </c>
      <c r="C18" s="74" t="s">
        <v>883</v>
      </c>
      <c r="D18" s="857">
        <f t="shared" ref="D18:D24" si="6">+F18+H18+J18+L18+N18+P18+R18</f>
        <v>0</v>
      </c>
      <c r="E18" s="1393">
        <f t="shared" ref="E18:E24" si="7">+G18+I18+K18+M18+O18+Q18+S18</f>
        <v>0</v>
      </c>
      <c r="F18" s="125"/>
      <c r="G18" s="125"/>
      <c r="H18" s="125"/>
      <c r="I18" s="125"/>
      <c r="J18" s="125"/>
      <c r="K18" s="78"/>
      <c r="L18" s="424"/>
      <c r="M18" s="125"/>
      <c r="N18" s="125"/>
      <c r="O18" s="125"/>
      <c r="P18" s="125"/>
      <c r="Q18" s="125"/>
      <c r="R18" s="125"/>
      <c r="S18" s="78"/>
      <c r="T18" s="424">
        <f t="shared" si="5"/>
        <v>0</v>
      </c>
      <c r="U18" s="396"/>
      <c r="V18" s="396"/>
      <c r="W18" s="396"/>
      <c r="X18" s="396"/>
      <c r="Y18" s="78" t="s">
        <v>222</v>
      </c>
      <c r="AA18" s="139"/>
      <c r="AB18" s="139"/>
      <c r="AC18" s="15"/>
    </row>
    <row r="19" spans="1:29" ht="24.75" customHeight="1" x14ac:dyDescent="0.2">
      <c r="A19" s="826" t="s">
        <v>128</v>
      </c>
      <c r="B19" s="827" t="s">
        <v>583</v>
      </c>
      <c r="C19" s="74" t="s">
        <v>2242</v>
      </c>
      <c r="D19" s="857">
        <f t="shared" ref="D19" si="8">+F19+H19+J19+L19+N19+P19+R19</f>
        <v>0</v>
      </c>
      <c r="E19" s="1393">
        <f t="shared" ref="E19" si="9">+G19+I19+K19+M19+O19+Q19+S19</f>
        <v>8431232</v>
      </c>
      <c r="F19" s="126"/>
      <c r="G19" s="126"/>
      <c r="H19" s="126"/>
      <c r="I19" s="126">
        <f>4773626+3149606+400000</f>
        <v>8323232</v>
      </c>
      <c r="J19" s="126"/>
      <c r="K19" s="76"/>
      <c r="L19" s="424"/>
      <c r="M19" s="125"/>
      <c r="N19" s="126"/>
      <c r="O19" s="126"/>
      <c r="P19" s="126"/>
      <c r="Q19" s="126"/>
      <c r="R19" s="126"/>
      <c r="S19" s="76">
        <v>108000</v>
      </c>
      <c r="T19" s="1390">
        <f t="shared" ref="T19:T24" si="10">+E19</f>
        <v>8431232</v>
      </c>
      <c r="U19" s="402"/>
      <c r="V19" s="402"/>
      <c r="W19" s="402"/>
      <c r="X19" s="402"/>
      <c r="Y19" s="76" t="s">
        <v>222</v>
      </c>
      <c r="AA19" s="139"/>
      <c r="AB19" s="139"/>
      <c r="AC19" s="15"/>
    </row>
    <row r="20" spans="1:29" ht="24.75" customHeight="1" x14ac:dyDescent="0.2">
      <c r="A20" s="826" t="s">
        <v>128</v>
      </c>
      <c r="B20" s="827" t="s">
        <v>583</v>
      </c>
      <c r="C20" s="74" t="s">
        <v>2394</v>
      </c>
      <c r="D20" s="857">
        <f t="shared" ref="D20" si="11">+F20+H20+J20+L20+N20+P20+R20</f>
        <v>0</v>
      </c>
      <c r="E20" s="1393">
        <f t="shared" ref="E20" si="12">+G20+I20+K20+M20+O20+Q20+S20</f>
        <v>5145485</v>
      </c>
      <c r="F20" s="126"/>
      <c r="G20" s="126"/>
      <c r="H20" s="126"/>
      <c r="I20" s="126">
        <f>1264875+2786688</f>
        <v>4051563</v>
      </c>
      <c r="J20" s="126"/>
      <c r="K20" s="76"/>
      <c r="L20" s="424"/>
      <c r="M20" s="125"/>
      <c r="N20" s="126"/>
      <c r="O20" s="126"/>
      <c r="P20" s="126"/>
      <c r="Q20" s="126"/>
      <c r="R20" s="126"/>
      <c r="S20" s="76">
        <f>341516+752406</f>
        <v>1093922</v>
      </c>
      <c r="T20" s="1390">
        <f t="shared" si="10"/>
        <v>5145485</v>
      </c>
      <c r="U20" s="402"/>
      <c r="V20" s="402"/>
      <c r="W20" s="402"/>
      <c r="X20" s="402"/>
      <c r="Y20" s="76" t="s">
        <v>222</v>
      </c>
      <c r="AA20" s="139"/>
      <c r="AB20" s="139"/>
      <c r="AC20" s="15"/>
    </row>
    <row r="21" spans="1:29" ht="24.75" customHeight="1" x14ac:dyDescent="0.2">
      <c r="A21" s="826" t="s">
        <v>128</v>
      </c>
      <c r="B21" s="827" t="s">
        <v>583</v>
      </c>
      <c r="C21" s="74" t="s">
        <v>2402</v>
      </c>
      <c r="D21" s="857">
        <f t="shared" ref="D21" si="13">+F21+H21+J21+L21+N21+P21+R21</f>
        <v>0</v>
      </c>
      <c r="E21" s="1393">
        <f t="shared" ref="E21" si="14">+G21+I21+K21+M21+O21+Q21+S21</f>
        <v>7987538</v>
      </c>
      <c r="F21" s="126"/>
      <c r="G21" s="126"/>
      <c r="H21" s="126"/>
      <c r="I21" s="126">
        <v>6289400</v>
      </c>
      <c r="J21" s="126"/>
      <c r="K21" s="76"/>
      <c r="L21" s="424"/>
      <c r="M21" s="125"/>
      <c r="N21" s="126"/>
      <c r="O21" s="126"/>
      <c r="P21" s="126"/>
      <c r="Q21" s="126"/>
      <c r="R21" s="126"/>
      <c r="S21" s="76">
        <v>1698138</v>
      </c>
      <c r="T21" s="1390">
        <f t="shared" si="10"/>
        <v>7987538</v>
      </c>
      <c r="U21" s="402"/>
      <c r="V21" s="402"/>
      <c r="W21" s="402"/>
      <c r="X21" s="402"/>
      <c r="Y21" s="76" t="s">
        <v>222</v>
      </c>
      <c r="AA21" s="139"/>
      <c r="AB21" s="139"/>
      <c r="AC21" s="15"/>
    </row>
    <row r="22" spans="1:29" ht="24.75" customHeight="1" x14ac:dyDescent="0.2">
      <c r="A22" s="826" t="s">
        <v>128</v>
      </c>
      <c r="B22" s="827" t="s">
        <v>583</v>
      </c>
      <c r="C22" s="74" t="s">
        <v>2415</v>
      </c>
      <c r="D22" s="857">
        <f t="shared" ref="D22" si="15">+F22+H22+J22+L22+N22+P22+R22</f>
        <v>0</v>
      </c>
      <c r="E22" s="1393">
        <f t="shared" ref="E22" si="16">+G22+I22+K22+M22+O22+Q22+S22</f>
        <v>3079750</v>
      </c>
      <c r="F22" s="126"/>
      <c r="G22" s="126"/>
      <c r="H22" s="126"/>
      <c r="I22" s="126">
        <v>2425000</v>
      </c>
      <c r="J22" s="126"/>
      <c r="K22" s="76"/>
      <c r="L22" s="424"/>
      <c r="M22" s="125"/>
      <c r="N22" s="126"/>
      <c r="O22" s="126"/>
      <c r="P22" s="126"/>
      <c r="Q22" s="126"/>
      <c r="R22" s="126"/>
      <c r="S22" s="76">
        <v>654750</v>
      </c>
      <c r="T22" s="1390">
        <f t="shared" si="10"/>
        <v>3079750</v>
      </c>
      <c r="U22" s="402"/>
      <c r="V22" s="402"/>
      <c r="W22" s="402"/>
      <c r="X22" s="402"/>
      <c r="Y22" s="76" t="s">
        <v>222</v>
      </c>
      <c r="AA22" s="139"/>
      <c r="AB22" s="139"/>
      <c r="AC22" s="15"/>
    </row>
    <row r="23" spans="1:29" ht="24.75" customHeight="1" x14ac:dyDescent="0.2">
      <c r="A23" s="826" t="s">
        <v>128</v>
      </c>
      <c r="B23" s="827" t="s">
        <v>583</v>
      </c>
      <c r="C23" s="74" t="s">
        <v>2433</v>
      </c>
      <c r="D23" s="857">
        <f t="shared" ref="D23" si="17">+F23+H23+J23+L23+N23+P23+R23</f>
        <v>0</v>
      </c>
      <c r="E23" s="1393">
        <f t="shared" ref="E23" si="18">+G23+I23+K23+M23+O23+Q23+S23</f>
        <v>804041</v>
      </c>
      <c r="F23" s="126"/>
      <c r="G23" s="126"/>
      <c r="H23" s="126"/>
      <c r="I23" s="126">
        <v>633103</v>
      </c>
      <c r="J23" s="126"/>
      <c r="K23" s="76"/>
      <c r="L23" s="424"/>
      <c r="M23" s="125"/>
      <c r="N23" s="126"/>
      <c r="O23" s="126"/>
      <c r="P23" s="126"/>
      <c r="Q23" s="126"/>
      <c r="R23" s="126"/>
      <c r="S23" s="76">
        <v>170938</v>
      </c>
      <c r="T23" s="1390">
        <f t="shared" si="10"/>
        <v>804041</v>
      </c>
      <c r="U23" s="402"/>
      <c r="V23" s="402"/>
      <c r="W23" s="402"/>
      <c r="X23" s="402"/>
      <c r="Y23" s="76" t="s">
        <v>222</v>
      </c>
      <c r="AA23" s="139"/>
      <c r="AB23" s="139"/>
      <c r="AC23" s="15"/>
    </row>
    <row r="24" spans="1:29" ht="29.25" customHeight="1" x14ac:dyDescent="0.2">
      <c r="A24" s="826" t="s">
        <v>2103</v>
      </c>
      <c r="B24" s="827" t="s">
        <v>583</v>
      </c>
      <c r="C24" s="74" t="s">
        <v>2111</v>
      </c>
      <c r="D24" s="857">
        <f t="shared" si="6"/>
        <v>0</v>
      </c>
      <c r="E24" s="857">
        <f t="shared" si="7"/>
        <v>17308005</v>
      </c>
      <c r="F24" s="126"/>
      <c r="G24" s="126">
        <v>1750000</v>
      </c>
      <c r="H24" s="126"/>
      <c r="I24" s="126">
        <f>2150000+465700+1387650+1750000+7875000-1750000</f>
        <v>11878350</v>
      </c>
      <c r="J24" s="126"/>
      <c r="K24" s="76"/>
      <c r="L24" s="424"/>
      <c r="M24" s="125"/>
      <c r="N24" s="126"/>
      <c r="O24" s="126"/>
      <c r="P24" s="126"/>
      <c r="Q24" s="126"/>
      <c r="R24" s="126"/>
      <c r="S24" s="76">
        <f>580500+125739+374666+472500+2126250</f>
        <v>3679655</v>
      </c>
      <c r="T24" s="1390">
        <f t="shared" si="10"/>
        <v>17308005</v>
      </c>
      <c r="U24" s="402"/>
      <c r="V24" s="402"/>
      <c r="W24" s="402"/>
      <c r="X24" s="402"/>
      <c r="Y24" s="76" t="s">
        <v>222</v>
      </c>
      <c r="AA24" s="139"/>
      <c r="AB24" s="139"/>
      <c r="AC24" s="15"/>
    </row>
    <row r="25" spans="1:29" ht="32.25" customHeight="1" x14ac:dyDescent="0.2">
      <c r="A25" s="1687" t="s">
        <v>1416</v>
      </c>
      <c r="B25" s="1688" t="s">
        <v>583</v>
      </c>
      <c r="C25" s="1715" t="s">
        <v>1417</v>
      </c>
      <c r="D25" s="855">
        <f t="shared" si="2"/>
        <v>0</v>
      </c>
      <c r="E25" s="855"/>
      <c r="F25" s="172"/>
      <c r="G25" s="172"/>
      <c r="H25" s="172"/>
      <c r="I25" s="172"/>
      <c r="J25" s="172"/>
      <c r="K25" s="194"/>
      <c r="L25" s="734"/>
      <c r="M25" s="172"/>
      <c r="N25" s="172"/>
      <c r="O25" s="172"/>
      <c r="P25" s="172"/>
      <c r="Q25" s="172"/>
      <c r="R25" s="172"/>
      <c r="S25" s="194"/>
      <c r="T25" s="734">
        <f t="shared" si="5"/>
        <v>0</v>
      </c>
      <c r="U25" s="372"/>
      <c r="V25" s="372"/>
      <c r="W25" s="372"/>
      <c r="X25" s="172">
        <v>50000000</v>
      </c>
      <c r="Y25" s="194" t="s">
        <v>222</v>
      </c>
      <c r="AA25" s="139"/>
      <c r="AB25" s="139"/>
      <c r="AC25" s="15"/>
    </row>
    <row r="26" spans="1:29" s="11" customFormat="1" ht="21" customHeight="1" x14ac:dyDescent="0.2">
      <c r="A26" s="1623" t="s">
        <v>18</v>
      </c>
      <c r="B26" s="1615"/>
      <c r="C26" s="1615"/>
      <c r="D26" s="362">
        <f t="shared" ref="D26:X26" si="19">SUM(D27:D57)</f>
        <v>116097119</v>
      </c>
      <c r="E26" s="362">
        <f t="shared" si="19"/>
        <v>270812443</v>
      </c>
      <c r="F26" s="362">
        <f t="shared" si="19"/>
        <v>0</v>
      </c>
      <c r="G26" s="362">
        <f t="shared" si="19"/>
        <v>0</v>
      </c>
      <c r="H26" s="362">
        <f t="shared" si="19"/>
        <v>91415054</v>
      </c>
      <c r="I26" s="362">
        <f>SUM(I27:I57)</f>
        <v>237258483</v>
      </c>
      <c r="J26" s="362">
        <f t="shared" si="19"/>
        <v>0</v>
      </c>
      <c r="K26" s="106">
        <f t="shared" si="19"/>
        <v>0</v>
      </c>
      <c r="L26" s="743">
        <f t="shared" si="19"/>
        <v>0</v>
      </c>
      <c r="M26" s="362">
        <f t="shared" si="19"/>
        <v>13228000</v>
      </c>
      <c r="N26" s="362">
        <f t="shared" si="19"/>
        <v>0</v>
      </c>
      <c r="O26" s="362">
        <f t="shared" si="19"/>
        <v>0</v>
      </c>
      <c r="P26" s="362">
        <f t="shared" si="19"/>
        <v>0</v>
      </c>
      <c r="Q26" s="362">
        <f t="shared" si="19"/>
        <v>0</v>
      </c>
      <c r="R26" s="362">
        <f t="shared" si="19"/>
        <v>24682065</v>
      </c>
      <c r="S26" s="106">
        <f t="shared" si="19"/>
        <v>20325960</v>
      </c>
      <c r="T26" s="743">
        <f t="shared" si="19"/>
        <v>270812443</v>
      </c>
      <c r="U26" s="362">
        <f t="shared" si="19"/>
        <v>0</v>
      </c>
      <c r="V26" s="362">
        <f t="shared" si="19"/>
        <v>0</v>
      </c>
      <c r="W26" s="362">
        <f t="shared" si="19"/>
        <v>0</v>
      </c>
      <c r="X26" s="362">
        <f t="shared" si="19"/>
        <v>0</v>
      </c>
      <c r="Y26" s="106"/>
      <c r="AA26" s="139">
        <f>SUM(T26:X26)</f>
        <v>270812443</v>
      </c>
      <c r="AB26" s="139">
        <f>+AA26-D26</f>
        <v>154715324</v>
      </c>
      <c r="AC26" s="139"/>
    </row>
    <row r="27" spans="1:29" ht="28.5" customHeight="1" x14ac:dyDescent="0.2">
      <c r="A27" s="425" t="s">
        <v>91</v>
      </c>
      <c r="B27" s="426" t="s">
        <v>130</v>
      </c>
      <c r="C27" s="169" t="s">
        <v>2391</v>
      </c>
      <c r="D27" s="701">
        <f>+F27+H27+J27+L27+N27+P27+R27</f>
        <v>5000000</v>
      </c>
      <c r="E27" s="701">
        <f>+G27+I27+K27+M27+O27+Q27+S27</f>
        <v>0</v>
      </c>
      <c r="F27" s="699"/>
      <c r="G27" s="699"/>
      <c r="H27" s="699">
        <v>3937008</v>
      </c>
      <c r="I27" s="699">
        <f>+H27-1800000-122042-1778740-236226</f>
        <v>0</v>
      </c>
      <c r="J27" s="699"/>
      <c r="K27" s="700"/>
      <c r="L27" s="974"/>
      <c r="M27" s="699"/>
      <c r="N27" s="699"/>
      <c r="O27" s="699"/>
      <c r="P27" s="699"/>
      <c r="Q27" s="699"/>
      <c r="R27" s="699">
        <v>1062992</v>
      </c>
      <c r="S27" s="700">
        <f>+R27-486000-32951-480260-63781</f>
        <v>0</v>
      </c>
      <c r="T27" s="729">
        <f t="shared" ref="T27:T34" si="20">+E27</f>
        <v>0</v>
      </c>
      <c r="U27" s="726"/>
      <c r="V27" s="726"/>
      <c r="W27" s="726"/>
      <c r="X27" s="726"/>
      <c r="Y27" s="700" t="s">
        <v>222</v>
      </c>
      <c r="AA27" s="139"/>
      <c r="AB27" s="139"/>
      <c r="AC27" s="15"/>
    </row>
    <row r="28" spans="1:29" ht="28.5" customHeight="1" x14ac:dyDescent="0.2">
      <c r="A28" s="425" t="s">
        <v>91</v>
      </c>
      <c r="B28" s="426" t="s">
        <v>130</v>
      </c>
      <c r="C28" s="169" t="s">
        <v>1452</v>
      </c>
      <c r="D28" s="857">
        <f t="shared" ref="D28:D56" si="21">+F28+H28+J28+L28+N28+P28+R28</f>
        <v>40000000</v>
      </c>
      <c r="E28" s="857">
        <f t="shared" ref="E28:E56" si="22">+G28+I28+K28+M28+O28+Q28+S28</f>
        <v>12966700</v>
      </c>
      <c r="F28" s="125"/>
      <c r="G28" s="125"/>
      <c r="H28" s="125">
        <v>31496063</v>
      </c>
      <c r="I28" s="125">
        <f>+H28-716000-1390100-250000-1691400-850000-4986800-960000-3171654-950000-2660170-940000-822958-6196981+3471260+1778740-877440-72560</f>
        <v>10210000</v>
      </c>
      <c r="J28" s="125"/>
      <c r="K28" s="78"/>
      <c r="L28" s="424"/>
      <c r="M28" s="125"/>
      <c r="N28" s="125"/>
      <c r="O28" s="125"/>
      <c r="P28" s="125"/>
      <c r="Q28" s="125"/>
      <c r="R28" s="125">
        <v>8503937</v>
      </c>
      <c r="S28" s="78">
        <f>+R28-193320-375327-67500-456678-229500-1346436-259200-856346-256500-718246-253800-222199-1673185+937240+480260-236909-19591</f>
        <v>2756700</v>
      </c>
      <c r="T28" s="352">
        <f t="shared" si="20"/>
        <v>12966700</v>
      </c>
      <c r="U28" s="396"/>
      <c r="V28" s="396"/>
      <c r="W28" s="396"/>
      <c r="X28" s="396"/>
      <c r="Y28" s="78" t="s">
        <v>222</v>
      </c>
      <c r="AA28" s="139"/>
      <c r="AB28" s="139"/>
      <c r="AC28" s="15"/>
    </row>
    <row r="29" spans="1:29" ht="28.5" customHeight="1" x14ac:dyDescent="0.2">
      <c r="A29" s="425" t="s">
        <v>91</v>
      </c>
      <c r="B29" s="426" t="s">
        <v>130</v>
      </c>
      <c r="C29" s="169" t="s">
        <v>2116</v>
      </c>
      <c r="D29" s="857">
        <f t="shared" si="21"/>
        <v>0</v>
      </c>
      <c r="E29" s="857">
        <f t="shared" si="22"/>
        <v>2286000</v>
      </c>
      <c r="F29" s="125"/>
      <c r="G29" s="125"/>
      <c r="H29" s="125"/>
      <c r="I29" s="125">
        <v>1800000</v>
      </c>
      <c r="J29" s="125"/>
      <c r="K29" s="78"/>
      <c r="L29" s="424"/>
      <c r="M29" s="125"/>
      <c r="N29" s="125"/>
      <c r="O29" s="125"/>
      <c r="P29" s="125"/>
      <c r="Q29" s="125"/>
      <c r="R29" s="125"/>
      <c r="S29" s="78">
        <v>486000</v>
      </c>
      <c r="T29" s="352">
        <f t="shared" si="20"/>
        <v>2286000</v>
      </c>
      <c r="U29" s="396"/>
      <c r="V29" s="396"/>
      <c r="W29" s="396"/>
      <c r="X29" s="396"/>
      <c r="Y29" s="78" t="s">
        <v>222</v>
      </c>
      <c r="AA29" s="139"/>
      <c r="AB29" s="139"/>
      <c r="AC29" s="15"/>
    </row>
    <row r="30" spans="1:29" ht="28.5" customHeight="1" x14ac:dyDescent="0.2">
      <c r="A30" s="425" t="s">
        <v>91</v>
      </c>
      <c r="B30" s="426" t="s">
        <v>130</v>
      </c>
      <c r="C30" s="169" t="s">
        <v>884</v>
      </c>
      <c r="D30" s="857">
        <f t="shared" si="21"/>
        <v>2000000</v>
      </c>
      <c r="E30" s="857">
        <f t="shared" si="22"/>
        <v>1270000</v>
      </c>
      <c r="F30" s="125"/>
      <c r="G30" s="125"/>
      <c r="H30" s="125">
        <v>1574803</v>
      </c>
      <c r="I30" s="125">
        <f>+H30-572992-1811</f>
        <v>1000000</v>
      </c>
      <c r="J30" s="125"/>
      <c r="K30" s="78"/>
      <c r="L30" s="424"/>
      <c r="M30" s="125"/>
      <c r="N30" s="125"/>
      <c r="O30" s="125"/>
      <c r="P30" s="125"/>
      <c r="Q30" s="125"/>
      <c r="R30" s="125">
        <v>425197</v>
      </c>
      <c r="S30" s="78">
        <f>+R30-154708-489</f>
        <v>270000</v>
      </c>
      <c r="T30" s="352">
        <f t="shared" si="20"/>
        <v>1270000</v>
      </c>
      <c r="U30" s="396"/>
      <c r="V30" s="396"/>
      <c r="W30" s="396"/>
      <c r="X30" s="396"/>
      <c r="Y30" s="78" t="s">
        <v>222</v>
      </c>
      <c r="AA30" s="139"/>
      <c r="AB30" s="139"/>
      <c r="AC30" s="15"/>
    </row>
    <row r="31" spans="1:29" ht="28.5" customHeight="1" x14ac:dyDescent="0.2">
      <c r="A31" s="425" t="s">
        <v>91</v>
      </c>
      <c r="B31" s="426" t="s">
        <v>130</v>
      </c>
      <c r="C31" s="169" t="s">
        <v>885</v>
      </c>
      <c r="D31" s="857">
        <f t="shared" si="21"/>
        <v>5000000</v>
      </c>
      <c r="E31" s="857">
        <f t="shared" si="22"/>
        <v>5727700</v>
      </c>
      <c r="F31" s="125"/>
      <c r="G31" s="125"/>
      <c r="H31" s="125">
        <v>3937008</v>
      </c>
      <c r="I31" s="125">
        <f>+H31+572992</f>
        <v>4510000</v>
      </c>
      <c r="J31" s="125"/>
      <c r="K31" s="78"/>
      <c r="L31" s="424"/>
      <c r="M31" s="125"/>
      <c r="N31" s="125"/>
      <c r="O31" s="125"/>
      <c r="P31" s="125"/>
      <c r="Q31" s="125"/>
      <c r="R31" s="125">
        <v>1062992</v>
      </c>
      <c r="S31" s="78">
        <f>+R31+154708</f>
        <v>1217700</v>
      </c>
      <c r="T31" s="352">
        <f t="shared" si="20"/>
        <v>5727700</v>
      </c>
      <c r="U31" s="396"/>
      <c r="V31" s="396"/>
      <c r="W31" s="396"/>
      <c r="X31" s="396"/>
      <c r="Y31" s="78" t="s">
        <v>222</v>
      </c>
      <c r="AA31" s="139"/>
      <c r="AB31" s="139"/>
      <c r="AC31" s="15"/>
    </row>
    <row r="32" spans="1:29" ht="31.5" customHeight="1" x14ac:dyDescent="0.2">
      <c r="A32" s="1459" t="s">
        <v>91</v>
      </c>
      <c r="B32" s="885" t="s">
        <v>130</v>
      </c>
      <c r="C32" s="169" t="s">
        <v>2946</v>
      </c>
      <c r="D32" s="857">
        <f t="shared" ref="D32" si="23">+F32+H32+J32+L32+N32+P32+R32</f>
        <v>0</v>
      </c>
      <c r="E32" s="857">
        <f t="shared" ref="E32" si="24">+G32+I32+K32+M32+O32+Q32+S32</f>
        <v>4552506</v>
      </c>
      <c r="F32" s="125"/>
      <c r="G32" s="125"/>
      <c r="H32" s="125"/>
      <c r="I32" s="125">
        <v>3584650</v>
      </c>
      <c r="J32" s="125"/>
      <c r="K32" s="78"/>
      <c r="L32" s="424"/>
      <c r="M32" s="125"/>
      <c r="N32" s="125"/>
      <c r="O32" s="125"/>
      <c r="P32" s="125"/>
      <c r="Q32" s="125"/>
      <c r="R32" s="125"/>
      <c r="S32" s="78">
        <v>967856</v>
      </c>
      <c r="T32" s="352">
        <f>+E32</f>
        <v>4552506</v>
      </c>
      <c r="U32" s="396"/>
      <c r="V32" s="396"/>
      <c r="W32" s="396"/>
      <c r="X32" s="396"/>
      <c r="Y32" s="78" t="s">
        <v>222</v>
      </c>
      <c r="AA32" s="139"/>
      <c r="AB32" s="139"/>
      <c r="AC32" s="15"/>
    </row>
    <row r="33" spans="1:29" ht="28.5" customHeight="1" x14ac:dyDescent="0.2">
      <c r="A33" s="1459" t="s">
        <v>91</v>
      </c>
      <c r="B33" s="885" t="s">
        <v>130</v>
      </c>
      <c r="C33" s="169" t="s">
        <v>2119</v>
      </c>
      <c r="D33" s="857">
        <f t="shared" ref="D33" si="25">+F33+H33+J33+L33+N33+P33+R33</f>
        <v>0</v>
      </c>
      <c r="E33" s="857">
        <f t="shared" ref="E33" si="26">+G33+I33+K33+M33+O33+Q33+S33</f>
        <v>6333236</v>
      </c>
      <c r="F33" s="125"/>
      <c r="G33" s="125"/>
      <c r="H33" s="125"/>
      <c r="I33" s="125">
        <v>4986800</v>
      </c>
      <c r="J33" s="125"/>
      <c r="K33" s="78"/>
      <c r="L33" s="424"/>
      <c r="M33" s="125"/>
      <c r="N33" s="125"/>
      <c r="O33" s="125"/>
      <c r="P33" s="125"/>
      <c r="Q33" s="125"/>
      <c r="R33" s="125"/>
      <c r="S33" s="78">
        <v>1346436</v>
      </c>
      <c r="T33" s="352">
        <f t="shared" si="20"/>
        <v>6333236</v>
      </c>
      <c r="U33" s="396"/>
      <c r="V33" s="396"/>
      <c r="W33" s="396"/>
      <c r="X33" s="396"/>
      <c r="Y33" s="78" t="s">
        <v>222</v>
      </c>
      <c r="AA33" s="139"/>
      <c r="AB33" s="139"/>
      <c r="AC33" s="15"/>
    </row>
    <row r="34" spans="1:29" ht="28.5" customHeight="1" x14ac:dyDescent="0.2">
      <c r="A34" s="1459" t="s">
        <v>91</v>
      </c>
      <c r="B34" s="885" t="s">
        <v>130</v>
      </c>
      <c r="C34" s="169" t="s">
        <v>2126</v>
      </c>
      <c r="D34" s="857">
        <f t="shared" ref="D34" si="27">+F34+H34+J34+L34+N34+P34+R34</f>
        <v>0</v>
      </c>
      <c r="E34" s="857">
        <f t="shared" ref="E34" si="28">+G34+I34+K34+M34+O34+Q34+S34</f>
        <v>975360</v>
      </c>
      <c r="F34" s="125"/>
      <c r="G34" s="125"/>
      <c r="H34" s="125"/>
      <c r="I34" s="125">
        <v>768000</v>
      </c>
      <c r="J34" s="125"/>
      <c r="K34" s="78"/>
      <c r="L34" s="424"/>
      <c r="M34" s="125"/>
      <c r="N34" s="125"/>
      <c r="O34" s="125"/>
      <c r="P34" s="125"/>
      <c r="Q34" s="125"/>
      <c r="R34" s="125"/>
      <c r="S34" s="78">
        <v>207360</v>
      </c>
      <c r="T34" s="352">
        <f t="shared" si="20"/>
        <v>975360</v>
      </c>
      <c r="U34" s="396"/>
      <c r="V34" s="396"/>
      <c r="W34" s="396"/>
      <c r="X34" s="396"/>
      <c r="Y34" s="78" t="s">
        <v>222</v>
      </c>
      <c r="AA34" s="139"/>
      <c r="AB34" s="139"/>
      <c r="AC34" s="15"/>
    </row>
    <row r="35" spans="1:29" ht="28.5" customHeight="1" x14ac:dyDescent="0.2">
      <c r="A35" s="1459" t="s">
        <v>91</v>
      </c>
      <c r="B35" s="885" t="s">
        <v>130</v>
      </c>
      <c r="C35" s="169" t="s">
        <v>2235</v>
      </c>
      <c r="D35" s="857">
        <f t="shared" ref="D35" si="29">+F35+H35+J35+L35+N35+P35+R35</f>
        <v>0</v>
      </c>
      <c r="E35" s="857">
        <f t="shared" ref="E35" si="30">+G35+I35+K35+M35+O35+Q35+S35</f>
        <v>1206500</v>
      </c>
      <c r="F35" s="125"/>
      <c r="G35" s="125"/>
      <c r="H35" s="125"/>
      <c r="I35" s="125">
        <v>950000</v>
      </c>
      <c r="J35" s="125"/>
      <c r="K35" s="78"/>
      <c r="L35" s="424"/>
      <c r="M35" s="125"/>
      <c r="N35" s="125"/>
      <c r="O35" s="125"/>
      <c r="P35" s="125"/>
      <c r="Q35" s="125"/>
      <c r="R35" s="125"/>
      <c r="S35" s="78">
        <v>256500</v>
      </c>
      <c r="T35" s="352">
        <f t="shared" ref="T35:T40" si="31">+E35</f>
        <v>1206500</v>
      </c>
      <c r="U35" s="396"/>
      <c r="V35" s="396"/>
      <c r="W35" s="396"/>
      <c r="X35" s="396"/>
      <c r="Y35" s="78" t="s">
        <v>222</v>
      </c>
      <c r="AA35" s="139"/>
      <c r="AB35" s="139"/>
      <c r="AC35" s="15"/>
    </row>
    <row r="36" spans="1:29" ht="28.5" customHeight="1" x14ac:dyDescent="0.2">
      <c r="A36" s="1459" t="s">
        <v>91</v>
      </c>
      <c r="B36" s="885" t="s">
        <v>130</v>
      </c>
      <c r="C36" s="169" t="s">
        <v>2296</v>
      </c>
      <c r="D36" s="857">
        <f t="shared" ref="D36" si="32">+F36+H36+J36+L36+N36+P36+R36</f>
        <v>0</v>
      </c>
      <c r="E36" s="857">
        <f t="shared" ref="E36" si="33">+G36+I36+K36+M36+O36+Q36+S36</f>
        <v>3378416</v>
      </c>
      <c r="F36" s="125"/>
      <c r="G36" s="125"/>
      <c r="H36" s="125"/>
      <c r="I36" s="125">
        <v>2660170</v>
      </c>
      <c r="J36" s="125"/>
      <c r="K36" s="78"/>
      <c r="L36" s="424"/>
      <c r="M36" s="125"/>
      <c r="N36" s="125"/>
      <c r="O36" s="125"/>
      <c r="P36" s="125"/>
      <c r="Q36" s="125"/>
      <c r="R36" s="125"/>
      <c r="S36" s="78">
        <v>718246</v>
      </c>
      <c r="T36" s="352">
        <f t="shared" si="31"/>
        <v>3378416</v>
      </c>
      <c r="U36" s="396"/>
      <c r="V36" s="396"/>
      <c r="W36" s="396"/>
      <c r="X36" s="396"/>
      <c r="Y36" s="78" t="s">
        <v>222</v>
      </c>
      <c r="AA36" s="139"/>
      <c r="AB36" s="139"/>
      <c r="AC36" s="15"/>
    </row>
    <row r="37" spans="1:29" ht="28.5" customHeight="1" x14ac:dyDescent="0.2">
      <c r="A37" s="1459" t="s">
        <v>91</v>
      </c>
      <c r="B37" s="885" t="s">
        <v>130</v>
      </c>
      <c r="C37" s="169" t="s">
        <v>2375</v>
      </c>
      <c r="D37" s="857">
        <f t="shared" ref="D37" si="34">+F37+H37+J37+L37+N37+P37+R37</f>
        <v>0</v>
      </c>
      <c r="E37" s="857">
        <f t="shared" ref="E37" si="35">+G37+I37+K37+M37+O37+Q37+S37</f>
        <v>1193800</v>
      </c>
      <c r="F37" s="125"/>
      <c r="G37" s="125"/>
      <c r="H37" s="125"/>
      <c r="I37" s="125">
        <v>940000</v>
      </c>
      <c r="J37" s="125"/>
      <c r="K37" s="78"/>
      <c r="L37" s="424"/>
      <c r="M37" s="125"/>
      <c r="N37" s="125"/>
      <c r="O37" s="125"/>
      <c r="P37" s="125"/>
      <c r="Q37" s="125"/>
      <c r="R37" s="125"/>
      <c r="S37" s="78">
        <v>253800</v>
      </c>
      <c r="T37" s="352">
        <f t="shared" si="31"/>
        <v>1193800</v>
      </c>
      <c r="U37" s="396"/>
      <c r="V37" s="396"/>
      <c r="W37" s="396"/>
      <c r="X37" s="396"/>
      <c r="Y37" s="78" t="s">
        <v>222</v>
      </c>
      <c r="AA37" s="139"/>
      <c r="AB37" s="139"/>
      <c r="AC37" s="15"/>
    </row>
    <row r="38" spans="1:29" ht="28.5" customHeight="1" x14ac:dyDescent="0.2">
      <c r="A38" s="1459" t="s">
        <v>91</v>
      </c>
      <c r="B38" s="885" t="s">
        <v>130</v>
      </c>
      <c r="C38" s="169" t="s">
        <v>2481</v>
      </c>
      <c r="D38" s="857">
        <f t="shared" ref="D38" si="36">+F38+H38+J38+L38+N38+P38+R38</f>
        <v>0</v>
      </c>
      <c r="E38" s="857">
        <f t="shared" ref="E38" si="37">+G38+I38+K38+M38+O38+Q38+S38</f>
        <v>7870166</v>
      </c>
      <c r="F38" s="125"/>
      <c r="G38" s="125"/>
      <c r="H38" s="125"/>
      <c r="I38" s="125">
        <v>6196981</v>
      </c>
      <c r="J38" s="125"/>
      <c r="K38" s="78"/>
      <c r="L38" s="424"/>
      <c r="M38" s="125"/>
      <c r="N38" s="125"/>
      <c r="O38" s="125"/>
      <c r="P38" s="125"/>
      <c r="Q38" s="125"/>
      <c r="R38" s="125"/>
      <c r="S38" s="78">
        <v>1673185</v>
      </c>
      <c r="T38" s="352">
        <f t="shared" si="31"/>
        <v>7870166</v>
      </c>
      <c r="U38" s="396"/>
      <c r="V38" s="396"/>
      <c r="W38" s="396"/>
      <c r="X38" s="396"/>
      <c r="Y38" s="78" t="s">
        <v>222</v>
      </c>
      <c r="AA38" s="139"/>
      <c r="AB38" s="139"/>
      <c r="AC38" s="15"/>
    </row>
    <row r="39" spans="1:29" ht="28.5" customHeight="1" x14ac:dyDescent="0.2">
      <c r="A39" s="1459" t="s">
        <v>91</v>
      </c>
      <c r="B39" s="885" t="s">
        <v>130</v>
      </c>
      <c r="C39" s="169" t="s">
        <v>2562</v>
      </c>
      <c r="D39" s="857">
        <f t="shared" ref="D39" si="38">+F39+H39+J39+L39+N39+P39+R39</f>
        <v>0</v>
      </c>
      <c r="E39" s="857">
        <f t="shared" ref="E39" si="39">+G39+I39+K39+M39+O39+Q39+S39</f>
        <v>8814359</v>
      </c>
      <c r="F39" s="125"/>
      <c r="G39" s="125"/>
      <c r="H39" s="125"/>
      <c r="I39" s="125">
        <f>877440+6063000</f>
        <v>6940440</v>
      </c>
      <c r="J39" s="125"/>
      <c r="K39" s="78"/>
      <c r="L39" s="424"/>
      <c r="M39" s="125"/>
      <c r="N39" s="125"/>
      <c r="O39" s="125"/>
      <c r="P39" s="125"/>
      <c r="Q39" s="125"/>
      <c r="R39" s="125"/>
      <c r="S39" s="78">
        <f>236909+1637010</f>
        <v>1873919</v>
      </c>
      <c r="T39" s="352">
        <f t="shared" si="31"/>
        <v>8814359</v>
      </c>
      <c r="U39" s="396"/>
      <c r="V39" s="396"/>
      <c r="W39" s="396"/>
      <c r="X39" s="396"/>
      <c r="Y39" s="78" t="s">
        <v>222</v>
      </c>
      <c r="AA39" s="139"/>
      <c r="AB39" s="139"/>
      <c r="AC39" s="15"/>
    </row>
    <row r="40" spans="1:29" ht="28.5" customHeight="1" x14ac:dyDescent="0.2">
      <c r="A40" s="1459" t="s">
        <v>91</v>
      </c>
      <c r="B40" s="885" t="s">
        <v>130</v>
      </c>
      <c r="C40" s="169" t="s">
        <v>2575</v>
      </c>
      <c r="D40" s="857">
        <f t="shared" ref="D40" si="40">+F40+H40+J40+L40+N40+P40+R40</f>
        <v>0</v>
      </c>
      <c r="E40" s="857">
        <f t="shared" ref="E40" si="41">+G40+I40+K40+M40+O40+Q40+S40</f>
        <v>1071213</v>
      </c>
      <c r="F40" s="125"/>
      <c r="G40" s="125"/>
      <c r="H40" s="125"/>
      <c r="I40" s="125">
        <v>843475</v>
      </c>
      <c r="J40" s="125"/>
      <c r="K40" s="78"/>
      <c r="L40" s="424"/>
      <c r="M40" s="125"/>
      <c r="N40" s="125"/>
      <c r="O40" s="125"/>
      <c r="P40" s="125"/>
      <c r="Q40" s="125"/>
      <c r="R40" s="125"/>
      <c r="S40" s="78">
        <v>227738</v>
      </c>
      <c r="T40" s="352">
        <f t="shared" si="31"/>
        <v>1071213</v>
      </c>
      <c r="U40" s="396"/>
      <c r="V40" s="396"/>
      <c r="W40" s="396"/>
      <c r="X40" s="396"/>
      <c r="Y40" s="78" t="s">
        <v>222</v>
      </c>
      <c r="AA40" s="139"/>
      <c r="AB40" s="139"/>
      <c r="AC40" s="15"/>
    </row>
    <row r="41" spans="1:29" ht="45.75" customHeight="1" x14ac:dyDescent="0.2">
      <c r="A41" s="1459" t="s">
        <v>91</v>
      </c>
      <c r="B41" s="885" t="s">
        <v>130</v>
      </c>
      <c r="C41" s="169" t="s">
        <v>2669</v>
      </c>
      <c r="D41" s="857">
        <f t="shared" ref="D41" si="42">+F41+H41+J41+L41+N41+P41+R41</f>
        <v>0</v>
      </c>
      <c r="E41" s="857">
        <f t="shared" ref="E41" si="43">+G41+I41+K41+M41+O41+Q41+S41</f>
        <v>6266180</v>
      </c>
      <c r="F41" s="125"/>
      <c r="G41" s="125"/>
      <c r="H41" s="125"/>
      <c r="I41" s="125">
        <f>1438275+310597+3185128</f>
        <v>4934000</v>
      </c>
      <c r="J41" s="125"/>
      <c r="K41" s="78"/>
      <c r="L41" s="424"/>
      <c r="M41" s="125"/>
      <c r="N41" s="125"/>
      <c r="O41" s="125"/>
      <c r="P41" s="125"/>
      <c r="Q41" s="125"/>
      <c r="R41" s="125"/>
      <c r="S41" s="78">
        <f>388334+83861+859985</f>
        <v>1332180</v>
      </c>
      <c r="T41" s="352">
        <f>+E41</f>
        <v>6266180</v>
      </c>
      <c r="U41" s="396"/>
      <c r="V41" s="396"/>
      <c r="W41" s="396"/>
      <c r="X41" s="396"/>
      <c r="Y41" s="78" t="s">
        <v>222</v>
      </c>
      <c r="AA41" s="139"/>
      <c r="AB41" s="139"/>
      <c r="AC41" s="15"/>
    </row>
    <row r="42" spans="1:29" ht="38.25" customHeight="1" x14ac:dyDescent="0.2">
      <c r="A42" s="1459" t="s">
        <v>91</v>
      </c>
      <c r="B42" s="885" t="s">
        <v>130</v>
      </c>
      <c r="C42" s="169" t="s">
        <v>3061</v>
      </c>
      <c r="D42" s="857">
        <f t="shared" ref="D42" si="44">+F42+H42+J42+L42+N42+P42+R42</f>
        <v>0</v>
      </c>
      <c r="E42" s="857">
        <f t="shared" ref="E42" si="45">+G42+I42+K42+M42+O42+Q42+S42</f>
        <v>6286500</v>
      </c>
      <c r="F42" s="125"/>
      <c r="G42" s="125"/>
      <c r="H42" s="125"/>
      <c r="I42" s="125">
        <v>4950000</v>
      </c>
      <c r="J42" s="125"/>
      <c r="K42" s="78"/>
      <c r="L42" s="424"/>
      <c r="M42" s="125"/>
      <c r="N42" s="125"/>
      <c r="O42" s="125"/>
      <c r="P42" s="125"/>
      <c r="Q42" s="125"/>
      <c r="R42" s="125"/>
      <c r="S42" s="78">
        <v>1336500</v>
      </c>
      <c r="T42" s="352">
        <f>+E42</f>
        <v>6286500</v>
      </c>
      <c r="U42" s="396"/>
      <c r="V42" s="396"/>
      <c r="W42" s="396"/>
      <c r="X42" s="396"/>
      <c r="Y42" s="78" t="s">
        <v>222</v>
      </c>
      <c r="AA42" s="139"/>
      <c r="AB42" s="139"/>
      <c r="AC42" s="15"/>
    </row>
    <row r="43" spans="1:29" ht="28.5" customHeight="1" x14ac:dyDescent="0.2">
      <c r="A43" s="400" t="s">
        <v>152</v>
      </c>
      <c r="B43" s="885" t="s">
        <v>130</v>
      </c>
      <c r="C43" s="1571" t="s">
        <v>1489</v>
      </c>
      <c r="D43" s="857">
        <f t="shared" si="21"/>
        <v>1187450</v>
      </c>
      <c r="E43" s="857">
        <f t="shared" si="22"/>
        <v>1187450</v>
      </c>
      <c r="F43" s="125"/>
      <c r="G43" s="125"/>
      <c r="H43" s="125">
        <v>935000</v>
      </c>
      <c r="I43" s="125">
        <f t="shared" ref="I43:I56" si="46">+H43</f>
        <v>935000</v>
      </c>
      <c r="J43" s="125"/>
      <c r="K43" s="78"/>
      <c r="L43" s="424"/>
      <c r="M43" s="125"/>
      <c r="N43" s="125"/>
      <c r="O43" s="125"/>
      <c r="P43" s="125"/>
      <c r="Q43" s="125"/>
      <c r="R43" s="125">
        <v>252450</v>
      </c>
      <c r="S43" s="78">
        <f t="shared" ref="S43:S44" si="47">+R43</f>
        <v>252450</v>
      </c>
      <c r="T43" s="352">
        <f t="shared" ref="T43:T44" si="48">+D43</f>
        <v>1187450</v>
      </c>
      <c r="U43" s="396"/>
      <c r="V43" s="396"/>
      <c r="W43" s="396"/>
      <c r="X43" s="396"/>
      <c r="Y43" s="78" t="s">
        <v>222</v>
      </c>
      <c r="AA43" s="139"/>
      <c r="AB43" s="139"/>
      <c r="AC43" s="15"/>
    </row>
    <row r="44" spans="1:29" ht="31.5" customHeight="1" x14ac:dyDescent="0.2">
      <c r="A44" s="398" t="s">
        <v>152</v>
      </c>
      <c r="B44" s="426" t="s">
        <v>130</v>
      </c>
      <c r="C44" s="853" t="s">
        <v>1495</v>
      </c>
      <c r="D44" s="857">
        <f t="shared" si="21"/>
        <v>495300</v>
      </c>
      <c r="E44" s="857">
        <f t="shared" si="22"/>
        <v>495300</v>
      </c>
      <c r="F44" s="125"/>
      <c r="G44" s="125"/>
      <c r="H44" s="125">
        <v>390000</v>
      </c>
      <c r="I44" s="125">
        <f t="shared" si="46"/>
        <v>390000</v>
      </c>
      <c r="J44" s="125"/>
      <c r="K44" s="78"/>
      <c r="L44" s="424"/>
      <c r="M44" s="125"/>
      <c r="N44" s="125"/>
      <c r="O44" s="125"/>
      <c r="P44" s="125"/>
      <c r="Q44" s="125"/>
      <c r="R44" s="125">
        <v>105300</v>
      </c>
      <c r="S44" s="78">
        <f t="shared" si="47"/>
        <v>105300</v>
      </c>
      <c r="T44" s="352">
        <f t="shared" si="48"/>
        <v>495300</v>
      </c>
      <c r="U44" s="396"/>
      <c r="V44" s="396"/>
      <c r="W44" s="396"/>
      <c r="X44" s="396"/>
      <c r="Y44" s="78" t="s">
        <v>222</v>
      </c>
      <c r="AA44" s="139"/>
      <c r="AB44" s="139"/>
      <c r="AC44" s="15"/>
    </row>
    <row r="45" spans="1:29" ht="27" customHeight="1" x14ac:dyDescent="0.2">
      <c r="A45" s="398" t="s">
        <v>152</v>
      </c>
      <c r="B45" s="426" t="s">
        <v>130</v>
      </c>
      <c r="C45" s="853" t="s">
        <v>1496</v>
      </c>
      <c r="D45" s="857">
        <f t="shared" si="21"/>
        <v>10795000</v>
      </c>
      <c r="E45" s="857">
        <f t="shared" si="22"/>
        <v>14732000</v>
      </c>
      <c r="F45" s="125"/>
      <c r="G45" s="125"/>
      <c r="H45" s="125">
        <v>8500000</v>
      </c>
      <c r="I45" s="125">
        <f>+H45+3100000</f>
        <v>11600000</v>
      </c>
      <c r="J45" s="125"/>
      <c r="K45" s="78"/>
      <c r="L45" s="424"/>
      <c r="M45" s="125"/>
      <c r="N45" s="125"/>
      <c r="O45" s="125"/>
      <c r="P45" s="125"/>
      <c r="Q45" s="125"/>
      <c r="R45" s="125">
        <v>2295000</v>
      </c>
      <c r="S45" s="78">
        <f>+R45+837000</f>
        <v>3132000</v>
      </c>
      <c r="T45" s="352">
        <f>+E45</f>
        <v>14732000</v>
      </c>
      <c r="U45" s="396"/>
      <c r="V45" s="396"/>
      <c r="W45" s="396"/>
      <c r="X45" s="396"/>
      <c r="Y45" s="78" t="s">
        <v>222</v>
      </c>
      <c r="AA45" s="139"/>
      <c r="AB45" s="139"/>
      <c r="AC45" s="15"/>
    </row>
    <row r="46" spans="1:29" ht="30.75" customHeight="1" x14ac:dyDescent="0.2">
      <c r="A46" s="400" t="s">
        <v>152</v>
      </c>
      <c r="B46" s="885" t="s">
        <v>130</v>
      </c>
      <c r="C46" s="169" t="s">
        <v>2113</v>
      </c>
      <c r="D46" s="857">
        <f t="shared" ref="D46" si="49">+F46+H46+J46+L46+N46+P46+R46</f>
        <v>0</v>
      </c>
      <c r="E46" s="857">
        <f t="shared" ref="E46" si="50">+G46+I46+K46+M46+O46+Q46+S46</f>
        <v>4028000</v>
      </c>
      <c r="F46" s="125"/>
      <c r="G46" s="125"/>
      <c r="H46" s="125"/>
      <c r="I46" s="125">
        <f>850000+5800000-850000-5800000</f>
        <v>0</v>
      </c>
      <c r="J46" s="125"/>
      <c r="K46" s="78"/>
      <c r="L46" s="424"/>
      <c r="M46" s="125">
        <f>4028000+9200000-9200000</f>
        <v>4028000</v>
      </c>
      <c r="N46" s="125"/>
      <c r="O46" s="125"/>
      <c r="P46" s="125"/>
      <c r="Q46" s="125"/>
      <c r="R46" s="125"/>
      <c r="S46" s="78">
        <f>229500-229500</f>
        <v>0</v>
      </c>
      <c r="T46" s="352">
        <f t="shared" ref="T46:T57" si="51">+E46</f>
        <v>4028000</v>
      </c>
      <c r="U46" s="396"/>
      <c r="V46" s="396"/>
      <c r="W46" s="396"/>
      <c r="X46" s="396"/>
      <c r="Y46" s="78" t="s">
        <v>222</v>
      </c>
      <c r="AA46" s="139"/>
      <c r="AB46" s="139"/>
      <c r="AC46" s="15"/>
    </row>
    <row r="47" spans="1:29" ht="30.75" customHeight="1" x14ac:dyDescent="0.2">
      <c r="A47" s="884" t="s">
        <v>152</v>
      </c>
      <c r="B47" s="886" t="s">
        <v>130</v>
      </c>
      <c r="C47" s="170" t="s">
        <v>3472</v>
      </c>
      <c r="D47" s="855">
        <f t="shared" ref="D47" si="52">+F47+H47+J47+L47+N47+P47+R47</f>
        <v>0</v>
      </c>
      <c r="E47" s="855">
        <f t="shared" ref="E47" si="53">+G47+I47+K47+M47+O47+Q47+S47</f>
        <v>1143000</v>
      </c>
      <c r="F47" s="172"/>
      <c r="G47" s="172"/>
      <c r="H47" s="172"/>
      <c r="I47" s="172">
        <v>900000</v>
      </c>
      <c r="J47" s="172"/>
      <c r="K47" s="194"/>
      <c r="L47" s="734"/>
      <c r="M47" s="172"/>
      <c r="N47" s="172"/>
      <c r="O47" s="172"/>
      <c r="P47" s="172"/>
      <c r="Q47" s="172"/>
      <c r="R47" s="172"/>
      <c r="S47" s="194">
        <v>243000</v>
      </c>
      <c r="T47" s="730">
        <f>+E47</f>
        <v>1143000</v>
      </c>
      <c r="U47" s="372"/>
      <c r="V47" s="372"/>
      <c r="W47" s="372"/>
      <c r="X47" s="372"/>
      <c r="Y47" s="194" t="s">
        <v>222</v>
      </c>
      <c r="AA47" s="139"/>
      <c r="AB47" s="139"/>
      <c r="AC47" s="15"/>
    </row>
    <row r="48" spans="1:29" ht="27" customHeight="1" x14ac:dyDescent="0.2">
      <c r="A48" s="1459" t="s">
        <v>133</v>
      </c>
      <c r="B48" s="1689" t="s">
        <v>547</v>
      </c>
      <c r="C48" s="828" t="s">
        <v>2683</v>
      </c>
      <c r="D48" s="856">
        <f t="shared" ref="D48" si="54">+F48+H48+J48+L48+N48+P48+R48</f>
        <v>0</v>
      </c>
      <c r="E48" s="856">
        <f t="shared" ref="E48" si="55">+G48+I48+K48+M48+O48+Q48+S48</f>
        <v>0</v>
      </c>
      <c r="F48" s="107"/>
      <c r="G48" s="107"/>
      <c r="H48" s="107"/>
      <c r="I48" s="107">
        <f>1200000-1200000</f>
        <v>0</v>
      </c>
      <c r="J48" s="107"/>
      <c r="K48" s="77"/>
      <c r="L48" s="1392"/>
      <c r="M48" s="107"/>
      <c r="N48" s="107"/>
      <c r="O48" s="107"/>
      <c r="P48" s="107"/>
      <c r="Q48" s="107"/>
      <c r="R48" s="107"/>
      <c r="S48" s="77">
        <f>324000-324000</f>
        <v>0</v>
      </c>
      <c r="T48" s="403">
        <f>+E48</f>
        <v>0</v>
      </c>
      <c r="U48" s="142"/>
      <c r="V48" s="142"/>
      <c r="W48" s="142"/>
      <c r="X48" s="142"/>
      <c r="Y48" s="77" t="s">
        <v>222</v>
      </c>
      <c r="AA48" s="139"/>
      <c r="AB48" s="139"/>
      <c r="AC48" s="15"/>
    </row>
    <row r="49" spans="1:29" ht="27" customHeight="1" x14ac:dyDescent="0.2">
      <c r="A49" s="400" t="s">
        <v>133</v>
      </c>
      <c r="B49" s="885" t="s">
        <v>547</v>
      </c>
      <c r="C49" s="169" t="s">
        <v>1872</v>
      </c>
      <c r="D49" s="857">
        <f t="shared" ref="D49" si="56">+F49+H49+J49+L49+N49+P49+R49</f>
        <v>0</v>
      </c>
      <c r="E49" s="857">
        <f t="shared" ref="E49" si="57">+G49+I49+K49+M49+O49+Q49+S49</f>
        <v>909320</v>
      </c>
      <c r="F49" s="125"/>
      <c r="G49" s="125"/>
      <c r="H49" s="125"/>
      <c r="I49" s="125">
        <v>716000</v>
      </c>
      <c r="J49" s="125"/>
      <c r="K49" s="78"/>
      <c r="L49" s="424"/>
      <c r="M49" s="125"/>
      <c r="N49" s="125"/>
      <c r="O49" s="125"/>
      <c r="P49" s="125"/>
      <c r="Q49" s="125"/>
      <c r="R49" s="125"/>
      <c r="S49" s="78">
        <v>193320</v>
      </c>
      <c r="T49" s="352">
        <f t="shared" si="51"/>
        <v>909320</v>
      </c>
      <c r="U49" s="396"/>
      <c r="V49" s="396"/>
      <c r="W49" s="396"/>
      <c r="X49" s="396"/>
      <c r="Y49" s="78" t="s">
        <v>222</v>
      </c>
      <c r="AA49" s="139"/>
      <c r="AB49" s="139"/>
      <c r="AC49" s="15"/>
    </row>
    <row r="50" spans="1:29" ht="33" customHeight="1" x14ac:dyDescent="0.2">
      <c r="A50" s="400" t="s">
        <v>133</v>
      </c>
      <c r="B50" s="1572" t="s">
        <v>547</v>
      </c>
      <c r="C50" s="169" t="s">
        <v>3472</v>
      </c>
      <c r="D50" s="857">
        <f t="shared" ref="D50" si="58">+F50+H50+J50+L50+N50+P50+R50</f>
        <v>0</v>
      </c>
      <c r="E50" s="857">
        <f t="shared" ref="E50" si="59">+G50+I50+K50+M50+O50+Q50+S50</f>
        <v>1143000</v>
      </c>
      <c r="F50" s="125"/>
      <c r="G50" s="125"/>
      <c r="H50" s="125"/>
      <c r="I50" s="125">
        <v>900000</v>
      </c>
      <c r="J50" s="125"/>
      <c r="K50" s="78"/>
      <c r="L50" s="424"/>
      <c r="M50" s="125"/>
      <c r="N50" s="125"/>
      <c r="O50" s="125"/>
      <c r="P50" s="125"/>
      <c r="Q50" s="125"/>
      <c r="R50" s="125"/>
      <c r="S50" s="78">
        <v>243000</v>
      </c>
      <c r="T50" s="352">
        <f>+E50</f>
        <v>1143000</v>
      </c>
      <c r="U50" s="396"/>
      <c r="V50" s="396"/>
      <c r="W50" s="396"/>
      <c r="X50" s="396"/>
      <c r="Y50" s="78" t="s">
        <v>222</v>
      </c>
      <c r="AA50" s="139"/>
      <c r="AB50" s="139"/>
      <c r="AC50" s="15"/>
    </row>
    <row r="51" spans="1:29" ht="33" customHeight="1" x14ac:dyDescent="0.2">
      <c r="A51" s="400" t="s">
        <v>133</v>
      </c>
      <c r="B51" s="1572" t="s">
        <v>547</v>
      </c>
      <c r="C51" s="169" t="s">
        <v>3086</v>
      </c>
      <c r="D51" s="857">
        <f t="shared" ref="D51" si="60">+F51+H51+J51+L51+N51+P51+R51</f>
        <v>0</v>
      </c>
      <c r="E51" s="857">
        <f t="shared" ref="E51" si="61">+G51+I51+K51+M51+O51+Q51+S51</f>
        <v>0</v>
      </c>
      <c r="F51" s="125"/>
      <c r="G51" s="125"/>
      <c r="H51" s="125"/>
      <c r="I51" s="125">
        <f>10146000+800000-10946000</f>
        <v>0</v>
      </c>
      <c r="J51" s="125"/>
      <c r="K51" s="78"/>
      <c r="L51" s="424"/>
      <c r="M51" s="125"/>
      <c r="N51" s="125"/>
      <c r="O51" s="125"/>
      <c r="P51" s="125"/>
      <c r="Q51" s="125"/>
      <c r="R51" s="125"/>
      <c r="S51" s="78">
        <f>216000-216000</f>
        <v>0</v>
      </c>
      <c r="T51" s="352">
        <f>+E51</f>
        <v>0</v>
      </c>
      <c r="U51" s="396"/>
      <c r="V51" s="396"/>
      <c r="W51" s="396"/>
      <c r="X51" s="396"/>
      <c r="Y51" s="78" t="s">
        <v>222</v>
      </c>
      <c r="AA51" s="139"/>
      <c r="AB51" s="139"/>
      <c r="AC51" s="15"/>
    </row>
    <row r="52" spans="1:29" ht="30" customHeight="1" x14ac:dyDescent="0.2">
      <c r="A52" s="398" t="s">
        <v>129</v>
      </c>
      <c r="B52" s="423" t="s">
        <v>130</v>
      </c>
      <c r="C52" s="75" t="s">
        <v>1349</v>
      </c>
      <c r="D52" s="857">
        <f t="shared" ref="D52" si="62">+F52+H52+J52+L52+N52+P52+R52</f>
        <v>0</v>
      </c>
      <c r="E52" s="857">
        <f t="shared" ref="E52" si="63">+G52+I52+K52+M52+O52+Q52+S52</f>
        <v>21659800</v>
      </c>
      <c r="F52" s="125"/>
      <c r="G52" s="125"/>
      <c r="H52" s="125"/>
      <c r="I52" s="125">
        <v>21659800</v>
      </c>
      <c r="J52" s="125"/>
      <c r="K52" s="78"/>
      <c r="L52" s="424"/>
      <c r="M52" s="125"/>
      <c r="N52" s="125"/>
      <c r="O52" s="125"/>
      <c r="P52" s="125"/>
      <c r="Q52" s="125"/>
      <c r="R52" s="125"/>
      <c r="S52" s="78"/>
      <c r="T52" s="352">
        <f>+E52</f>
        <v>21659800</v>
      </c>
      <c r="U52" s="396"/>
      <c r="V52" s="396"/>
      <c r="W52" s="396"/>
      <c r="X52" s="396"/>
      <c r="Y52" s="78" t="s">
        <v>222</v>
      </c>
      <c r="AA52" s="139"/>
      <c r="AB52" s="139"/>
      <c r="AC52" s="15"/>
    </row>
    <row r="53" spans="1:29" ht="30" customHeight="1" x14ac:dyDescent="0.2">
      <c r="A53" s="398" t="s">
        <v>129</v>
      </c>
      <c r="B53" s="423" t="s">
        <v>130</v>
      </c>
      <c r="C53" s="75" t="s">
        <v>1274</v>
      </c>
      <c r="D53" s="857">
        <f t="shared" ref="D53" si="64">+F53+H53+J53+L53+N53+P53+R53</f>
        <v>0</v>
      </c>
      <c r="E53" s="857">
        <f t="shared" ref="E53" si="65">+G53+I53+K53+M53+O53+Q53+S53</f>
        <v>16079500</v>
      </c>
      <c r="F53" s="125"/>
      <c r="G53" s="125"/>
      <c r="H53" s="125"/>
      <c r="I53" s="125">
        <v>6650000</v>
      </c>
      <c r="J53" s="125"/>
      <c r="K53" s="78"/>
      <c r="L53" s="424"/>
      <c r="M53" s="125">
        <v>9200000</v>
      </c>
      <c r="N53" s="125"/>
      <c r="O53" s="125"/>
      <c r="P53" s="125"/>
      <c r="Q53" s="125"/>
      <c r="R53" s="125"/>
      <c r="S53" s="78">
        <v>229500</v>
      </c>
      <c r="T53" s="352">
        <f>+E53</f>
        <v>16079500</v>
      </c>
      <c r="U53" s="396"/>
      <c r="V53" s="396"/>
      <c r="W53" s="396"/>
      <c r="X53" s="396"/>
      <c r="Y53" s="78" t="s">
        <v>222</v>
      </c>
      <c r="AA53" s="139"/>
      <c r="AB53" s="139"/>
      <c r="AC53" s="15"/>
    </row>
    <row r="54" spans="1:29" ht="43.5" customHeight="1" x14ac:dyDescent="0.2">
      <c r="A54" s="398" t="s">
        <v>129</v>
      </c>
      <c r="B54" s="426" t="s">
        <v>130</v>
      </c>
      <c r="C54" s="75" t="s">
        <v>2023</v>
      </c>
      <c r="D54" s="857">
        <f t="shared" si="21"/>
        <v>7650000</v>
      </c>
      <c r="E54" s="857">
        <f t="shared" si="22"/>
        <v>3523811</v>
      </c>
      <c r="F54" s="125"/>
      <c r="G54" s="125"/>
      <c r="H54" s="125">
        <v>6023622</v>
      </c>
      <c r="I54" s="125">
        <v>3523811</v>
      </c>
      <c r="J54" s="125"/>
      <c r="K54" s="78"/>
      <c r="L54" s="424"/>
      <c r="M54" s="125"/>
      <c r="N54" s="125"/>
      <c r="O54" s="125"/>
      <c r="P54" s="125"/>
      <c r="Q54" s="125"/>
      <c r="R54" s="125">
        <v>1626378</v>
      </c>
      <c r="S54" s="78">
        <f>+R54-1626378</f>
        <v>0</v>
      </c>
      <c r="T54" s="352">
        <f t="shared" si="51"/>
        <v>3523811</v>
      </c>
      <c r="U54" s="396"/>
      <c r="V54" s="396"/>
      <c r="W54" s="396"/>
      <c r="X54" s="396"/>
      <c r="Y54" s="78" t="s">
        <v>222</v>
      </c>
      <c r="AA54" s="139"/>
      <c r="AB54" s="139"/>
      <c r="AC54" s="15"/>
    </row>
    <row r="55" spans="1:29" ht="46.5" customHeight="1" x14ac:dyDescent="0.2">
      <c r="A55" s="400" t="s">
        <v>129</v>
      </c>
      <c r="B55" s="885" t="s">
        <v>130</v>
      </c>
      <c r="C55" s="169" t="s">
        <v>2021</v>
      </c>
      <c r="D55" s="857">
        <f t="shared" ref="D55" si="66">+F55+H55+J55+L55+N55+P55+R55</f>
        <v>0</v>
      </c>
      <c r="E55" s="857">
        <f t="shared" ref="E55" si="67">+G55+I55+K55+M55+O55+Q55+S55</f>
        <v>2499811</v>
      </c>
      <c r="F55" s="125"/>
      <c r="G55" s="125"/>
      <c r="H55" s="125"/>
      <c r="I55" s="125">
        <v>2499811</v>
      </c>
      <c r="J55" s="125"/>
      <c r="K55" s="78"/>
      <c r="L55" s="424"/>
      <c r="M55" s="125"/>
      <c r="N55" s="125"/>
      <c r="O55" s="125"/>
      <c r="P55" s="125"/>
      <c r="Q55" s="125"/>
      <c r="R55" s="125"/>
      <c r="S55" s="78"/>
      <c r="T55" s="352">
        <f t="shared" si="51"/>
        <v>2499811</v>
      </c>
      <c r="U55" s="396"/>
      <c r="V55" s="396"/>
      <c r="W55" s="396"/>
      <c r="X55" s="396"/>
      <c r="Y55" s="78" t="s">
        <v>222</v>
      </c>
      <c r="AA55" s="139"/>
      <c r="AB55" s="139"/>
      <c r="AC55" s="15"/>
    </row>
    <row r="56" spans="1:29" ht="45.75" customHeight="1" x14ac:dyDescent="0.2">
      <c r="A56" s="398" t="s">
        <v>748</v>
      </c>
      <c r="B56" s="426" t="s">
        <v>547</v>
      </c>
      <c r="C56" s="74" t="s">
        <v>2022</v>
      </c>
      <c r="D56" s="857">
        <f t="shared" si="21"/>
        <v>43969369</v>
      </c>
      <c r="E56" s="857">
        <f t="shared" si="22"/>
        <v>34621550</v>
      </c>
      <c r="F56" s="125"/>
      <c r="G56" s="125"/>
      <c r="H56" s="125">
        <v>34621550</v>
      </c>
      <c r="I56" s="125">
        <f t="shared" si="46"/>
        <v>34621550</v>
      </c>
      <c r="J56" s="125"/>
      <c r="K56" s="78"/>
      <c r="L56" s="424"/>
      <c r="M56" s="125"/>
      <c r="N56" s="125"/>
      <c r="O56" s="125"/>
      <c r="P56" s="125"/>
      <c r="Q56" s="125"/>
      <c r="R56" s="125">
        <v>9347819</v>
      </c>
      <c r="S56" s="78">
        <f>+R56-9347819</f>
        <v>0</v>
      </c>
      <c r="T56" s="352">
        <f t="shared" si="51"/>
        <v>34621550</v>
      </c>
      <c r="U56" s="396"/>
      <c r="V56" s="396"/>
      <c r="W56" s="396"/>
      <c r="X56" s="396"/>
      <c r="Y56" s="78" t="s">
        <v>222</v>
      </c>
      <c r="AA56" s="139"/>
      <c r="AB56" s="139"/>
      <c r="AC56" s="15"/>
    </row>
    <row r="57" spans="1:29" ht="36" customHeight="1" x14ac:dyDescent="0.2">
      <c r="A57" s="884" t="s">
        <v>748</v>
      </c>
      <c r="B57" s="886" t="s">
        <v>547</v>
      </c>
      <c r="C57" s="934" t="s">
        <v>1275</v>
      </c>
      <c r="D57" s="857">
        <f t="shared" ref="D57" si="68">+F57+H57+J57+L57+N57+P57+R57</f>
        <v>0</v>
      </c>
      <c r="E57" s="857">
        <f t="shared" ref="E57" si="69">+G57+I57+K57+M57+O57+Q57+S57</f>
        <v>98591265</v>
      </c>
      <c r="F57" s="172"/>
      <c r="G57" s="172"/>
      <c r="H57" s="172"/>
      <c r="I57" s="172">
        <f>765815+50441300+34234880+10946000+1200000</f>
        <v>97587995</v>
      </c>
      <c r="J57" s="172"/>
      <c r="K57" s="194"/>
      <c r="L57" s="734"/>
      <c r="M57" s="172"/>
      <c r="N57" s="172"/>
      <c r="O57" s="172"/>
      <c r="P57" s="172"/>
      <c r="Q57" s="172"/>
      <c r="R57" s="172"/>
      <c r="S57" s="194">
        <f>206770+256500+216000+324000</f>
        <v>1003270</v>
      </c>
      <c r="T57" s="730">
        <f t="shared" si="51"/>
        <v>98591265</v>
      </c>
      <c r="U57" s="372"/>
      <c r="V57" s="372"/>
      <c r="W57" s="372"/>
      <c r="X57" s="372"/>
      <c r="Y57" s="194" t="s">
        <v>222</v>
      </c>
      <c r="AA57" s="139"/>
      <c r="AB57" s="139"/>
      <c r="AC57" s="15"/>
    </row>
    <row r="58" spans="1:29" s="11" customFormat="1" ht="21.75" customHeight="1" x14ac:dyDescent="0.2">
      <c r="A58" s="1623" t="s">
        <v>19</v>
      </c>
      <c r="B58" s="1615"/>
      <c r="C58" s="1615"/>
      <c r="D58" s="362">
        <f>SUM(D59:D61)</f>
        <v>0</v>
      </c>
      <c r="E58" s="362">
        <f>SUM(E59:E61)</f>
        <v>22076182</v>
      </c>
      <c r="F58" s="362">
        <f t="shared" ref="F58:S58" si="70">SUM(F59:F61)</f>
        <v>0</v>
      </c>
      <c r="G58" s="362">
        <f t="shared" si="70"/>
        <v>0</v>
      </c>
      <c r="H58" s="362">
        <f t="shared" si="70"/>
        <v>0</v>
      </c>
      <c r="I58" s="362">
        <f>SUM(I59:I61)</f>
        <v>2146600</v>
      </c>
      <c r="J58" s="362">
        <f t="shared" si="70"/>
        <v>0</v>
      </c>
      <c r="K58" s="106">
        <f t="shared" si="70"/>
        <v>0</v>
      </c>
      <c r="L58" s="743">
        <f t="shared" si="70"/>
        <v>0</v>
      </c>
      <c r="M58" s="362">
        <f t="shared" si="70"/>
        <v>15236220</v>
      </c>
      <c r="N58" s="362">
        <f t="shared" si="70"/>
        <v>0</v>
      </c>
      <c r="O58" s="362">
        <f t="shared" si="70"/>
        <v>0</v>
      </c>
      <c r="P58" s="362">
        <f t="shared" si="70"/>
        <v>0</v>
      </c>
      <c r="Q58" s="362">
        <f t="shared" si="70"/>
        <v>0</v>
      </c>
      <c r="R58" s="362">
        <f t="shared" si="70"/>
        <v>0</v>
      </c>
      <c r="S58" s="106">
        <f t="shared" si="70"/>
        <v>4693362</v>
      </c>
      <c r="T58" s="743">
        <f>SUM(T59:T61)</f>
        <v>22076182</v>
      </c>
      <c r="U58" s="362">
        <f>SUM(U59:U61)</f>
        <v>0</v>
      </c>
      <c r="V58" s="362">
        <f>SUM(V59:V61)</f>
        <v>0</v>
      </c>
      <c r="W58" s="362">
        <f>SUM(W59:W61)</f>
        <v>0</v>
      </c>
      <c r="X58" s="362">
        <f>SUM(X59:X61)</f>
        <v>0</v>
      </c>
      <c r="Y58" s="106"/>
      <c r="Z58" s="11" t="e">
        <f>+T58+U58+W58+#REF!</f>
        <v>#REF!</v>
      </c>
      <c r="AA58" s="139">
        <f>SUM(T58:X58)</f>
        <v>22076182</v>
      </c>
      <c r="AB58" s="139">
        <f>+AA58-D58</f>
        <v>22076182</v>
      </c>
      <c r="AC58" s="139" t="e">
        <f>+AB58-#REF!</f>
        <v>#REF!</v>
      </c>
    </row>
    <row r="59" spans="1:29" ht="30.75" customHeight="1" x14ac:dyDescent="0.2">
      <c r="A59" s="398" t="s">
        <v>151</v>
      </c>
      <c r="B59" s="401" t="s">
        <v>131</v>
      </c>
      <c r="C59" s="71" t="s">
        <v>2206</v>
      </c>
      <c r="D59" s="857">
        <f>+F59+H59+J59+L59+N59+P59+R59</f>
        <v>0</v>
      </c>
      <c r="E59" s="857">
        <f>+G59+I59+K59+M59+O59+Q59+S59</f>
        <v>2726182</v>
      </c>
      <c r="F59" s="125"/>
      <c r="G59" s="699"/>
      <c r="H59" s="699"/>
      <c r="I59" s="699">
        <f>1585000+561600</f>
        <v>2146600</v>
      </c>
      <c r="J59" s="699"/>
      <c r="K59" s="700"/>
      <c r="L59" s="974"/>
      <c r="M59" s="699"/>
      <c r="N59" s="699"/>
      <c r="O59" s="699"/>
      <c r="P59" s="699"/>
      <c r="Q59" s="699"/>
      <c r="R59" s="699"/>
      <c r="S59" s="700">
        <f>427950+151632</f>
        <v>579582</v>
      </c>
      <c r="T59" s="729">
        <f>+E59</f>
        <v>2726182</v>
      </c>
      <c r="U59" s="726"/>
      <c r="V59" s="726"/>
      <c r="W59" s="726"/>
      <c r="X59" s="371"/>
      <c r="Y59" s="700" t="s">
        <v>223</v>
      </c>
      <c r="AA59" s="139"/>
      <c r="AB59" s="139"/>
      <c r="AC59" s="15"/>
    </row>
    <row r="60" spans="1:29" ht="30.75" customHeight="1" x14ac:dyDescent="0.2">
      <c r="A60" s="399" t="s">
        <v>1883</v>
      </c>
      <c r="B60" s="168" t="s">
        <v>131</v>
      </c>
      <c r="C60" s="169" t="s">
        <v>3101</v>
      </c>
      <c r="D60" s="857">
        <f>+F60+H60+J60+L60+N60+P60+R60</f>
        <v>0</v>
      </c>
      <c r="E60" s="857">
        <f>+G60+I60+K60+M60+O60+Q60+S60</f>
        <v>13000000</v>
      </c>
      <c r="F60" s="125"/>
      <c r="G60" s="125"/>
      <c r="H60" s="125"/>
      <c r="I60" s="125"/>
      <c r="J60" s="125"/>
      <c r="K60" s="78"/>
      <c r="L60" s="424"/>
      <c r="M60" s="125">
        <v>10236220</v>
      </c>
      <c r="N60" s="125"/>
      <c r="O60" s="125"/>
      <c r="P60" s="125"/>
      <c r="Q60" s="125"/>
      <c r="R60" s="125"/>
      <c r="S60" s="78">
        <v>2763780</v>
      </c>
      <c r="T60" s="352">
        <f>+E60</f>
        <v>13000000</v>
      </c>
      <c r="U60" s="396"/>
      <c r="V60" s="396"/>
      <c r="W60" s="396"/>
      <c r="X60" s="141"/>
      <c r="Y60" s="78" t="s">
        <v>222</v>
      </c>
      <c r="AA60" s="139"/>
      <c r="AB60" s="139"/>
      <c r="AC60" s="15"/>
    </row>
    <row r="61" spans="1:29" ht="30.75" customHeight="1" x14ac:dyDescent="0.2">
      <c r="A61" s="398" t="s">
        <v>1883</v>
      </c>
      <c r="B61" s="401" t="s">
        <v>131</v>
      </c>
      <c r="C61" s="74" t="s">
        <v>3371</v>
      </c>
      <c r="D61" s="857">
        <f>+F61+H61+J61+L61+N61+P61+R61</f>
        <v>0</v>
      </c>
      <c r="E61" s="857">
        <f t="shared" ref="E61" si="71">+G61+I61+K61+M61+O61+Q61+S61</f>
        <v>6350000</v>
      </c>
      <c r="F61" s="125"/>
      <c r="G61" s="172"/>
      <c r="H61" s="172"/>
      <c r="I61" s="172"/>
      <c r="J61" s="172"/>
      <c r="K61" s="194"/>
      <c r="L61" s="734"/>
      <c r="M61" s="172">
        <v>5000000</v>
      </c>
      <c r="N61" s="172"/>
      <c r="O61" s="172"/>
      <c r="P61" s="172"/>
      <c r="Q61" s="172"/>
      <c r="R61" s="172"/>
      <c r="S61" s="194">
        <v>1350000</v>
      </c>
      <c r="T61" s="730">
        <f>+E61</f>
        <v>6350000</v>
      </c>
      <c r="U61" s="372"/>
      <c r="V61" s="372"/>
      <c r="W61" s="372"/>
      <c r="X61" s="167"/>
      <c r="Y61" s="194" t="s">
        <v>222</v>
      </c>
      <c r="AA61" s="139"/>
      <c r="AB61" s="139"/>
      <c r="AC61" s="15"/>
    </row>
    <row r="62" spans="1:29" s="11" customFormat="1" ht="23.25" customHeight="1" x14ac:dyDescent="0.2">
      <c r="A62" s="1623" t="s">
        <v>20</v>
      </c>
      <c r="B62" s="1615"/>
      <c r="C62" s="1615"/>
      <c r="D62" s="362">
        <f>SUM(D63:D78)</f>
        <v>57606023</v>
      </c>
      <c r="E62" s="362">
        <f t="shared" ref="E62:X62" si="72">SUM(E63:E78)</f>
        <v>99957308</v>
      </c>
      <c r="F62" s="362">
        <f t="shared" si="72"/>
        <v>0</v>
      </c>
      <c r="G62" s="362">
        <f t="shared" si="72"/>
        <v>0</v>
      </c>
      <c r="H62" s="362">
        <f t="shared" si="72"/>
        <v>55868573</v>
      </c>
      <c r="I62" s="362">
        <f t="shared" si="72"/>
        <v>91352355</v>
      </c>
      <c r="J62" s="362">
        <f t="shared" si="72"/>
        <v>0</v>
      </c>
      <c r="K62" s="106">
        <f t="shared" si="72"/>
        <v>0</v>
      </c>
      <c r="L62" s="743">
        <f t="shared" si="72"/>
        <v>0</v>
      </c>
      <c r="M62" s="362">
        <f t="shared" si="72"/>
        <v>310000</v>
      </c>
      <c r="N62" s="362">
        <f t="shared" si="72"/>
        <v>0</v>
      </c>
      <c r="O62" s="362">
        <f t="shared" si="72"/>
        <v>0</v>
      </c>
      <c r="P62" s="362">
        <f t="shared" si="72"/>
        <v>0</v>
      </c>
      <c r="Q62" s="362">
        <f t="shared" si="72"/>
        <v>0</v>
      </c>
      <c r="R62" s="362">
        <f t="shared" si="72"/>
        <v>1737450</v>
      </c>
      <c r="S62" s="106">
        <f t="shared" si="72"/>
        <v>8294953</v>
      </c>
      <c r="T62" s="743">
        <f>SUM(T63:T78)</f>
        <v>99957308</v>
      </c>
      <c r="U62" s="362">
        <f t="shared" si="72"/>
        <v>0</v>
      </c>
      <c r="V62" s="362">
        <f t="shared" si="72"/>
        <v>0</v>
      </c>
      <c r="W62" s="362">
        <f>SUM(W63:W78)</f>
        <v>0</v>
      </c>
      <c r="X62" s="362">
        <f t="shared" si="72"/>
        <v>0</v>
      </c>
      <c r="Y62" s="106"/>
      <c r="Z62" s="11" t="e">
        <f>+T62+U62+W62+#REF!</f>
        <v>#REF!</v>
      </c>
      <c r="AA62" s="139">
        <f>SUM(T62:X62)</f>
        <v>99957308</v>
      </c>
      <c r="AB62" s="139">
        <f>+AA62-D62</f>
        <v>42351285</v>
      </c>
      <c r="AC62" s="139" t="e">
        <f>+AB62-#REF!</f>
        <v>#REF!</v>
      </c>
    </row>
    <row r="63" spans="1:29" ht="45.75" customHeight="1" x14ac:dyDescent="0.2">
      <c r="A63" s="398" t="s">
        <v>134</v>
      </c>
      <c r="B63" s="401" t="s">
        <v>620</v>
      </c>
      <c r="C63" s="71" t="s">
        <v>1447</v>
      </c>
      <c r="D63" s="701">
        <f>+F63+H63+J63+L63+N63+P63+R63</f>
        <v>3996878</v>
      </c>
      <c r="E63" s="701">
        <f>+G63+I63+K63+M63+O63+Q63+S63</f>
        <v>3996878</v>
      </c>
      <c r="F63" s="699"/>
      <c r="G63" s="699"/>
      <c r="H63" s="699">
        <v>3996878</v>
      </c>
      <c r="I63" s="699">
        <f t="shared" ref="I63:I69" si="73">+H63</f>
        <v>3996878</v>
      </c>
      <c r="J63" s="699"/>
      <c r="K63" s="700"/>
      <c r="L63" s="974"/>
      <c r="M63" s="699"/>
      <c r="N63" s="699"/>
      <c r="O63" s="699"/>
      <c r="P63" s="699"/>
      <c r="Q63" s="699"/>
      <c r="R63" s="699"/>
      <c r="S63" s="700"/>
      <c r="T63" s="729">
        <f>+D63</f>
        <v>3996878</v>
      </c>
      <c r="U63" s="726"/>
      <c r="V63" s="726"/>
      <c r="W63" s="726"/>
      <c r="X63" s="726"/>
      <c r="Y63" s="700" t="s">
        <v>222</v>
      </c>
      <c r="AA63" s="139"/>
      <c r="AB63" s="139"/>
      <c r="AC63" s="15"/>
    </row>
    <row r="64" spans="1:29" ht="44.25" customHeight="1" x14ac:dyDescent="0.2">
      <c r="A64" s="398" t="s">
        <v>134</v>
      </c>
      <c r="B64" s="401" t="s">
        <v>620</v>
      </c>
      <c r="C64" s="71" t="s">
        <v>1448</v>
      </c>
      <c r="D64" s="857">
        <f t="shared" ref="D64:E77" si="74">+F64+H64+J64+L64+N64+P64+R64</f>
        <v>6732042</v>
      </c>
      <c r="E64" s="857">
        <f t="shared" si="74"/>
        <v>0</v>
      </c>
      <c r="F64" s="125"/>
      <c r="G64" s="125"/>
      <c r="H64" s="125">
        <v>6732042</v>
      </c>
      <c r="I64" s="125">
        <f>+H64-6732042</f>
        <v>0</v>
      </c>
      <c r="J64" s="125"/>
      <c r="K64" s="78"/>
      <c r="L64" s="424"/>
      <c r="M64" s="125"/>
      <c r="N64" s="125"/>
      <c r="O64" s="125"/>
      <c r="P64" s="125"/>
      <c r="Q64" s="125"/>
      <c r="R64" s="125"/>
      <c r="S64" s="78"/>
      <c r="T64" s="352">
        <f>+E64</f>
        <v>0</v>
      </c>
      <c r="U64" s="396"/>
      <c r="V64" s="396"/>
      <c r="W64" s="396"/>
      <c r="X64" s="141"/>
      <c r="Y64" s="78" t="s">
        <v>222</v>
      </c>
      <c r="AA64" s="139"/>
      <c r="AB64" s="139"/>
      <c r="AC64" s="15"/>
    </row>
    <row r="65" spans="1:29" ht="33.75" customHeight="1" x14ac:dyDescent="0.2">
      <c r="A65" s="398" t="s">
        <v>134</v>
      </c>
      <c r="B65" s="401" t="s">
        <v>620</v>
      </c>
      <c r="C65" s="71" t="s">
        <v>1516</v>
      </c>
      <c r="D65" s="857">
        <f t="shared" si="74"/>
        <v>3022653</v>
      </c>
      <c r="E65" s="857">
        <f t="shared" si="74"/>
        <v>3022653</v>
      </c>
      <c r="F65" s="125"/>
      <c r="G65" s="125"/>
      <c r="H65" s="125">
        <v>3022653</v>
      </c>
      <c r="I65" s="125">
        <f t="shared" si="73"/>
        <v>3022653</v>
      </c>
      <c r="J65" s="125"/>
      <c r="K65" s="78"/>
      <c r="L65" s="424"/>
      <c r="M65" s="125"/>
      <c r="N65" s="125"/>
      <c r="O65" s="125"/>
      <c r="P65" s="125"/>
      <c r="Q65" s="125"/>
      <c r="R65" s="125"/>
      <c r="S65" s="78"/>
      <c r="T65" s="352">
        <f t="shared" ref="T65:T71" si="75">+D65</f>
        <v>3022653</v>
      </c>
      <c r="U65" s="396"/>
      <c r="V65" s="396"/>
      <c r="W65" s="396"/>
      <c r="X65" s="141"/>
      <c r="Y65" s="78" t="s">
        <v>222</v>
      </c>
      <c r="AA65" s="139"/>
      <c r="AB65" s="139"/>
      <c r="AC65" s="15"/>
    </row>
    <row r="66" spans="1:29" ht="48" customHeight="1" x14ac:dyDescent="0.2">
      <c r="A66" s="884" t="s">
        <v>134</v>
      </c>
      <c r="B66" s="723" t="s">
        <v>620</v>
      </c>
      <c r="C66" s="170" t="s">
        <v>1517</v>
      </c>
      <c r="D66" s="855">
        <f t="shared" si="74"/>
        <v>7985000</v>
      </c>
      <c r="E66" s="855">
        <f t="shared" si="74"/>
        <v>7985000</v>
      </c>
      <c r="F66" s="172"/>
      <c r="G66" s="172"/>
      <c r="H66" s="172">
        <v>7985000</v>
      </c>
      <c r="I66" s="172">
        <f t="shared" si="73"/>
        <v>7985000</v>
      </c>
      <c r="J66" s="172"/>
      <c r="K66" s="194"/>
      <c r="L66" s="734"/>
      <c r="M66" s="172"/>
      <c r="N66" s="172"/>
      <c r="O66" s="172"/>
      <c r="P66" s="172"/>
      <c r="Q66" s="172"/>
      <c r="R66" s="172"/>
      <c r="S66" s="194"/>
      <c r="T66" s="730">
        <f t="shared" si="75"/>
        <v>7985000</v>
      </c>
      <c r="U66" s="372"/>
      <c r="V66" s="372"/>
      <c r="W66" s="372"/>
      <c r="X66" s="167"/>
      <c r="Y66" s="194" t="s">
        <v>222</v>
      </c>
      <c r="AA66" s="139"/>
      <c r="AB66" s="139"/>
      <c r="AC66" s="15"/>
    </row>
    <row r="67" spans="1:29" ht="45" customHeight="1" x14ac:dyDescent="0.2">
      <c r="A67" s="425" t="s">
        <v>134</v>
      </c>
      <c r="B67" s="427" t="s">
        <v>620</v>
      </c>
      <c r="C67" s="71" t="s">
        <v>1449</v>
      </c>
      <c r="D67" s="856">
        <f t="shared" si="74"/>
        <v>9697000</v>
      </c>
      <c r="E67" s="856">
        <f t="shared" si="74"/>
        <v>9697000</v>
      </c>
      <c r="F67" s="107"/>
      <c r="G67" s="107"/>
      <c r="H67" s="107">
        <v>9697000</v>
      </c>
      <c r="I67" s="107">
        <f t="shared" si="73"/>
        <v>9697000</v>
      </c>
      <c r="J67" s="107"/>
      <c r="K67" s="77"/>
      <c r="L67" s="1392"/>
      <c r="M67" s="107"/>
      <c r="N67" s="107"/>
      <c r="O67" s="107"/>
      <c r="P67" s="107"/>
      <c r="Q67" s="107"/>
      <c r="R67" s="107"/>
      <c r="S67" s="77"/>
      <c r="T67" s="403">
        <f t="shared" si="75"/>
        <v>9697000</v>
      </c>
      <c r="U67" s="142"/>
      <c r="V67" s="142"/>
      <c r="W67" s="142"/>
      <c r="X67" s="108"/>
      <c r="Y67" s="77" t="s">
        <v>222</v>
      </c>
      <c r="AA67" s="139"/>
      <c r="AB67" s="139"/>
      <c r="AC67" s="15"/>
    </row>
    <row r="68" spans="1:29" ht="32.25" customHeight="1" x14ac:dyDescent="0.2">
      <c r="A68" s="398" t="s">
        <v>134</v>
      </c>
      <c r="B68" s="401" t="s">
        <v>620</v>
      </c>
      <c r="C68" s="71" t="s">
        <v>2327</v>
      </c>
      <c r="D68" s="857">
        <f t="shared" ref="D68" si="76">+F68+H68+J68+L68+N68+P68+R68</f>
        <v>0</v>
      </c>
      <c r="E68" s="857">
        <f t="shared" ref="E68" si="77">+G68+I68+K68+M68+O68+Q68+S68</f>
        <v>1918775</v>
      </c>
      <c r="F68" s="125"/>
      <c r="G68" s="125"/>
      <c r="H68" s="125"/>
      <c r="I68" s="125">
        <v>1918775</v>
      </c>
      <c r="J68" s="125"/>
      <c r="K68" s="78"/>
      <c r="L68" s="424"/>
      <c r="M68" s="125"/>
      <c r="N68" s="125"/>
      <c r="O68" s="125"/>
      <c r="P68" s="125"/>
      <c r="Q68" s="125"/>
      <c r="R68" s="125"/>
      <c r="S68" s="78"/>
      <c r="T68" s="352">
        <f>+E68</f>
        <v>1918775</v>
      </c>
      <c r="U68" s="396"/>
      <c r="V68" s="396"/>
      <c r="W68" s="396"/>
      <c r="X68" s="141"/>
      <c r="Y68" s="78" t="s">
        <v>222</v>
      </c>
      <c r="AA68" s="139"/>
      <c r="AB68" s="139"/>
      <c r="AC68" s="15"/>
    </row>
    <row r="69" spans="1:29" ht="27.75" customHeight="1" x14ac:dyDescent="0.2">
      <c r="A69" s="398" t="s">
        <v>134</v>
      </c>
      <c r="B69" s="401" t="s">
        <v>620</v>
      </c>
      <c r="C69" s="71" t="s">
        <v>1518</v>
      </c>
      <c r="D69" s="857">
        <f t="shared" si="74"/>
        <v>18000000</v>
      </c>
      <c r="E69" s="857">
        <f t="shared" si="74"/>
        <v>18000000</v>
      </c>
      <c r="F69" s="125"/>
      <c r="G69" s="125"/>
      <c r="H69" s="125">
        <v>18000000</v>
      </c>
      <c r="I69" s="125">
        <f t="shared" si="73"/>
        <v>18000000</v>
      </c>
      <c r="J69" s="125"/>
      <c r="K69" s="78"/>
      <c r="L69" s="424"/>
      <c r="M69" s="125"/>
      <c r="N69" s="125"/>
      <c r="O69" s="125"/>
      <c r="P69" s="125"/>
      <c r="Q69" s="125"/>
      <c r="R69" s="125"/>
      <c r="S69" s="78"/>
      <c r="T69" s="352">
        <f t="shared" si="75"/>
        <v>18000000</v>
      </c>
      <c r="U69" s="396"/>
      <c r="V69" s="396"/>
      <c r="W69" s="396"/>
      <c r="X69" s="141"/>
      <c r="Y69" s="78" t="s">
        <v>222</v>
      </c>
      <c r="AA69" s="139"/>
      <c r="AB69" s="139"/>
      <c r="AC69" s="15"/>
    </row>
    <row r="70" spans="1:29" ht="31.5" customHeight="1" x14ac:dyDescent="0.2">
      <c r="A70" s="398" t="s">
        <v>134</v>
      </c>
      <c r="B70" s="401" t="s">
        <v>620</v>
      </c>
      <c r="C70" s="71" t="s">
        <v>3235</v>
      </c>
      <c r="D70" s="857">
        <f t="shared" ref="D70" si="78">+F70+H70+J70+L70+N70+P70+R70</f>
        <v>0</v>
      </c>
      <c r="E70" s="857">
        <f t="shared" ref="E70" si="79">+G70+I70+K70+M70+O70+Q70+S70</f>
        <v>16320000</v>
      </c>
      <c r="F70" s="125"/>
      <c r="G70" s="125"/>
      <c r="H70" s="125"/>
      <c r="I70" s="125">
        <v>16320000</v>
      </c>
      <c r="J70" s="125"/>
      <c r="K70" s="78"/>
      <c r="L70" s="424"/>
      <c r="M70" s="125"/>
      <c r="N70" s="125"/>
      <c r="O70" s="125"/>
      <c r="P70" s="125"/>
      <c r="Q70" s="125"/>
      <c r="R70" s="125"/>
      <c r="S70" s="78"/>
      <c r="T70" s="352">
        <f>+E70</f>
        <v>16320000</v>
      </c>
      <c r="U70" s="396"/>
      <c r="V70" s="396"/>
      <c r="W70" s="396"/>
      <c r="X70" s="141"/>
      <c r="Y70" s="78"/>
      <c r="AA70" s="139"/>
      <c r="AB70" s="139"/>
      <c r="AC70" s="15"/>
    </row>
    <row r="71" spans="1:29" ht="30.75" customHeight="1" x14ac:dyDescent="0.2">
      <c r="A71" s="398" t="s">
        <v>134</v>
      </c>
      <c r="B71" s="401" t="s">
        <v>620</v>
      </c>
      <c r="C71" s="71" t="s">
        <v>1312</v>
      </c>
      <c r="D71" s="857">
        <f t="shared" si="74"/>
        <v>0</v>
      </c>
      <c r="E71" s="857">
        <f t="shared" si="74"/>
        <v>0</v>
      </c>
      <c r="F71" s="125"/>
      <c r="G71" s="125"/>
      <c r="H71" s="125"/>
      <c r="I71" s="125"/>
      <c r="J71" s="125"/>
      <c r="K71" s="78"/>
      <c r="L71" s="424"/>
      <c r="M71" s="125"/>
      <c r="N71" s="125"/>
      <c r="O71" s="125"/>
      <c r="P71" s="125"/>
      <c r="Q71" s="125"/>
      <c r="R71" s="125"/>
      <c r="S71" s="78"/>
      <c r="T71" s="352">
        <f t="shared" si="75"/>
        <v>0</v>
      </c>
      <c r="U71" s="396"/>
      <c r="V71" s="396"/>
      <c r="W71" s="396"/>
      <c r="X71" s="141"/>
      <c r="Y71" s="78" t="s">
        <v>222</v>
      </c>
      <c r="AA71" s="139"/>
      <c r="AB71" s="139"/>
      <c r="AC71" s="15"/>
    </row>
    <row r="72" spans="1:29" ht="33" customHeight="1" x14ac:dyDescent="0.2">
      <c r="A72" s="398" t="s">
        <v>134</v>
      </c>
      <c r="B72" s="401" t="s">
        <v>620</v>
      </c>
      <c r="C72" s="74" t="s">
        <v>2351</v>
      </c>
      <c r="D72" s="857">
        <f t="shared" ref="D72" si="80">+F72+H72+J72+L72+N72+P72+R72</f>
        <v>0</v>
      </c>
      <c r="E72" s="857">
        <f t="shared" ref="E72" si="81">+G72+I72+K72+M72+O72+Q72+S72</f>
        <v>21158789</v>
      </c>
      <c r="F72" s="125"/>
      <c r="G72" s="125"/>
      <c r="H72" s="125"/>
      <c r="I72" s="125">
        <f>17000000-339536</f>
        <v>16660464</v>
      </c>
      <c r="J72" s="126"/>
      <c r="K72" s="76"/>
      <c r="L72" s="424"/>
      <c r="M72" s="125"/>
      <c r="N72" s="126"/>
      <c r="O72" s="126"/>
      <c r="P72" s="126"/>
      <c r="Q72" s="126"/>
      <c r="R72" s="126"/>
      <c r="S72" s="76">
        <f>4590000-91675</f>
        <v>4498325</v>
      </c>
      <c r="T72" s="1391">
        <f t="shared" ref="T72:T78" si="82">+E72</f>
        <v>21158789</v>
      </c>
      <c r="U72" s="402"/>
      <c r="V72" s="402"/>
      <c r="W72" s="402"/>
      <c r="X72" s="154"/>
      <c r="Y72" s="76" t="s">
        <v>222</v>
      </c>
      <c r="AA72" s="139"/>
      <c r="AB72" s="139"/>
      <c r="AC72" s="15"/>
    </row>
    <row r="73" spans="1:29" ht="33" customHeight="1" x14ac:dyDescent="0.2">
      <c r="A73" s="398" t="s">
        <v>134</v>
      </c>
      <c r="B73" s="401" t="s">
        <v>620</v>
      </c>
      <c r="C73" s="74" t="s">
        <v>3359</v>
      </c>
      <c r="D73" s="857">
        <f t="shared" ref="D73" si="83">+F73+H73+J73+L73+N73+P73+R73</f>
        <v>0</v>
      </c>
      <c r="E73" s="857">
        <f t="shared" ref="E73" si="84">+G73+I73+K73+M73+O73+Q73+S73</f>
        <v>482873</v>
      </c>
      <c r="F73" s="125"/>
      <c r="G73" s="125"/>
      <c r="H73" s="125"/>
      <c r="I73" s="125">
        <v>380215</v>
      </c>
      <c r="J73" s="126"/>
      <c r="K73" s="76"/>
      <c r="L73" s="424"/>
      <c r="M73" s="125"/>
      <c r="N73" s="126"/>
      <c r="O73" s="126"/>
      <c r="P73" s="126"/>
      <c r="Q73" s="126"/>
      <c r="R73" s="126"/>
      <c r="S73" s="76">
        <v>102658</v>
      </c>
      <c r="T73" s="1391">
        <f t="shared" si="82"/>
        <v>482873</v>
      </c>
      <c r="U73" s="402"/>
      <c r="V73" s="402"/>
      <c r="W73" s="402"/>
      <c r="X73" s="154"/>
      <c r="Y73" s="76" t="s">
        <v>222</v>
      </c>
      <c r="AA73" s="139"/>
      <c r="AB73" s="139"/>
      <c r="AC73" s="15"/>
    </row>
    <row r="74" spans="1:29" ht="30.75" customHeight="1" x14ac:dyDescent="0.2">
      <c r="A74" s="398" t="s">
        <v>134</v>
      </c>
      <c r="B74" s="401" t="s">
        <v>620</v>
      </c>
      <c r="C74" s="74" t="s">
        <v>1889</v>
      </c>
      <c r="D74" s="857">
        <f t="shared" ref="D74" si="85">+F74+H74+J74+L74+N74+P74+R74</f>
        <v>0</v>
      </c>
      <c r="E74" s="857">
        <f t="shared" ref="E74" si="86">+G74+I74+K74+M74+O74+Q74+S74</f>
        <v>86995</v>
      </c>
      <c r="F74" s="125"/>
      <c r="G74" s="125"/>
      <c r="H74" s="125"/>
      <c r="I74" s="125">
        <v>68500</v>
      </c>
      <c r="J74" s="126"/>
      <c r="K74" s="76"/>
      <c r="L74" s="424"/>
      <c r="M74" s="125"/>
      <c r="N74" s="126"/>
      <c r="O74" s="126"/>
      <c r="P74" s="126"/>
      <c r="Q74" s="126"/>
      <c r="R74" s="126"/>
      <c r="S74" s="76">
        <v>18495</v>
      </c>
      <c r="T74" s="1391">
        <f t="shared" si="82"/>
        <v>86995</v>
      </c>
      <c r="U74" s="402"/>
      <c r="V74" s="402"/>
      <c r="W74" s="402"/>
      <c r="X74" s="154"/>
      <c r="Y74" s="76" t="s">
        <v>222</v>
      </c>
      <c r="AA74" s="139"/>
      <c r="AB74" s="139"/>
      <c r="AC74" s="15"/>
    </row>
    <row r="75" spans="1:29" ht="28.5" customHeight="1" x14ac:dyDescent="0.2">
      <c r="A75" s="398" t="s">
        <v>134</v>
      </c>
      <c r="B75" s="401" t="s">
        <v>620</v>
      </c>
      <c r="C75" s="74" t="s">
        <v>2999</v>
      </c>
      <c r="D75" s="857">
        <f t="shared" ref="D75" si="87">+F75+H75+J75+L75+N75+P75+R75</f>
        <v>0</v>
      </c>
      <c r="E75" s="857">
        <f t="shared" ref="E75" si="88">+G75+I75+K75+M75+O75+Q75+S75</f>
        <v>6639395</v>
      </c>
      <c r="F75" s="126"/>
      <c r="G75" s="126"/>
      <c r="H75" s="126"/>
      <c r="I75" s="126">
        <v>5227870</v>
      </c>
      <c r="J75" s="126"/>
      <c r="K75" s="76"/>
      <c r="L75" s="424"/>
      <c r="M75" s="125"/>
      <c r="N75" s="126"/>
      <c r="O75" s="126"/>
      <c r="P75" s="126"/>
      <c r="Q75" s="126"/>
      <c r="R75" s="126"/>
      <c r="S75" s="76">
        <v>1411525</v>
      </c>
      <c r="T75" s="1391">
        <f t="shared" si="82"/>
        <v>6639395</v>
      </c>
      <c r="U75" s="402"/>
      <c r="V75" s="402"/>
      <c r="W75" s="402"/>
      <c r="X75" s="154"/>
      <c r="Y75" s="76" t="s">
        <v>222</v>
      </c>
      <c r="AA75" s="139"/>
      <c r="AB75" s="139"/>
      <c r="AC75" s="15"/>
    </row>
    <row r="76" spans="1:29" ht="28.5" customHeight="1" x14ac:dyDescent="0.2">
      <c r="A76" s="398" t="s">
        <v>134</v>
      </c>
      <c r="B76" s="401" t="s">
        <v>620</v>
      </c>
      <c r="C76" s="74" t="s">
        <v>3414</v>
      </c>
      <c r="D76" s="857">
        <f t="shared" ref="D76" si="89">+F76+H76+J76+L76+N76+P76+R76</f>
        <v>0</v>
      </c>
      <c r="E76" s="857">
        <f t="shared" ref="E76" si="90">+G76+I76+K76+M76+O76+Q76+S76</f>
        <v>393700</v>
      </c>
      <c r="F76" s="126"/>
      <c r="G76" s="126"/>
      <c r="H76" s="126"/>
      <c r="I76" s="126"/>
      <c r="J76" s="126"/>
      <c r="K76" s="76"/>
      <c r="L76" s="424"/>
      <c r="M76" s="125">
        <v>310000</v>
      </c>
      <c r="N76" s="126"/>
      <c r="O76" s="126"/>
      <c r="P76" s="126"/>
      <c r="Q76" s="126"/>
      <c r="R76" s="126"/>
      <c r="S76" s="76">
        <v>83700</v>
      </c>
      <c r="T76" s="1391">
        <f>+E76</f>
        <v>393700</v>
      </c>
      <c r="U76" s="402"/>
      <c r="V76" s="402"/>
      <c r="W76" s="402"/>
      <c r="X76" s="154"/>
      <c r="Y76" s="76" t="s">
        <v>222</v>
      </c>
      <c r="AA76" s="139"/>
      <c r="AB76" s="139"/>
      <c r="AC76" s="15"/>
    </row>
    <row r="77" spans="1:29" ht="30.75" customHeight="1" x14ac:dyDescent="0.2">
      <c r="A77" s="398" t="s">
        <v>1488</v>
      </c>
      <c r="B77" s="401" t="s">
        <v>620</v>
      </c>
      <c r="C77" s="74" t="s">
        <v>1497</v>
      </c>
      <c r="D77" s="857">
        <f t="shared" si="74"/>
        <v>8172450</v>
      </c>
      <c r="E77" s="857">
        <f t="shared" si="74"/>
        <v>8362950</v>
      </c>
      <c r="F77" s="125"/>
      <c r="G77" s="125"/>
      <c r="H77" s="125">
        <f>5885000+550000</f>
        <v>6435000</v>
      </c>
      <c r="I77" s="125">
        <f>+H77+150000</f>
        <v>6585000</v>
      </c>
      <c r="J77" s="125"/>
      <c r="K77" s="78"/>
      <c r="L77" s="424"/>
      <c r="M77" s="125"/>
      <c r="N77" s="125"/>
      <c r="O77" s="125"/>
      <c r="P77" s="125"/>
      <c r="Q77" s="125"/>
      <c r="R77" s="125">
        <f>1588950+148500</f>
        <v>1737450</v>
      </c>
      <c r="S77" s="78">
        <f>+R77+40500</f>
        <v>1777950</v>
      </c>
      <c r="T77" s="1579">
        <f t="shared" si="82"/>
        <v>8362950</v>
      </c>
      <c r="U77" s="396"/>
      <c r="V77" s="396"/>
      <c r="W77" s="396"/>
      <c r="X77" s="141"/>
      <c r="Y77" s="78" t="s">
        <v>222</v>
      </c>
      <c r="AA77" s="139"/>
      <c r="AB77" s="139"/>
      <c r="AC77" s="15"/>
    </row>
    <row r="78" spans="1:29" ht="30.75" customHeight="1" x14ac:dyDescent="0.2">
      <c r="A78" s="735" t="s">
        <v>3018</v>
      </c>
      <c r="B78" s="723" t="s">
        <v>620</v>
      </c>
      <c r="C78" s="170" t="s">
        <v>3385</v>
      </c>
      <c r="D78" s="855">
        <f t="shared" ref="D78:E78" si="91">+F78+H78+J78+L78+N78+P78+R78</f>
        <v>0</v>
      </c>
      <c r="E78" s="855">
        <f t="shared" si="91"/>
        <v>1892300</v>
      </c>
      <c r="F78" s="172"/>
      <c r="G78" s="172"/>
      <c r="H78" s="172"/>
      <c r="I78" s="172">
        <f>1360000+130000</f>
        <v>1490000</v>
      </c>
      <c r="J78" s="172"/>
      <c r="K78" s="194"/>
      <c r="L78" s="734"/>
      <c r="M78" s="172"/>
      <c r="N78" s="172"/>
      <c r="O78" s="172"/>
      <c r="P78" s="172"/>
      <c r="Q78" s="172"/>
      <c r="R78" s="172"/>
      <c r="S78" s="194">
        <f>367200+35100</f>
        <v>402300</v>
      </c>
      <c r="T78" s="1580">
        <f t="shared" si="82"/>
        <v>1892300</v>
      </c>
      <c r="U78" s="372"/>
      <c r="V78" s="372"/>
      <c r="W78" s="372"/>
      <c r="X78" s="167"/>
      <c r="Y78" s="194" t="s">
        <v>223</v>
      </c>
      <c r="AA78" s="139"/>
      <c r="AB78" s="139"/>
      <c r="AC78" s="15"/>
    </row>
    <row r="79" spans="1:29" s="11" customFormat="1" ht="24.75" customHeight="1" x14ac:dyDescent="0.2">
      <c r="A79" s="1623" t="s">
        <v>21</v>
      </c>
      <c r="B79" s="1615"/>
      <c r="C79" s="1615"/>
      <c r="D79" s="362">
        <f t="shared" ref="D79:X79" si="92">SUM(D80:D137)</f>
        <v>1149803472</v>
      </c>
      <c r="E79" s="362">
        <f t="shared" si="92"/>
        <v>1348902238</v>
      </c>
      <c r="F79" s="362">
        <f t="shared" si="92"/>
        <v>1110000</v>
      </c>
      <c r="G79" s="362">
        <f t="shared" si="92"/>
        <v>15419016</v>
      </c>
      <c r="H79" s="362">
        <f t="shared" si="92"/>
        <v>893363931</v>
      </c>
      <c r="I79" s="362">
        <f t="shared" si="92"/>
        <v>1205902784</v>
      </c>
      <c r="J79" s="362">
        <f t="shared" si="92"/>
        <v>400000</v>
      </c>
      <c r="K79" s="106">
        <f t="shared" si="92"/>
        <v>2195000</v>
      </c>
      <c r="L79" s="743">
        <f t="shared" si="92"/>
        <v>11588645</v>
      </c>
      <c r="M79" s="362">
        <f t="shared" si="92"/>
        <v>43208993</v>
      </c>
      <c r="N79" s="362">
        <f t="shared" si="92"/>
        <v>0</v>
      </c>
      <c r="O79" s="362">
        <f t="shared" si="92"/>
        <v>0</v>
      </c>
      <c r="P79" s="362">
        <f t="shared" si="92"/>
        <v>0</v>
      </c>
      <c r="Q79" s="362">
        <f t="shared" si="92"/>
        <v>0</v>
      </c>
      <c r="R79" s="362">
        <f t="shared" si="92"/>
        <v>243340896</v>
      </c>
      <c r="S79" s="106">
        <f t="shared" si="92"/>
        <v>82176445</v>
      </c>
      <c r="T79" s="743">
        <f t="shared" si="92"/>
        <v>868902238</v>
      </c>
      <c r="U79" s="362">
        <f t="shared" si="92"/>
        <v>0</v>
      </c>
      <c r="V79" s="362">
        <f t="shared" si="92"/>
        <v>480000000</v>
      </c>
      <c r="W79" s="362">
        <f t="shared" si="92"/>
        <v>0</v>
      </c>
      <c r="X79" s="362">
        <f t="shared" si="92"/>
        <v>529250700</v>
      </c>
      <c r="Y79" s="106"/>
      <c r="Z79" s="11" t="e">
        <f>+T79+U79+W79+#REF!</f>
        <v>#REF!</v>
      </c>
      <c r="AA79" s="139">
        <f>SUM(T79:X79)</f>
        <v>1878152938</v>
      </c>
      <c r="AB79" s="139">
        <f>+AA79-D79</f>
        <v>728349466</v>
      </c>
      <c r="AC79" s="139" t="e">
        <f>+AB79-#REF!</f>
        <v>#REF!</v>
      </c>
    </row>
    <row r="80" spans="1:29" ht="24.75" customHeight="1" x14ac:dyDescent="0.2">
      <c r="A80" s="399" t="s">
        <v>135</v>
      </c>
      <c r="B80" s="168" t="s">
        <v>584</v>
      </c>
      <c r="C80" s="169" t="s">
        <v>585</v>
      </c>
      <c r="D80" s="856">
        <f>+F80+H80+J80+L80+N80+P80+R80</f>
        <v>0</v>
      </c>
      <c r="E80" s="856">
        <f>+G80+I80+K80+M80+O80+Q80+S80</f>
        <v>0</v>
      </c>
      <c r="F80" s="126"/>
      <c r="G80" s="699"/>
      <c r="H80" s="699"/>
      <c r="I80" s="699"/>
      <c r="J80" s="699"/>
      <c r="K80" s="700"/>
      <c r="L80" s="974"/>
      <c r="M80" s="699"/>
      <c r="N80" s="699"/>
      <c r="O80" s="699"/>
      <c r="P80" s="699"/>
      <c r="Q80" s="699"/>
      <c r="R80" s="699"/>
      <c r="S80" s="700"/>
      <c r="T80" s="729">
        <f>+D80</f>
        <v>0</v>
      </c>
      <c r="U80" s="726"/>
      <c r="V80" s="726"/>
      <c r="W80" s="726"/>
      <c r="X80" s="726"/>
      <c r="Y80" s="700" t="s">
        <v>222</v>
      </c>
      <c r="AA80" s="139">
        <f>SUM(T80:X80)</f>
        <v>0</v>
      </c>
      <c r="AB80" s="139">
        <f>+AA80-D80</f>
        <v>0</v>
      </c>
      <c r="AC80" s="15"/>
    </row>
    <row r="81" spans="1:29" ht="31.5" customHeight="1" x14ac:dyDescent="0.2">
      <c r="A81" s="399" t="s">
        <v>135</v>
      </c>
      <c r="B81" s="168" t="s">
        <v>584</v>
      </c>
      <c r="C81" s="169" t="s">
        <v>3054</v>
      </c>
      <c r="D81" s="856">
        <f t="shared" ref="D81:E137" si="93">+F81+H81+J81+L81+N81+P81+R81</f>
        <v>0</v>
      </c>
      <c r="E81" s="856">
        <f t="shared" si="93"/>
        <v>506349</v>
      </c>
      <c r="F81" s="126"/>
      <c r="G81" s="125"/>
      <c r="H81" s="125"/>
      <c r="I81" s="125">
        <v>398700</v>
      </c>
      <c r="J81" s="125"/>
      <c r="K81" s="78"/>
      <c r="L81" s="424"/>
      <c r="M81" s="125"/>
      <c r="N81" s="125"/>
      <c r="O81" s="125"/>
      <c r="P81" s="125"/>
      <c r="Q81" s="125"/>
      <c r="R81" s="125"/>
      <c r="S81" s="78">
        <v>107649</v>
      </c>
      <c r="T81" s="352">
        <f t="shared" ref="T81:T89" si="94">+E81</f>
        <v>506349</v>
      </c>
      <c r="U81" s="396"/>
      <c r="V81" s="396"/>
      <c r="W81" s="396"/>
      <c r="X81" s="396"/>
      <c r="Y81" s="78" t="s">
        <v>222</v>
      </c>
      <c r="AA81" s="139"/>
      <c r="AB81" s="139"/>
      <c r="AC81" s="15"/>
    </row>
    <row r="82" spans="1:29" ht="31.5" customHeight="1" x14ac:dyDescent="0.2">
      <c r="A82" s="399" t="s">
        <v>135</v>
      </c>
      <c r="B82" s="168" t="s">
        <v>584</v>
      </c>
      <c r="C82" s="169" t="s">
        <v>1453</v>
      </c>
      <c r="D82" s="856">
        <f t="shared" si="93"/>
        <v>0</v>
      </c>
      <c r="E82" s="856">
        <f t="shared" si="93"/>
        <v>749300</v>
      </c>
      <c r="F82" s="126"/>
      <c r="G82" s="125"/>
      <c r="H82" s="125"/>
      <c r="I82" s="125">
        <v>590000</v>
      </c>
      <c r="J82" s="125"/>
      <c r="K82" s="78"/>
      <c r="L82" s="424"/>
      <c r="M82" s="125"/>
      <c r="N82" s="125"/>
      <c r="O82" s="125"/>
      <c r="P82" s="125"/>
      <c r="Q82" s="125"/>
      <c r="R82" s="125"/>
      <c r="S82" s="78">
        <v>159300</v>
      </c>
      <c r="T82" s="352">
        <f t="shared" si="94"/>
        <v>749300</v>
      </c>
      <c r="U82" s="396"/>
      <c r="V82" s="396"/>
      <c r="W82" s="396"/>
      <c r="X82" s="141">
        <f>20000000-749300</f>
        <v>19250700</v>
      </c>
      <c r="Y82" s="78" t="s">
        <v>222</v>
      </c>
      <c r="AA82" s="139"/>
      <c r="AB82" s="139"/>
      <c r="AC82" s="15"/>
    </row>
    <row r="83" spans="1:29" ht="29.25" customHeight="1" x14ac:dyDescent="0.2">
      <c r="A83" s="399" t="s">
        <v>135</v>
      </c>
      <c r="B83" s="168" t="s">
        <v>584</v>
      </c>
      <c r="C83" s="169" t="s">
        <v>3117</v>
      </c>
      <c r="D83" s="856">
        <f t="shared" ref="D83" si="95">+F83+H83+J83+L83+N83+P83+R83</f>
        <v>0</v>
      </c>
      <c r="E83" s="856">
        <f t="shared" ref="E83" si="96">+G83+I83+K83+M83+O83+Q83+S83</f>
        <v>309194</v>
      </c>
      <c r="F83" s="126"/>
      <c r="G83" s="125"/>
      <c r="H83" s="125"/>
      <c r="I83" s="125">
        <f>86460+157000</f>
        <v>243460</v>
      </c>
      <c r="J83" s="125"/>
      <c r="K83" s="78"/>
      <c r="L83" s="424"/>
      <c r="M83" s="125"/>
      <c r="N83" s="125"/>
      <c r="O83" s="125"/>
      <c r="P83" s="125"/>
      <c r="Q83" s="125"/>
      <c r="R83" s="125"/>
      <c r="S83" s="78">
        <f>23344+42390</f>
        <v>65734</v>
      </c>
      <c r="T83" s="352">
        <f t="shared" si="94"/>
        <v>309194</v>
      </c>
      <c r="U83" s="396"/>
      <c r="V83" s="396"/>
      <c r="W83" s="396"/>
      <c r="X83" s="141"/>
      <c r="Y83" s="78" t="s">
        <v>222</v>
      </c>
      <c r="AA83" s="139"/>
      <c r="AB83" s="139"/>
      <c r="AC83" s="15"/>
    </row>
    <row r="84" spans="1:29" ht="29.25" customHeight="1" x14ac:dyDescent="0.2">
      <c r="A84" s="399" t="s">
        <v>135</v>
      </c>
      <c r="B84" s="168" t="s">
        <v>584</v>
      </c>
      <c r="C84" s="169" t="s">
        <v>2725</v>
      </c>
      <c r="D84" s="856">
        <f t="shared" ref="D84" si="97">+F84+H84+J84+L84+N84+P84+R84</f>
        <v>0</v>
      </c>
      <c r="E84" s="856">
        <f t="shared" ref="E84" si="98">+G84+I84+K84+M84+O84+Q84+S84</f>
        <v>13215620</v>
      </c>
      <c r="F84" s="126"/>
      <c r="G84" s="125"/>
      <c r="H84" s="125"/>
      <c r="I84" s="125">
        <f>410000+9996000</f>
        <v>10406000</v>
      </c>
      <c r="J84" s="125"/>
      <c r="K84" s="78"/>
      <c r="L84" s="424"/>
      <c r="M84" s="125"/>
      <c r="N84" s="125"/>
      <c r="O84" s="125"/>
      <c r="P84" s="125"/>
      <c r="Q84" s="125"/>
      <c r="R84" s="125"/>
      <c r="S84" s="78">
        <f>110700+2698920</f>
        <v>2809620</v>
      </c>
      <c r="T84" s="352">
        <f t="shared" si="94"/>
        <v>13215620</v>
      </c>
      <c r="U84" s="396"/>
      <c r="V84" s="396"/>
      <c r="W84" s="396"/>
      <c r="X84" s="141"/>
      <c r="Y84" s="78" t="s">
        <v>222</v>
      </c>
      <c r="AA84" s="139"/>
      <c r="AB84" s="139"/>
      <c r="AC84" s="15"/>
    </row>
    <row r="85" spans="1:29" ht="29.25" customHeight="1" x14ac:dyDescent="0.2">
      <c r="A85" s="399" t="s">
        <v>135</v>
      </c>
      <c r="B85" s="168" t="s">
        <v>584</v>
      </c>
      <c r="C85" s="169" t="s">
        <v>3433</v>
      </c>
      <c r="D85" s="856">
        <f t="shared" ref="D85" si="99">+F85+H85+J85+L85+N85+P85+R85</f>
        <v>0</v>
      </c>
      <c r="E85" s="856">
        <f t="shared" ref="E85" si="100">+G85+I85+K85+M85+O85+Q85+S85</f>
        <v>109804</v>
      </c>
      <c r="F85" s="126"/>
      <c r="G85" s="125"/>
      <c r="H85" s="125"/>
      <c r="I85" s="125">
        <v>86460</v>
      </c>
      <c r="J85" s="125"/>
      <c r="K85" s="78"/>
      <c r="L85" s="424"/>
      <c r="M85" s="125"/>
      <c r="N85" s="125"/>
      <c r="O85" s="125"/>
      <c r="P85" s="125"/>
      <c r="Q85" s="125"/>
      <c r="R85" s="125"/>
      <c r="S85" s="78">
        <v>23344</v>
      </c>
      <c r="T85" s="352">
        <f>+E85</f>
        <v>109804</v>
      </c>
      <c r="U85" s="396"/>
      <c r="V85" s="396"/>
      <c r="W85" s="396"/>
      <c r="X85" s="141"/>
      <c r="Y85" s="78" t="s">
        <v>222</v>
      </c>
      <c r="AA85" s="139"/>
      <c r="AB85" s="139"/>
      <c r="AC85" s="15"/>
    </row>
    <row r="86" spans="1:29" ht="31.5" customHeight="1" x14ac:dyDescent="0.2">
      <c r="A86" s="395" t="s">
        <v>1499</v>
      </c>
      <c r="B86" s="401" t="s">
        <v>556</v>
      </c>
      <c r="C86" s="74" t="s">
        <v>2418</v>
      </c>
      <c r="D86" s="856">
        <f t="shared" si="93"/>
        <v>9079528</v>
      </c>
      <c r="E86" s="856">
        <f t="shared" si="93"/>
        <v>9704238</v>
      </c>
      <c r="F86" s="126"/>
      <c r="G86" s="125"/>
      <c r="H86" s="125">
        <f>3225269+3923965</f>
        <v>7149234</v>
      </c>
      <c r="I86" s="125">
        <f>+H86+491898</f>
        <v>7641132</v>
      </c>
      <c r="J86" s="125"/>
      <c r="K86" s="78"/>
      <c r="L86" s="424"/>
      <c r="M86" s="125"/>
      <c r="N86" s="125"/>
      <c r="O86" s="125"/>
      <c r="P86" s="125"/>
      <c r="Q86" s="125"/>
      <c r="R86" s="125">
        <f>870823+1059471</f>
        <v>1930294</v>
      </c>
      <c r="S86" s="78">
        <f>+R86+132812</f>
        <v>2063106</v>
      </c>
      <c r="T86" s="352">
        <f t="shared" si="94"/>
        <v>9704238</v>
      </c>
      <c r="U86" s="396"/>
      <c r="V86" s="396"/>
      <c r="W86" s="396"/>
      <c r="X86" s="141"/>
      <c r="Y86" s="78" t="s">
        <v>222</v>
      </c>
      <c r="AA86" s="139"/>
      <c r="AB86" s="139"/>
      <c r="AC86" s="15"/>
    </row>
    <row r="87" spans="1:29" ht="31.5" customHeight="1" x14ac:dyDescent="0.2">
      <c r="A87" s="735" t="s">
        <v>1499</v>
      </c>
      <c r="B87" s="723" t="s">
        <v>556</v>
      </c>
      <c r="C87" s="170" t="s">
        <v>2417</v>
      </c>
      <c r="D87" s="855">
        <f t="shared" ref="D87" si="101">+F87+H87+J87+L87+N87+P87+R87</f>
        <v>0</v>
      </c>
      <c r="E87" s="855">
        <f t="shared" ref="E87" si="102">+G87+I87+K87+M87+O87+Q87+S87</f>
        <v>482600</v>
      </c>
      <c r="F87" s="172"/>
      <c r="G87" s="172"/>
      <c r="H87" s="172"/>
      <c r="I87" s="172">
        <v>380000</v>
      </c>
      <c r="J87" s="172"/>
      <c r="K87" s="194"/>
      <c r="L87" s="734"/>
      <c r="M87" s="172"/>
      <c r="N87" s="172"/>
      <c r="O87" s="172"/>
      <c r="P87" s="172"/>
      <c r="Q87" s="172"/>
      <c r="R87" s="172"/>
      <c r="S87" s="194">
        <v>102600</v>
      </c>
      <c r="T87" s="730">
        <f t="shared" si="94"/>
        <v>482600</v>
      </c>
      <c r="U87" s="372"/>
      <c r="V87" s="372"/>
      <c r="W87" s="372"/>
      <c r="X87" s="167"/>
      <c r="Y87" s="194" t="s">
        <v>222</v>
      </c>
      <c r="AA87" s="139"/>
      <c r="AB87" s="139"/>
      <c r="AC87" s="15"/>
    </row>
    <row r="88" spans="1:29" ht="31.5" customHeight="1" x14ac:dyDescent="0.2">
      <c r="A88" s="826" t="s">
        <v>1499</v>
      </c>
      <c r="B88" s="827" t="s">
        <v>556</v>
      </c>
      <c r="C88" s="71" t="s">
        <v>2432</v>
      </c>
      <c r="D88" s="856">
        <f t="shared" ref="D88" si="103">+F88+H88+J88+L88+N88+P88+R88</f>
        <v>0</v>
      </c>
      <c r="E88" s="856">
        <f t="shared" ref="E88" si="104">+G88+I88+K88+M88+O88+Q88+S88</f>
        <v>1721781</v>
      </c>
      <c r="F88" s="370"/>
      <c r="G88" s="107"/>
      <c r="H88" s="107"/>
      <c r="I88" s="107">
        <v>1355733</v>
      </c>
      <c r="J88" s="107"/>
      <c r="K88" s="77"/>
      <c r="L88" s="1392"/>
      <c r="M88" s="107"/>
      <c r="N88" s="107"/>
      <c r="O88" s="107"/>
      <c r="P88" s="107"/>
      <c r="Q88" s="107"/>
      <c r="R88" s="107"/>
      <c r="S88" s="77">
        <v>366048</v>
      </c>
      <c r="T88" s="403">
        <f t="shared" si="94"/>
        <v>1721781</v>
      </c>
      <c r="U88" s="142"/>
      <c r="V88" s="142"/>
      <c r="W88" s="142"/>
      <c r="X88" s="108"/>
      <c r="Y88" s="77" t="s">
        <v>222</v>
      </c>
      <c r="AA88" s="139"/>
      <c r="AB88" s="139"/>
      <c r="AC88" s="15"/>
    </row>
    <row r="89" spans="1:29" ht="24.75" customHeight="1" x14ac:dyDescent="0.2">
      <c r="A89" s="400" t="s">
        <v>440</v>
      </c>
      <c r="B89" s="168" t="s">
        <v>74</v>
      </c>
      <c r="C89" s="74" t="s">
        <v>586</v>
      </c>
      <c r="D89" s="856">
        <f t="shared" si="93"/>
        <v>889000</v>
      </c>
      <c r="E89" s="856">
        <f t="shared" si="93"/>
        <v>489000</v>
      </c>
      <c r="F89" s="126"/>
      <c r="G89" s="125"/>
      <c r="H89" s="125"/>
      <c r="I89" s="125"/>
      <c r="J89" s="125">
        <v>400000</v>
      </c>
      <c r="K89" s="78">
        <f>+J89-400000</f>
        <v>0</v>
      </c>
      <c r="L89" s="424">
        <v>300000</v>
      </c>
      <c r="M89" s="125">
        <f>+L89</f>
        <v>300000</v>
      </c>
      <c r="N89" s="125"/>
      <c r="O89" s="125"/>
      <c r="P89" s="125"/>
      <c r="Q89" s="125"/>
      <c r="R89" s="125">
        <v>189000</v>
      </c>
      <c r="S89" s="78">
        <f>+R89</f>
        <v>189000</v>
      </c>
      <c r="T89" s="352">
        <f t="shared" si="94"/>
        <v>489000</v>
      </c>
      <c r="U89" s="396"/>
      <c r="V89" s="396"/>
      <c r="W89" s="396"/>
      <c r="X89" s="396"/>
      <c r="Y89" s="78" t="s">
        <v>222</v>
      </c>
      <c r="AA89" s="139"/>
      <c r="AB89" s="139"/>
      <c r="AC89" s="15"/>
    </row>
    <row r="90" spans="1:29" ht="24.75" customHeight="1" x14ac:dyDescent="0.2">
      <c r="A90" s="400" t="s">
        <v>538</v>
      </c>
      <c r="B90" s="168" t="s">
        <v>74</v>
      </c>
      <c r="C90" s="169" t="s">
        <v>877</v>
      </c>
      <c r="D90" s="856">
        <f t="shared" si="93"/>
        <v>127000</v>
      </c>
      <c r="E90" s="856">
        <f t="shared" si="93"/>
        <v>127000</v>
      </c>
      <c r="F90" s="126"/>
      <c r="G90" s="125"/>
      <c r="H90" s="125"/>
      <c r="I90" s="125"/>
      <c r="J90" s="125"/>
      <c r="K90" s="78"/>
      <c r="L90" s="424">
        <v>100000</v>
      </c>
      <c r="M90" s="125">
        <f>+L90</f>
        <v>100000</v>
      </c>
      <c r="N90" s="125"/>
      <c r="O90" s="125"/>
      <c r="P90" s="125"/>
      <c r="Q90" s="125"/>
      <c r="R90" s="125">
        <v>27000</v>
      </c>
      <c r="S90" s="78">
        <f>+R90</f>
        <v>27000</v>
      </c>
      <c r="T90" s="352">
        <f t="shared" ref="T90:T114" si="105">+D90</f>
        <v>127000</v>
      </c>
      <c r="U90" s="396"/>
      <c r="V90" s="396"/>
      <c r="W90" s="396"/>
      <c r="X90" s="396"/>
      <c r="Y90" s="78" t="s">
        <v>222</v>
      </c>
      <c r="AA90" s="139"/>
      <c r="AB90" s="139"/>
      <c r="AC90" s="15"/>
    </row>
    <row r="91" spans="1:29" ht="24.75" customHeight="1" x14ac:dyDescent="0.2">
      <c r="A91" s="400" t="s">
        <v>1979</v>
      </c>
      <c r="B91" s="168" t="s">
        <v>1980</v>
      </c>
      <c r="C91" s="169" t="s">
        <v>2221</v>
      </c>
      <c r="D91" s="856">
        <f t="shared" ref="D91" si="106">+F91+H91+J91+L91+N91+P91+R91</f>
        <v>0</v>
      </c>
      <c r="E91" s="856">
        <f t="shared" ref="E91" si="107">+G91+I91+K91+M91+O91+Q91+S91</f>
        <v>1851025</v>
      </c>
      <c r="F91" s="126"/>
      <c r="G91" s="125"/>
      <c r="H91" s="125"/>
      <c r="I91" s="125"/>
      <c r="J91" s="125"/>
      <c r="K91" s="78"/>
      <c r="L91" s="424"/>
      <c r="M91" s="125">
        <f>265000+795000+397500</f>
        <v>1457500</v>
      </c>
      <c r="N91" s="125"/>
      <c r="O91" s="125"/>
      <c r="P91" s="125"/>
      <c r="Q91" s="125"/>
      <c r="R91" s="125"/>
      <c r="S91" s="78">
        <f>71550+214650+107325</f>
        <v>393525</v>
      </c>
      <c r="T91" s="352">
        <f t="shared" ref="T91:T95" si="108">+E91</f>
        <v>1851025</v>
      </c>
      <c r="U91" s="396"/>
      <c r="V91" s="396"/>
      <c r="W91" s="396"/>
      <c r="X91" s="396"/>
      <c r="Y91" s="78" t="s">
        <v>222</v>
      </c>
      <c r="AA91" s="139"/>
      <c r="AB91" s="139"/>
      <c r="AC91" s="15"/>
    </row>
    <row r="92" spans="1:29" ht="24.75" customHeight="1" x14ac:dyDescent="0.2">
      <c r="A92" s="399" t="s">
        <v>587</v>
      </c>
      <c r="B92" s="168" t="s">
        <v>589</v>
      </c>
      <c r="C92" s="169" t="s">
        <v>588</v>
      </c>
      <c r="D92" s="856">
        <f t="shared" si="93"/>
        <v>1000000</v>
      </c>
      <c r="E92" s="856">
        <f t="shared" si="93"/>
        <v>769608</v>
      </c>
      <c r="F92" s="126"/>
      <c r="G92" s="125"/>
      <c r="H92" s="125"/>
      <c r="I92" s="125"/>
      <c r="J92" s="125"/>
      <c r="K92" s="78"/>
      <c r="L92" s="424">
        <v>787402</v>
      </c>
      <c r="M92" s="125">
        <f>+L92-219402</f>
        <v>568000</v>
      </c>
      <c r="N92" s="125"/>
      <c r="O92" s="125"/>
      <c r="P92" s="125"/>
      <c r="Q92" s="125"/>
      <c r="R92" s="125">
        <v>212598</v>
      </c>
      <c r="S92" s="78">
        <f>+R92-10990</f>
        <v>201608</v>
      </c>
      <c r="T92" s="352">
        <f t="shared" si="108"/>
        <v>769608</v>
      </c>
      <c r="U92" s="396"/>
      <c r="V92" s="396"/>
      <c r="W92" s="396"/>
      <c r="X92" s="396"/>
      <c r="Y92" s="78" t="s">
        <v>222</v>
      </c>
      <c r="AA92" s="139"/>
      <c r="AB92" s="139"/>
      <c r="AC92" s="15"/>
    </row>
    <row r="93" spans="1:29" ht="24.75" customHeight="1" x14ac:dyDescent="0.2">
      <c r="A93" s="400" t="s">
        <v>812</v>
      </c>
      <c r="B93" s="168" t="s">
        <v>813</v>
      </c>
      <c r="C93" s="74" t="s">
        <v>3220</v>
      </c>
      <c r="D93" s="856">
        <f t="shared" si="93"/>
        <v>0</v>
      </c>
      <c r="E93" s="856">
        <f t="shared" si="93"/>
        <v>203708</v>
      </c>
      <c r="F93" s="126"/>
      <c r="G93" s="125"/>
      <c r="H93" s="125"/>
      <c r="I93" s="125"/>
      <c r="J93" s="125"/>
      <c r="K93" s="78"/>
      <c r="L93" s="424"/>
      <c r="M93" s="125">
        <v>160400</v>
      </c>
      <c r="N93" s="125"/>
      <c r="O93" s="125"/>
      <c r="P93" s="125"/>
      <c r="Q93" s="125"/>
      <c r="R93" s="125"/>
      <c r="S93" s="78">
        <v>43308</v>
      </c>
      <c r="T93" s="352">
        <f t="shared" si="108"/>
        <v>203708</v>
      </c>
      <c r="U93" s="396"/>
      <c r="V93" s="396"/>
      <c r="W93" s="396"/>
      <c r="X93" s="396"/>
      <c r="Y93" s="80" t="s">
        <v>222</v>
      </c>
      <c r="AA93" s="139"/>
      <c r="AB93" s="139"/>
      <c r="AC93" s="15"/>
    </row>
    <row r="94" spans="1:29" ht="24.75" customHeight="1" x14ac:dyDescent="0.2">
      <c r="A94" s="400" t="s">
        <v>812</v>
      </c>
      <c r="B94" s="168" t="s">
        <v>813</v>
      </c>
      <c r="C94" s="74" t="s">
        <v>3280</v>
      </c>
      <c r="D94" s="856">
        <f t="shared" ref="D94" si="109">+F94+H94+J94+L94+N94+P94+R94</f>
        <v>0</v>
      </c>
      <c r="E94" s="856">
        <f t="shared" ref="E94" si="110">+G94+I94+K94+M94+O94+Q94+S94</f>
        <v>850900</v>
      </c>
      <c r="F94" s="126"/>
      <c r="G94" s="125"/>
      <c r="H94" s="125"/>
      <c r="I94" s="125"/>
      <c r="J94" s="125"/>
      <c r="K94" s="78"/>
      <c r="L94" s="424"/>
      <c r="M94" s="125">
        <v>670000</v>
      </c>
      <c r="N94" s="125"/>
      <c r="O94" s="125"/>
      <c r="P94" s="125"/>
      <c r="Q94" s="125"/>
      <c r="R94" s="125"/>
      <c r="S94" s="78">
        <v>180900</v>
      </c>
      <c r="T94" s="352">
        <f t="shared" si="108"/>
        <v>850900</v>
      </c>
      <c r="U94" s="396"/>
      <c r="V94" s="396"/>
      <c r="W94" s="396"/>
      <c r="X94" s="396"/>
      <c r="Y94" s="80" t="s">
        <v>222</v>
      </c>
      <c r="AA94" s="139"/>
      <c r="AB94" s="139"/>
      <c r="AC94" s="15"/>
    </row>
    <row r="95" spans="1:29" ht="24.75" customHeight="1" x14ac:dyDescent="0.2">
      <c r="A95" s="400" t="s">
        <v>853</v>
      </c>
      <c r="B95" s="168" t="s">
        <v>854</v>
      </c>
      <c r="C95" s="74" t="s">
        <v>1494</v>
      </c>
      <c r="D95" s="856">
        <f t="shared" si="93"/>
        <v>1409700</v>
      </c>
      <c r="E95" s="856">
        <f t="shared" si="93"/>
        <v>11409700</v>
      </c>
      <c r="F95" s="126">
        <v>1110000</v>
      </c>
      <c r="G95" s="125">
        <f>+F95+7874016</f>
        <v>8984016</v>
      </c>
      <c r="H95" s="125"/>
      <c r="I95" s="125"/>
      <c r="J95" s="125"/>
      <c r="K95" s="78"/>
      <c r="L95" s="424"/>
      <c r="M95" s="125"/>
      <c r="N95" s="125"/>
      <c r="O95" s="125"/>
      <c r="P95" s="125"/>
      <c r="Q95" s="125"/>
      <c r="R95" s="125">
        <v>299700</v>
      </c>
      <c r="S95" s="78">
        <f>+R95+2125984</f>
        <v>2425684</v>
      </c>
      <c r="T95" s="352">
        <f t="shared" si="108"/>
        <v>11409700</v>
      </c>
      <c r="U95" s="396"/>
      <c r="V95" s="396"/>
      <c r="W95" s="396"/>
      <c r="X95" s="396"/>
      <c r="Y95" s="78" t="s">
        <v>222</v>
      </c>
      <c r="AA95" s="139"/>
      <c r="AB95" s="139"/>
      <c r="AC95" s="15"/>
    </row>
    <row r="96" spans="1:29" ht="37.5" customHeight="1" x14ac:dyDescent="0.2">
      <c r="A96" s="400" t="s">
        <v>853</v>
      </c>
      <c r="B96" s="168" t="s">
        <v>854</v>
      </c>
      <c r="C96" s="169" t="s">
        <v>1292</v>
      </c>
      <c r="D96" s="856">
        <f t="shared" si="93"/>
        <v>0</v>
      </c>
      <c r="E96" s="856">
        <f t="shared" si="93"/>
        <v>0</v>
      </c>
      <c r="F96" s="126"/>
      <c r="G96" s="125"/>
      <c r="H96" s="125"/>
      <c r="I96" s="125"/>
      <c r="J96" s="125"/>
      <c r="K96" s="78"/>
      <c r="L96" s="424"/>
      <c r="M96" s="125"/>
      <c r="N96" s="125"/>
      <c r="O96" s="125"/>
      <c r="P96" s="125"/>
      <c r="Q96" s="125"/>
      <c r="R96" s="125"/>
      <c r="S96" s="78"/>
      <c r="T96" s="352">
        <f t="shared" si="105"/>
        <v>0</v>
      </c>
      <c r="U96" s="396"/>
      <c r="V96" s="396"/>
      <c r="W96" s="396"/>
      <c r="X96" s="396"/>
      <c r="Y96" s="78" t="s">
        <v>222</v>
      </c>
      <c r="AA96" s="139"/>
      <c r="AB96" s="139"/>
      <c r="AC96" s="15"/>
    </row>
    <row r="97" spans="1:29" ht="24.75" customHeight="1" x14ac:dyDescent="0.2">
      <c r="A97" s="399" t="s">
        <v>442</v>
      </c>
      <c r="B97" s="168" t="s">
        <v>590</v>
      </c>
      <c r="C97" s="169" t="s">
        <v>2293</v>
      </c>
      <c r="D97" s="856">
        <f t="shared" si="93"/>
        <v>254000</v>
      </c>
      <c r="E97" s="856">
        <f t="shared" si="93"/>
        <v>381000</v>
      </c>
      <c r="F97" s="126"/>
      <c r="G97" s="125"/>
      <c r="H97" s="125"/>
      <c r="I97" s="125">
        <v>100000</v>
      </c>
      <c r="J97" s="125"/>
      <c r="K97" s="78"/>
      <c r="L97" s="424">
        <v>200000</v>
      </c>
      <c r="M97" s="125">
        <f>+L97</f>
        <v>200000</v>
      </c>
      <c r="N97" s="125"/>
      <c r="O97" s="125"/>
      <c r="P97" s="125"/>
      <c r="Q97" s="125"/>
      <c r="R97" s="125">
        <v>54000</v>
      </c>
      <c r="S97" s="78">
        <f>+R97+27000</f>
        <v>81000</v>
      </c>
      <c r="T97" s="352">
        <f>+E97</f>
        <v>381000</v>
      </c>
      <c r="U97" s="396"/>
      <c r="V97" s="396"/>
      <c r="W97" s="396"/>
      <c r="X97" s="396"/>
      <c r="Y97" s="78" t="s">
        <v>222</v>
      </c>
      <c r="AA97" s="139">
        <f>SUM(T97:X97)</f>
        <v>381000</v>
      </c>
      <c r="AB97" s="139">
        <f>+AA97-D97</f>
        <v>127000</v>
      </c>
      <c r="AC97" s="15"/>
    </row>
    <row r="98" spans="1:29" ht="24.75" customHeight="1" x14ac:dyDescent="0.2">
      <c r="A98" s="399" t="s">
        <v>442</v>
      </c>
      <c r="B98" s="168" t="s">
        <v>590</v>
      </c>
      <c r="C98" s="169" t="s">
        <v>2294</v>
      </c>
      <c r="D98" s="856">
        <f t="shared" si="93"/>
        <v>0</v>
      </c>
      <c r="E98" s="856">
        <f t="shared" si="93"/>
        <v>0</v>
      </c>
      <c r="F98" s="126"/>
      <c r="G98" s="125"/>
      <c r="H98" s="125"/>
      <c r="I98" s="125"/>
      <c r="J98" s="125"/>
      <c r="K98" s="78"/>
      <c r="L98" s="424"/>
      <c r="M98" s="125"/>
      <c r="N98" s="125"/>
      <c r="O98" s="125"/>
      <c r="P98" s="125"/>
      <c r="Q98" s="125"/>
      <c r="R98" s="125"/>
      <c r="S98" s="78"/>
      <c r="T98" s="352">
        <f t="shared" si="105"/>
        <v>0</v>
      </c>
      <c r="U98" s="396"/>
      <c r="V98" s="396"/>
      <c r="W98" s="396"/>
      <c r="X98" s="396"/>
      <c r="Y98" s="78" t="s">
        <v>222</v>
      </c>
      <c r="AA98" s="139"/>
      <c r="AB98" s="139"/>
      <c r="AC98" s="15"/>
    </row>
    <row r="99" spans="1:29" ht="24.75" customHeight="1" x14ac:dyDescent="0.2">
      <c r="A99" s="400" t="s">
        <v>136</v>
      </c>
      <c r="B99" s="168" t="s">
        <v>626</v>
      </c>
      <c r="C99" s="74" t="s">
        <v>3369</v>
      </c>
      <c r="D99" s="856">
        <f t="shared" si="93"/>
        <v>6000000</v>
      </c>
      <c r="E99" s="856">
        <f t="shared" si="93"/>
        <v>8032000</v>
      </c>
      <c r="F99" s="126"/>
      <c r="G99" s="125"/>
      <c r="H99" s="125"/>
      <c r="I99" s="125"/>
      <c r="J99" s="125"/>
      <c r="K99" s="78">
        <v>1600000</v>
      </c>
      <c r="L99" s="424">
        <v>4724409</v>
      </c>
      <c r="M99" s="125">
        <f>+L99</f>
        <v>4724409</v>
      </c>
      <c r="N99" s="125"/>
      <c r="O99" s="125"/>
      <c r="P99" s="125"/>
      <c r="Q99" s="125"/>
      <c r="R99" s="125">
        <v>1275591</v>
      </c>
      <c r="S99" s="78">
        <f>+R99+432000</f>
        <v>1707591</v>
      </c>
      <c r="T99" s="352">
        <f>+E99</f>
        <v>8032000</v>
      </c>
      <c r="U99" s="396"/>
      <c r="V99" s="396"/>
      <c r="W99" s="396"/>
      <c r="X99" s="396"/>
      <c r="Y99" s="78" t="s">
        <v>222</v>
      </c>
      <c r="AA99" s="139"/>
      <c r="AB99" s="139"/>
      <c r="AC99" s="15"/>
    </row>
    <row r="100" spans="1:29" ht="24.75" customHeight="1" x14ac:dyDescent="0.2">
      <c r="A100" s="398" t="s">
        <v>136</v>
      </c>
      <c r="B100" s="401" t="s">
        <v>626</v>
      </c>
      <c r="C100" s="74" t="s">
        <v>2001</v>
      </c>
      <c r="D100" s="856">
        <f t="shared" si="93"/>
        <v>0</v>
      </c>
      <c r="E100" s="856">
        <f t="shared" si="93"/>
        <v>127000</v>
      </c>
      <c r="F100" s="126"/>
      <c r="G100" s="125"/>
      <c r="H100" s="125"/>
      <c r="I100" s="125"/>
      <c r="J100" s="125"/>
      <c r="K100" s="78">
        <v>100000</v>
      </c>
      <c r="L100" s="424"/>
      <c r="M100" s="125"/>
      <c r="N100" s="125"/>
      <c r="O100" s="125"/>
      <c r="P100" s="125"/>
      <c r="Q100" s="125"/>
      <c r="R100" s="125"/>
      <c r="S100" s="78">
        <v>27000</v>
      </c>
      <c r="T100" s="352">
        <f>+E100</f>
        <v>127000</v>
      </c>
      <c r="U100" s="396"/>
      <c r="V100" s="396"/>
      <c r="W100" s="396"/>
      <c r="X100" s="396"/>
      <c r="Y100" s="78" t="s">
        <v>222</v>
      </c>
      <c r="AA100" s="139"/>
      <c r="AB100" s="139"/>
      <c r="AC100" s="15"/>
    </row>
    <row r="101" spans="1:29" ht="32.25" customHeight="1" x14ac:dyDescent="0.2">
      <c r="A101" s="398" t="s">
        <v>136</v>
      </c>
      <c r="B101" s="401" t="s">
        <v>626</v>
      </c>
      <c r="C101" s="74" t="s">
        <v>2924</v>
      </c>
      <c r="D101" s="856">
        <f t="shared" ref="D101" si="111">+F101+H101+J101+L101+N101+P101+R101</f>
        <v>0</v>
      </c>
      <c r="E101" s="856">
        <f t="shared" ref="E101" si="112">+G101+I101+K101+M101+O101+Q101+S101</f>
        <v>7000000</v>
      </c>
      <c r="F101" s="126"/>
      <c r="G101" s="125"/>
      <c r="H101" s="125"/>
      <c r="I101" s="125"/>
      <c r="J101" s="125"/>
      <c r="K101" s="78"/>
      <c r="L101" s="424"/>
      <c r="M101" s="125">
        <v>5511811</v>
      </c>
      <c r="N101" s="125"/>
      <c r="O101" s="125"/>
      <c r="P101" s="125"/>
      <c r="Q101" s="125"/>
      <c r="R101" s="125"/>
      <c r="S101" s="78">
        <v>1488189</v>
      </c>
      <c r="T101" s="352">
        <f>+E101</f>
        <v>7000000</v>
      </c>
      <c r="U101" s="396"/>
      <c r="V101" s="396"/>
      <c r="W101" s="396"/>
      <c r="X101" s="396"/>
      <c r="Y101" s="78" t="s">
        <v>222</v>
      </c>
      <c r="AA101" s="139"/>
      <c r="AB101" s="139"/>
      <c r="AC101" s="15"/>
    </row>
    <row r="102" spans="1:29" ht="24.75" customHeight="1" x14ac:dyDescent="0.2">
      <c r="A102" s="398" t="s">
        <v>2794</v>
      </c>
      <c r="B102" s="401" t="s">
        <v>626</v>
      </c>
      <c r="C102" s="74" t="s">
        <v>2795</v>
      </c>
      <c r="D102" s="856">
        <f t="shared" ref="D102" si="113">+F102+H102+J102+L102+N102+P102+R102</f>
        <v>0</v>
      </c>
      <c r="E102" s="856">
        <f t="shared" ref="E102" si="114">+G102+I102+K102+M102+O102+Q102+S102</f>
        <v>76200</v>
      </c>
      <c r="F102" s="126"/>
      <c r="G102" s="125"/>
      <c r="H102" s="125"/>
      <c r="I102" s="125"/>
      <c r="J102" s="125"/>
      <c r="K102" s="78"/>
      <c r="L102" s="424"/>
      <c r="M102" s="125">
        <v>60000</v>
      </c>
      <c r="N102" s="125"/>
      <c r="O102" s="125"/>
      <c r="P102" s="125"/>
      <c r="Q102" s="125"/>
      <c r="R102" s="125"/>
      <c r="S102" s="78">
        <v>16200</v>
      </c>
      <c r="T102" s="352">
        <f>+E102</f>
        <v>76200</v>
      </c>
      <c r="U102" s="396"/>
      <c r="V102" s="396"/>
      <c r="W102" s="396"/>
      <c r="X102" s="396"/>
      <c r="Y102" s="78" t="s">
        <v>222</v>
      </c>
      <c r="AA102" s="139"/>
      <c r="AB102" s="139"/>
      <c r="AC102" s="15"/>
    </row>
    <row r="103" spans="1:29" ht="24.75" customHeight="1" x14ac:dyDescent="0.2">
      <c r="A103" s="399" t="s">
        <v>447</v>
      </c>
      <c r="B103" s="168" t="s">
        <v>542</v>
      </c>
      <c r="C103" s="169" t="s">
        <v>2292</v>
      </c>
      <c r="D103" s="856">
        <f t="shared" si="93"/>
        <v>635000</v>
      </c>
      <c r="E103" s="856">
        <f t="shared" si="93"/>
        <v>635000</v>
      </c>
      <c r="F103" s="126"/>
      <c r="G103" s="125"/>
      <c r="H103" s="125"/>
      <c r="I103" s="125"/>
      <c r="J103" s="125"/>
      <c r="K103" s="78"/>
      <c r="L103" s="424">
        <v>500000</v>
      </c>
      <c r="M103" s="125">
        <f>+L103</f>
        <v>500000</v>
      </c>
      <c r="N103" s="125"/>
      <c r="O103" s="125"/>
      <c r="P103" s="125"/>
      <c r="Q103" s="125"/>
      <c r="R103" s="125">
        <v>135000</v>
      </c>
      <c r="S103" s="78">
        <f>+R103</f>
        <v>135000</v>
      </c>
      <c r="T103" s="352">
        <f t="shared" si="105"/>
        <v>635000</v>
      </c>
      <c r="U103" s="396"/>
      <c r="V103" s="396"/>
      <c r="W103" s="396"/>
      <c r="X103" s="396"/>
      <c r="Y103" s="78" t="s">
        <v>222</v>
      </c>
      <c r="AA103" s="139">
        <f>SUM(T103:X103)</f>
        <v>635000</v>
      </c>
      <c r="AB103" s="139">
        <f>+AA103-D103</f>
        <v>0</v>
      </c>
      <c r="AC103" s="15"/>
    </row>
    <row r="104" spans="1:29" ht="24.75" customHeight="1" x14ac:dyDescent="0.2">
      <c r="A104" s="399" t="s">
        <v>447</v>
      </c>
      <c r="B104" s="168" t="s">
        <v>542</v>
      </c>
      <c r="C104" s="169" t="s">
        <v>2979</v>
      </c>
      <c r="D104" s="856">
        <f t="shared" ref="D104" si="115">+F104+H104+J104+L104+N104+P104+R104</f>
        <v>0</v>
      </c>
      <c r="E104" s="856">
        <f t="shared" ref="E104" si="116">+G104+I104+K104+M104+O104+Q104+S104</f>
        <v>614045</v>
      </c>
      <c r="F104" s="126"/>
      <c r="G104" s="125"/>
      <c r="H104" s="125"/>
      <c r="I104" s="125"/>
      <c r="J104" s="125"/>
      <c r="K104" s="78"/>
      <c r="L104" s="424"/>
      <c r="M104" s="125">
        <v>483500</v>
      </c>
      <c r="N104" s="125"/>
      <c r="O104" s="125"/>
      <c r="P104" s="125"/>
      <c r="Q104" s="125"/>
      <c r="R104" s="125"/>
      <c r="S104" s="78">
        <v>130545</v>
      </c>
      <c r="T104" s="352">
        <f t="shared" ref="T104:T109" si="117">+E104</f>
        <v>614045</v>
      </c>
      <c r="U104" s="396"/>
      <c r="V104" s="396"/>
      <c r="W104" s="396"/>
      <c r="X104" s="396"/>
      <c r="Y104" s="78" t="s">
        <v>222</v>
      </c>
      <c r="AA104" s="139"/>
      <c r="AB104" s="139"/>
      <c r="AC104" s="15"/>
    </row>
    <row r="105" spans="1:29" ht="24.75" customHeight="1" x14ac:dyDescent="0.2">
      <c r="A105" s="399" t="s">
        <v>449</v>
      </c>
      <c r="B105" s="168" t="s">
        <v>542</v>
      </c>
      <c r="C105" s="169" t="s">
        <v>591</v>
      </c>
      <c r="D105" s="856">
        <f t="shared" si="93"/>
        <v>254000</v>
      </c>
      <c r="E105" s="856">
        <f t="shared" si="93"/>
        <v>704850</v>
      </c>
      <c r="F105" s="126"/>
      <c r="G105" s="125"/>
      <c r="H105" s="125"/>
      <c r="I105" s="125"/>
      <c r="J105" s="125"/>
      <c r="K105" s="78">
        <v>20000</v>
      </c>
      <c r="L105" s="424">
        <v>200000</v>
      </c>
      <c r="M105" s="125">
        <f>+L105-20000+355000</f>
        <v>535000</v>
      </c>
      <c r="N105" s="125"/>
      <c r="O105" s="125"/>
      <c r="P105" s="125"/>
      <c r="Q105" s="125"/>
      <c r="R105" s="125">
        <v>54000</v>
      </c>
      <c r="S105" s="78">
        <f>+R105+95850</f>
        <v>149850</v>
      </c>
      <c r="T105" s="352">
        <f t="shared" si="117"/>
        <v>704850</v>
      </c>
      <c r="U105" s="396"/>
      <c r="V105" s="396"/>
      <c r="W105" s="396"/>
      <c r="X105" s="396"/>
      <c r="Y105" s="80" t="s">
        <v>222</v>
      </c>
      <c r="AA105" s="139"/>
      <c r="AB105" s="139"/>
      <c r="AC105" s="15"/>
    </row>
    <row r="106" spans="1:29" ht="24.75" customHeight="1" x14ac:dyDescent="0.2">
      <c r="A106" s="395" t="s">
        <v>449</v>
      </c>
      <c r="B106" s="401" t="s">
        <v>542</v>
      </c>
      <c r="C106" s="74" t="s">
        <v>1400</v>
      </c>
      <c r="D106" s="857">
        <f t="shared" si="93"/>
        <v>4445000</v>
      </c>
      <c r="E106" s="857">
        <f t="shared" si="93"/>
        <v>3994150</v>
      </c>
      <c r="F106" s="125"/>
      <c r="G106" s="125"/>
      <c r="H106" s="125"/>
      <c r="I106" s="125"/>
      <c r="J106" s="125"/>
      <c r="K106" s="78"/>
      <c r="L106" s="1578">
        <v>3500000</v>
      </c>
      <c r="M106" s="125">
        <f>+L106-355000</f>
        <v>3145000</v>
      </c>
      <c r="N106" s="125"/>
      <c r="O106" s="125"/>
      <c r="P106" s="125"/>
      <c r="Q106" s="125"/>
      <c r="R106" s="125">
        <v>945000</v>
      </c>
      <c r="S106" s="78">
        <f>+R106-95850</f>
        <v>849150</v>
      </c>
      <c r="T106" s="1579">
        <f t="shared" si="117"/>
        <v>3994150</v>
      </c>
      <c r="U106" s="396"/>
      <c r="V106" s="396"/>
      <c r="W106" s="396"/>
      <c r="X106" s="396"/>
      <c r="Y106" s="80" t="s">
        <v>222</v>
      </c>
      <c r="AA106" s="139"/>
      <c r="AB106" s="139"/>
      <c r="AC106" s="15"/>
    </row>
    <row r="107" spans="1:29" ht="24.75" customHeight="1" x14ac:dyDescent="0.2">
      <c r="A107" s="399" t="s">
        <v>449</v>
      </c>
      <c r="B107" s="168" t="s">
        <v>542</v>
      </c>
      <c r="C107" s="169" t="s">
        <v>2141</v>
      </c>
      <c r="D107" s="857">
        <f t="shared" ref="D107" si="118">+F107+H107+J107+L107+N107+P107+R107</f>
        <v>0</v>
      </c>
      <c r="E107" s="857">
        <f t="shared" ref="E107" si="119">+G107+I107+K107+M107+O107+Q107+S107</f>
        <v>1204595</v>
      </c>
      <c r="F107" s="125"/>
      <c r="G107" s="125"/>
      <c r="H107" s="125"/>
      <c r="I107" s="125">
        <v>948500</v>
      </c>
      <c r="J107" s="125"/>
      <c r="K107" s="78"/>
      <c r="L107" s="1578"/>
      <c r="M107" s="125"/>
      <c r="N107" s="125"/>
      <c r="O107" s="125"/>
      <c r="P107" s="125"/>
      <c r="Q107" s="125"/>
      <c r="R107" s="125"/>
      <c r="S107" s="78">
        <v>256095</v>
      </c>
      <c r="T107" s="1579">
        <f t="shared" si="117"/>
        <v>1204595</v>
      </c>
      <c r="U107" s="396"/>
      <c r="V107" s="396"/>
      <c r="W107" s="396"/>
      <c r="X107" s="396"/>
      <c r="Y107" s="80" t="s">
        <v>222</v>
      </c>
      <c r="AA107" s="139"/>
      <c r="AB107" s="139"/>
      <c r="AC107" s="15"/>
    </row>
    <row r="108" spans="1:29" ht="28.5" customHeight="1" x14ac:dyDescent="0.2">
      <c r="A108" s="826" t="s">
        <v>825</v>
      </c>
      <c r="B108" s="827" t="s">
        <v>584</v>
      </c>
      <c r="C108" s="828" t="s">
        <v>3094</v>
      </c>
      <c r="D108" s="857">
        <f t="shared" si="93"/>
        <v>0</v>
      </c>
      <c r="E108" s="857">
        <f t="shared" si="93"/>
        <v>12062800</v>
      </c>
      <c r="F108" s="125"/>
      <c r="G108" s="125"/>
      <c r="H108" s="125"/>
      <c r="I108" s="125"/>
      <c r="J108" s="125"/>
      <c r="K108" s="78"/>
      <c r="L108" s="1578"/>
      <c r="M108" s="125">
        <v>12062800</v>
      </c>
      <c r="N108" s="125"/>
      <c r="O108" s="125"/>
      <c r="P108" s="125"/>
      <c r="Q108" s="125"/>
      <c r="R108" s="125"/>
      <c r="S108" s="78"/>
      <c r="T108" s="1579">
        <f t="shared" si="117"/>
        <v>12062800</v>
      </c>
      <c r="U108" s="396"/>
      <c r="V108" s="396"/>
      <c r="W108" s="396"/>
      <c r="X108" s="141"/>
      <c r="Y108" s="78" t="s">
        <v>222</v>
      </c>
      <c r="AA108" s="139"/>
      <c r="AB108" s="139"/>
      <c r="AC108" s="15"/>
    </row>
    <row r="109" spans="1:29" ht="24.75" customHeight="1" x14ac:dyDescent="0.2">
      <c r="A109" s="826" t="s">
        <v>1859</v>
      </c>
      <c r="B109" s="827" t="s">
        <v>1861</v>
      </c>
      <c r="C109" s="828" t="s">
        <v>1893</v>
      </c>
      <c r="D109" s="857">
        <f t="shared" ref="D109" si="120">+F109+H109+J109+L109+N109+P109+R109</f>
        <v>0</v>
      </c>
      <c r="E109" s="857">
        <f t="shared" ref="E109" si="121">+G109+I109+K109+M109+O109+Q109+S109</f>
        <v>16990</v>
      </c>
      <c r="F109" s="125"/>
      <c r="G109" s="125"/>
      <c r="H109" s="125"/>
      <c r="I109" s="125"/>
      <c r="J109" s="125"/>
      <c r="K109" s="78"/>
      <c r="L109" s="1578"/>
      <c r="M109" s="125">
        <v>13378</v>
      </c>
      <c r="N109" s="125"/>
      <c r="O109" s="125"/>
      <c r="P109" s="125"/>
      <c r="Q109" s="125"/>
      <c r="R109" s="125"/>
      <c r="S109" s="78">
        <v>3612</v>
      </c>
      <c r="T109" s="403">
        <f t="shared" si="117"/>
        <v>16990</v>
      </c>
      <c r="U109" s="142"/>
      <c r="V109" s="142"/>
      <c r="W109" s="142"/>
      <c r="X109" s="403"/>
      <c r="Y109" s="77" t="s">
        <v>223</v>
      </c>
      <c r="AA109" s="139"/>
      <c r="AB109" s="139"/>
      <c r="AC109" s="15"/>
    </row>
    <row r="110" spans="1:29" ht="28.5" customHeight="1" x14ac:dyDescent="0.2">
      <c r="A110" s="395" t="s">
        <v>526</v>
      </c>
      <c r="B110" s="401" t="s">
        <v>64</v>
      </c>
      <c r="C110" s="74" t="s">
        <v>2290</v>
      </c>
      <c r="D110" s="856">
        <f t="shared" si="93"/>
        <v>25480401</v>
      </c>
      <c r="E110" s="856">
        <f t="shared" si="93"/>
        <v>25480401</v>
      </c>
      <c r="F110" s="126"/>
      <c r="G110" s="125"/>
      <c r="H110" s="125">
        <f>1000000+19063308</f>
        <v>20063308</v>
      </c>
      <c r="I110" s="125">
        <f>+H110</f>
        <v>20063308</v>
      </c>
      <c r="J110" s="125"/>
      <c r="K110" s="78"/>
      <c r="L110" s="424"/>
      <c r="M110" s="125"/>
      <c r="N110" s="125"/>
      <c r="O110" s="125"/>
      <c r="P110" s="125"/>
      <c r="Q110" s="125"/>
      <c r="R110" s="125">
        <f>270000+5147093</f>
        <v>5417093</v>
      </c>
      <c r="S110" s="78">
        <f>+R110</f>
        <v>5417093</v>
      </c>
      <c r="T110" s="352">
        <f t="shared" si="105"/>
        <v>25480401</v>
      </c>
      <c r="U110" s="396"/>
      <c r="V110" s="396"/>
      <c r="W110" s="396"/>
      <c r="X110" s="352"/>
      <c r="Y110" s="78" t="s">
        <v>223</v>
      </c>
      <c r="AA110" s="139"/>
      <c r="AB110" s="139"/>
      <c r="AC110" s="15"/>
    </row>
    <row r="111" spans="1:29" ht="27.75" customHeight="1" x14ac:dyDescent="0.2">
      <c r="A111" s="735" t="s">
        <v>526</v>
      </c>
      <c r="B111" s="723" t="s">
        <v>64</v>
      </c>
      <c r="C111" s="170" t="s">
        <v>2291</v>
      </c>
      <c r="D111" s="855">
        <f t="shared" si="93"/>
        <v>381000</v>
      </c>
      <c r="E111" s="855">
        <f t="shared" si="93"/>
        <v>2506790</v>
      </c>
      <c r="F111" s="172"/>
      <c r="G111" s="172"/>
      <c r="H111" s="172"/>
      <c r="I111" s="172"/>
      <c r="J111" s="172"/>
      <c r="K111" s="194">
        <v>300000</v>
      </c>
      <c r="L111" s="734">
        <v>300000</v>
      </c>
      <c r="M111" s="172">
        <f>+L111+1037630+400000</f>
        <v>1737630</v>
      </c>
      <c r="N111" s="172"/>
      <c r="O111" s="172"/>
      <c r="P111" s="172"/>
      <c r="Q111" s="172"/>
      <c r="R111" s="172">
        <v>81000</v>
      </c>
      <c r="S111" s="194">
        <f>+R111+280160+108000</f>
        <v>469160</v>
      </c>
      <c r="T111" s="730">
        <f>+E111</f>
        <v>2506790</v>
      </c>
      <c r="U111" s="372"/>
      <c r="V111" s="372"/>
      <c r="W111" s="372"/>
      <c r="X111" s="730"/>
      <c r="Y111" s="368" t="s">
        <v>223</v>
      </c>
      <c r="AA111" s="139"/>
      <c r="AB111" s="139"/>
      <c r="AC111" s="15"/>
    </row>
    <row r="112" spans="1:29" ht="27.75" customHeight="1" x14ac:dyDescent="0.2">
      <c r="A112" s="826" t="s">
        <v>1862</v>
      </c>
      <c r="B112" s="827" t="s">
        <v>813</v>
      </c>
      <c r="C112" s="828" t="s">
        <v>2222</v>
      </c>
      <c r="D112" s="856">
        <f t="shared" ref="D112" si="122">+F112+H112+J112+L112+N112+P112+R112</f>
        <v>0</v>
      </c>
      <c r="E112" s="856">
        <f t="shared" ref="E112" si="123">+G112+I112+K112+M112+O112+Q112+S112</f>
        <v>388112</v>
      </c>
      <c r="F112" s="370"/>
      <c r="G112" s="107"/>
      <c r="H112" s="107"/>
      <c r="I112" s="107">
        <v>305600</v>
      </c>
      <c r="J112" s="107"/>
      <c r="K112" s="77"/>
      <c r="L112" s="1392"/>
      <c r="M112" s="107"/>
      <c r="N112" s="107"/>
      <c r="O112" s="107"/>
      <c r="P112" s="107"/>
      <c r="Q112" s="107"/>
      <c r="R112" s="107"/>
      <c r="S112" s="77">
        <v>82512</v>
      </c>
      <c r="T112" s="403">
        <f>+E112</f>
        <v>388112</v>
      </c>
      <c r="U112" s="142"/>
      <c r="V112" s="142"/>
      <c r="W112" s="142"/>
      <c r="X112" s="1690"/>
      <c r="Y112" s="356" t="s">
        <v>223</v>
      </c>
      <c r="AA112" s="139"/>
      <c r="AB112" s="139"/>
      <c r="AC112" s="15"/>
    </row>
    <row r="113" spans="1:29" ht="24.75" customHeight="1" x14ac:dyDescent="0.2">
      <c r="A113" s="398" t="s">
        <v>1249</v>
      </c>
      <c r="B113" s="401" t="s">
        <v>167</v>
      </c>
      <c r="C113" s="74" t="s">
        <v>2223</v>
      </c>
      <c r="D113" s="857">
        <f t="shared" si="93"/>
        <v>0</v>
      </c>
      <c r="E113" s="857">
        <f t="shared" si="93"/>
        <v>0</v>
      </c>
      <c r="F113" s="125"/>
      <c r="G113" s="125"/>
      <c r="H113" s="125"/>
      <c r="I113" s="125"/>
      <c r="J113" s="125"/>
      <c r="K113" s="78"/>
      <c r="L113" s="424"/>
      <c r="M113" s="125"/>
      <c r="N113" s="125"/>
      <c r="O113" s="125"/>
      <c r="P113" s="125"/>
      <c r="Q113" s="125"/>
      <c r="R113" s="125"/>
      <c r="S113" s="78"/>
      <c r="T113" s="352">
        <f t="shared" si="105"/>
        <v>0</v>
      </c>
      <c r="U113" s="396"/>
      <c r="V113" s="141"/>
      <c r="W113" s="396"/>
      <c r="X113" s="888"/>
      <c r="Y113" s="80" t="s">
        <v>222</v>
      </c>
      <c r="AA113" s="139"/>
      <c r="AB113" s="139"/>
      <c r="AC113" s="15"/>
    </row>
    <row r="114" spans="1:29" ht="37.5" customHeight="1" x14ac:dyDescent="0.2">
      <c r="A114" s="398" t="s">
        <v>1249</v>
      </c>
      <c r="B114" s="401" t="s">
        <v>167</v>
      </c>
      <c r="C114" s="74" t="s">
        <v>2093</v>
      </c>
      <c r="D114" s="857">
        <f t="shared" si="93"/>
        <v>19139399</v>
      </c>
      <c r="E114" s="857">
        <f t="shared" si="93"/>
        <v>19139399</v>
      </c>
      <c r="F114" s="125"/>
      <c r="G114" s="125"/>
      <c r="H114" s="125">
        <f>1000000+14070393</f>
        <v>15070393</v>
      </c>
      <c r="I114" s="125">
        <f>+H114</f>
        <v>15070393</v>
      </c>
      <c r="J114" s="125"/>
      <c r="K114" s="78"/>
      <c r="L114" s="424"/>
      <c r="M114" s="125"/>
      <c r="N114" s="125"/>
      <c r="O114" s="125"/>
      <c r="P114" s="125"/>
      <c r="Q114" s="125"/>
      <c r="R114" s="125">
        <f>270000+3799006</f>
        <v>4069006</v>
      </c>
      <c r="S114" s="78">
        <f>+R114</f>
        <v>4069006</v>
      </c>
      <c r="T114" s="352">
        <f t="shared" si="105"/>
        <v>19139399</v>
      </c>
      <c r="U114" s="396"/>
      <c r="V114" s="141"/>
      <c r="W114" s="396"/>
      <c r="X114" s="888"/>
      <c r="Y114" s="80" t="s">
        <v>222</v>
      </c>
      <c r="AA114" s="139"/>
      <c r="AB114" s="139"/>
      <c r="AC114" s="15"/>
    </row>
    <row r="115" spans="1:29" ht="33" customHeight="1" x14ac:dyDescent="0.2">
      <c r="A115" s="425" t="s">
        <v>1249</v>
      </c>
      <c r="B115" s="427" t="s">
        <v>167</v>
      </c>
      <c r="C115" s="71" t="s">
        <v>2094</v>
      </c>
      <c r="D115" s="857">
        <f t="shared" ref="D115" si="124">+F115+H115+J115+L115+N115+P115+R115</f>
        <v>0</v>
      </c>
      <c r="E115" s="857">
        <f t="shared" ref="E115" si="125">+G115+I115+K115+M115+O115+Q115+S115</f>
        <v>491490</v>
      </c>
      <c r="F115" s="125"/>
      <c r="G115" s="125"/>
      <c r="H115" s="125"/>
      <c r="I115" s="125">
        <v>387000</v>
      </c>
      <c r="J115" s="125"/>
      <c r="K115" s="78"/>
      <c r="L115" s="424"/>
      <c r="M115" s="125"/>
      <c r="N115" s="125"/>
      <c r="O115" s="125"/>
      <c r="P115" s="125"/>
      <c r="Q115" s="125"/>
      <c r="R115" s="125"/>
      <c r="S115" s="78">
        <v>104490</v>
      </c>
      <c r="T115" s="352">
        <f t="shared" ref="T115:T124" si="126">+E115</f>
        <v>491490</v>
      </c>
      <c r="U115" s="396"/>
      <c r="V115" s="141"/>
      <c r="W115" s="396"/>
      <c r="X115" s="888"/>
      <c r="Y115" s="80" t="s">
        <v>222</v>
      </c>
      <c r="AA115" s="139"/>
      <c r="AB115" s="139"/>
      <c r="AC115" s="15"/>
    </row>
    <row r="116" spans="1:29" ht="33" customHeight="1" x14ac:dyDescent="0.2">
      <c r="A116" s="425" t="s">
        <v>1249</v>
      </c>
      <c r="B116" s="427" t="s">
        <v>167</v>
      </c>
      <c r="C116" s="71" t="s">
        <v>2523</v>
      </c>
      <c r="D116" s="857">
        <f t="shared" ref="D116" si="127">+F116+H116+J116+L116+N116+P116+R116</f>
        <v>0</v>
      </c>
      <c r="E116" s="857">
        <f t="shared" ref="E116" si="128">+G116+I116+K116+M116+O116+Q116+S116</f>
        <v>1141561</v>
      </c>
      <c r="F116" s="125"/>
      <c r="G116" s="125"/>
      <c r="H116" s="125"/>
      <c r="I116" s="125">
        <v>898867</v>
      </c>
      <c r="J116" s="125"/>
      <c r="K116" s="78"/>
      <c r="L116" s="424"/>
      <c r="M116" s="125"/>
      <c r="N116" s="125"/>
      <c r="O116" s="125"/>
      <c r="P116" s="125"/>
      <c r="Q116" s="125"/>
      <c r="R116" s="125"/>
      <c r="S116" s="78">
        <v>242694</v>
      </c>
      <c r="T116" s="352">
        <f t="shared" si="126"/>
        <v>1141561</v>
      </c>
      <c r="U116" s="396"/>
      <c r="V116" s="141"/>
      <c r="W116" s="396"/>
      <c r="X116" s="888"/>
      <c r="Y116" s="80" t="s">
        <v>222</v>
      </c>
      <c r="AA116" s="139"/>
      <c r="AB116" s="139"/>
      <c r="AC116" s="15"/>
    </row>
    <row r="117" spans="1:29" ht="33" customHeight="1" x14ac:dyDescent="0.2">
      <c r="A117" s="425" t="s">
        <v>3188</v>
      </c>
      <c r="B117" s="427" t="s">
        <v>74</v>
      </c>
      <c r="C117" s="71" t="s">
        <v>3189</v>
      </c>
      <c r="D117" s="857">
        <f t="shared" ref="D117" si="129">+F117+H117+J117+L117+N117+P117+R117</f>
        <v>0</v>
      </c>
      <c r="E117" s="857">
        <f t="shared" ref="E117" si="130">+G117+I117+K117+M117+O117+Q117+S117</f>
        <v>8172450</v>
      </c>
      <c r="F117" s="125"/>
      <c r="G117" s="125">
        <v>6435000</v>
      </c>
      <c r="H117" s="125"/>
      <c r="I117" s="125"/>
      <c r="J117" s="125"/>
      <c r="K117" s="78"/>
      <c r="L117" s="424"/>
      <c r="M117" s="125"/>
      <c r="N117" s="125"/>
      <c r="O117" s="125"/>
      <c r="P117" s="125"/>
      <c r="Q117" s="125"/>
      <c r="R117" s="125"/>
      <c r="S117" s="78">
        <v>1737450</v>
      </c>
      <c r="T117" s="352">
        <f>+E117</f>
        <v>8172450</v>
      </c>
      <c r="U117" s="396"/>
      <c r="V117" s="141"/>
      <c r="W117" s="396"/>
      <c r="X117" s="888"/>
      <c r="Y117" s="80" t="s">
        <v>223</v>
      </c>
      <c r="AA117" s="139"/>
      <c r="AB117" s="139"/>
      <c r="AC117" s="15"/>
    </row>
    <row r="118" spans="1:29" ht="33" customHeight="1" x14ac:dyDescent="0.2">
      <c r="A118" s="425" t="s">
        <v>2435</v>
      </c>
      <c r="B118" s="427" t="s">
        <v>545</v>
      </c>
      <c r="C118" s="71" t="s">
        <v>2653</v>
      </c>
      <c r="D118" s="857">
        <f t="shared" ref="D118" si="131">+F118+H118+J118+L118+N118+P118+R118</f>
        <v>0</v>
      </c>
      <c r="E118" s="857">
        <f t="shared" ref="E118" si="132">+G118+I118+K118+M118+O118+Q118+S118</f>
        <v>31735814</v>
      </c>
      <c r="F118" s="125"/>
      <c r="G118" s="125"/>
      <c r="H118" s="125"/>
      <c r="I118" s="125">
        <f>14996370+2919186+7073274</f>
        <v>24988830</v>
      </c>
      <c r="J118" s="125"/>
      <c r="K118" s="78"/>
      <c r="L118" s="424"/>
      <c r="M118" s="125"/>
      <c r="N118" s="125"/>
      <c r="O118" s="125"/>
      <c r="P118" s="125"/>
      <c r="Q118" s="125"/>
      <c r="R118" s="125"/>
      <c r="S118" s="78">
        <f>4049020+788180+1909784</f>
        <v>6746984</v>
      </c>
      <c r="T118" s="352">
        <f t="shared" si="126"/>
        <v>31735814</v>
      </c>
      <c r="U118" s="396"/>
      <c r="V118" s="141"/>
      <c r="W118" s="396"/>
      <c r="X118" s="888"/>
      <c r="Y118" s="80" t="s">
        <v>222</v>
      </c>
      <c r="AA118" s="139"/>
      <c r="AB118" s="139"/>
      <c r="AC118" s="15"/>
    </row>
    <row r="119" spans="1:29" ht="28.5" customHeight="1" x14ac:dyDescent="0.2">
      <c r="A119" s="425" t="s">
        <v>2435</v>
      </c>
      <c r="B119" s="427" t="s">
        <v>545</v>
      </c>
      <c r="C119" s="71" t="s">
        <v>3288</v>
      </c>
      <c r="D119" s="857">
        <f t="shared" ref="D119" si="133">+F119+H119+J119+L119+N119+P119+R119</f>
        <v>0</v>
      </c>
      <c r="E119" s="857">
        <f t="shared" ref="E119" si="134">+G119+I119+K119+M119+O119+Q119+S119</f>
        <v>13413471</v>
      </c>
      <c r="F119" s="125"/>
      <c r="G119" s="125"/>
      <c r="H119" s="125"/>
      <c r="I119" s="125">
        <f>678000+9883788</f>
        <v>10561788</v>
      </c>
      <c r="J119" s="125"/>
      <c r="K119" s="78"/>
      <c r="L119" s="424"/>
      <c r="M119" s="125"/>
      <c r="N119" s="125"/>
      <c r="O119" s="125"/>
      <c r="P119" s="125"/>
      <c r="Q119" s="125"/>
      <c r="R119" s="125"/>
      <c r="S119" s="78">
        <f>183060+2668623</f>
        <v>2851683</v>
      </c>
      <c r="T119" s="352">
        <f>+E119</f>
        <v>13413471</v>
      </c>
      <c r="U119" s="396"/>
      <c r="V119" s="141"/>
      <c r="W119" s="396"/>
      <c r="X119" s="888"/>
      <c r="Y119" s="80" t="s">
        <v>222</v>
      </c>
      <c r="AA119" s="139"/>
      <c r="AB119" s="139"/>
      <c r="AC119" s="15"/>
    </row>
    <row r="120" spans="1:29" ht="33" customHeight="1" x14ac:dyDescent="0.2">
      <c r="A120" s="425" t="s">
        <v>1501</v>
      </c>
      <c r="B120" s="427" t="s">
        <v>1502</v>
      </c>
      <c r="C120" s="71" t="s">
        <v>2352</v>
      </c>
      <c r="D120" s="857">
        <f t="shared" ref="D120" si="135">+F120+H120+J120+L120+N120+P120+R120</f>
        <v>0</v>
      </c>
      <c r="E120" s="857">
        <f t="shared" ref="E120" si="136">+G120+I120+K120+M120+O120+Q120+S120</f>
        <v>18290576</v>
      </c>
      <c r="F120" s="125"/>
      <c r="G120" s="125"/>
      <c r="H120" s="125"/>
      <c r="I120" s="125">
        <f>14000000+62492+339536</f>
        <v>14402028</v>
      </c>
      <c r="J120" s="125"/>
      <c r="K120" s="78"/>
      <c r="L120" s="424"/>
      <c r="M120" s="125"/>
      <c r="N120" s="125"/>
      <c r="O120" s="125"/>
      <c r="P120" s="125"/>
      <c r="Q120" s="125"/>
      <c r="R120" s="125"/>
      <c r="S120" s="78">
        <f>3780000+16873+91675</f>
        <v>3888548</v>
      </c>
      <c r="T120" s="352">
        <f t="shared" si="126"/>
        <v>18290576</v>
      </c>
      <c r="U120" s="396"/>
      <c r="V120" s="141"/>
      <c r="W120" s="396"/>
      <c r="X120" s="888"/>
      <c r="Y120" s="80" t="s">
        <v>222</v>
      </c>
      <c r="AA120" s="139"/>
      <c r="AB120" s="139"/>
      <c r="AC120" s="15"/>
    </row>
    <row r="121" spans="1:29" ht="33" customHeight="1" x14ac:dyDescent="0.2">
      <c r="A121" s="425" t="s">
        <v>1501</v>
      </c>
      <c r="B121" s="427" t="s">
        <v>1502</v>
      </c>
      <c r="C121" s="71" t="s">
        <v>2615</v>
      </c>
      <c r="D121" s="857">
        <f t="shared" ref="D121" si="137">+F121+H121+J121+L121+N121+P121+R121</f>
        <v>0</v>
      </c>
      <c r="E121" s="857">
        <f t="shared" ref="E121" si="138">+G121+I121+K121+M121+O121+Q121+S121</f>
        <v>252603</v>
      </c>
      <c r="F121" s="125"/>
      <c r="G121" s="125"/>
      <c r="H121" s="125"/>
      <c r="I121" s="125">
        <v>198900</v>
      </c>
      <c r="J121" s="125"/>
      <c r="K121" s="78"/>
      <c r="L121" s="424"/>
      <c r="M121" s="125"/>
      <c r="N121" s="125"/>
      <c r="O121" s="125"/>
      <c r="P121" s="125"/>
      <c r="Q121" s="125"/>
      <c r="R121" s="125"/>
      <c r="S121" s="78">
        <v>53703</v>
      </c>
      <c r="T121" s="352">
        <f t="shared" si="126"/>
        <v>252603</v>
      </c>
      <c r="U121" s="396"/>
      <c r="V121" s="141"/>
      <c r="W121" s="396"/>
      <c r="X121" s="888"/>
      <c r="Y121" s="80" t="s">
        <v>222</v>
      </c>
      <c r="AA121" s="139"/>
      <c r="AB121" s="139"/>
      <c r="AC121" s="15"/>
    </row>
    <row r="122" spans="1:29" ht="33" customHeight="1" x14ac:dyDescent="0.2">
      <c r="A122" s="425" t="s">
        <v>1501</v>
      </c>
      <c r="B122" s="427" t="s">
        <v>1502</v>
      </c>
      <c r="C122" s="71" t="s">
        <v>3303</v>
      </c>
      <c r="D122" s="857">
        <f t="shared" ref="D122" si="139">+F122+H122+J122+L122+N122+P122+R122</f>
        <v>0</v>
      </c>
      <c r="E122" s="857">
        <f t="shared" ref="E122" si="140">+G122+I122+K122+M122+O122+Q122+S122</f>
        <v>25620571</v>
      </c>
      <c r="F122" s="125"/>
      <c r="G122" s="125"/>
      <c r="H122" s="125"/>
      <c r="I122" s="125">
        <f>19973678+200000</f>
        <v>20173678</v>
      </c>
      <c r="J122" s="125"/>
      <c r="K122" s="78"/>
      <c r="L122" s="424"/>
      <c r="M122" s="125"/>
      <c r="N122" s="125"/>
      <c r="O122" s="125"/>
      <c r="P122" s="125"/>
      <c r="Q122" s="125"/>
      <c r="R122" s="125"/>
      <c r="S122" s="78">
        <f>5392893+54000</f>
        <v>5446893</v>
      </c>
      <c r="T122" s="352">
        <f>+E122</f>
        <v>25620571</v>
      </c>
      <c r="U122" s="396"/>
      <c r="V122" s="141"/>
      <c r="W122" s="396"/>
      <c r="X122" s="888"/>
      <c r="Y122" s="80" t="s">
        <v>222</v>
      </c>
      <c r="AA122" s="139"/>
      <c r="AB122" s="139"/>
      <c r="AC122" s="15"/>
    </row>
    <row r="123" spans="1:29" ht="32.25" customHeight="1" x14ac:dyDescent="0.2">
      <c r="A123" s="425" t="s">
        <v>1501</v>
      </c>
      <c r="B123" s="427" t="s">
        <v>1502</v>
      </c>
      <c r="C123" s="71" t="s">
        <v>2847</v>
      </c>
      <c r="D123" s="857">
        <f t="shared" ref="D123" si="141">+F123+H123+J123+L123+N123+P123+R123</f>
        <v>0</v>
      </c>
      <c r="E123" s="857">
        <f t="shared" ref="E123" si="142">+G123+I123+K123+M123+O123+Q123+S123</f>
        <v>2066798</v>
      </c>
      <c r="F123" s="125"/>
      <c r="G123" s="125"/>
      <c r="H123" s="125"/>
      <c r="I123" s="125">
        <v>1627400</v>
      </c>
      <c r="J123" s="125"/>
      <c r="K123" s="78"/>
      <c r="L123" s="424"/>
      <c r="M123" s="125"/>
      <c r="N123" s="125"/>
      <c r="O123" s="125"/>
      <c r="P123" s="125"/>
      <c r="Q123" s="125"/>
      <c r="R123" s="125"/>
      <c r="S123" s="78">
        <v>439398</v>
      </c>
      <c r="T123" s="352">
        <f>+E123</f>
        <v>2066798</v>
      </c>
      <c r="U123" s="396"/>
      <c r="V123" s="141"/>
      <c r="W123" s="396"/>
      <c r="X123" s="888"/>
      <c r="Y123" s="80" t="s">
        <v>222</v>
      </c>
      <c r="AA123" s="139"/>
      <c r="AB123" s="139"/>
      <c r="AC123" s="15"/>
    </row>
    <row r="124" spans="1:29" ht="33" customHeight="1" x14ac:dyDescent="0.2">
      <c r="A124" s="425" t="s">
        <v>1984</v>
      </c>
      <c r="B124" s="427" t="s">
        <v>1985</v>
      </c>
      <c r="C124" s="71" t="s">
        <v>2123</v>
      </c>
      <c r="D124" s="857">
        <f t="shared" ref="D124" si="143">+F124+H124+J124+L124+N124+P124+R124</f>
        <v>0</v>
      </c>
      <c r="E124" s="857">
        <f t="shared" ref="E124" si="144">+G124+I124+K124+M124+O124+Q124+S124</f>
        <v>226760</v>
      </c>
      <c r="F124" s="125"/>
      <c r="G124" s="125"/>
      <c r="H124" s="125"/>
      <c r="I124" s="125"/>
      <c r="J124" s="125"/>
      <c r="K124" s="78">
        <v>175000</v>
      </c>
      <c r="L124" s="424"/>
      <c r="M124" s="125">
        <f>27386+13370</f>
        <v>40756</v>
      </c>
      <c r="N124" s="125"/>
      <c r="O124" s="125"/>
      <c r="P124" s="125"/>
      <c r="Q124" s="125"/>
      <c r="R124" s="125"/>
      <c r="S124" s="78">
        <f>7394+3610</f>
        <v>11004</v>
      </c>
      <c r="T124" s="352">
        <f t="shared" si="126"/>
        <v>226760</v>
      </c>
      <c r="U124" s="396"/>
      <c r="V124" s="141"/>
      <c r="W124" s="396"/>
      <c r="X124" s="888"/>
      <c r="Y124" s="80" t="s">
        <v>223</v>
      </c>
      <c r="AA124" s="139"/>
      <c r="AB124" s="139"/>
      <c r="AC124" s="15"/>
    </row>
    <row r="125" spans="1:29" ht="54" customHeight="1" x14ac:dyDescent="0.2">
      <c r="A125" s="739" t="s">
        <v>830</v>
      </c>
      <c r="B125" s="427" t="s">
        <v>545</v>
      </c>
      <c r="C125" s="71" t="s">
        <v>1470</v>
      </c>
      <c r="D125" s="857">
        <f t="shared" si="93"/>
        <v>946756695</v>
      </c>
      <c r="E125" s="857">
        <f t="shared" si="93"/>
        <v>934076430</v>
      </c>
      <c r="F125" s="125"/>
      <c r="G125" s="125"/>
      <c r="H125" s="125">
        <f>298191085+447286628</f>
        <v>745477713</v>
      </c>
      <c r="I125" s="125">
        <f>+H125+133878717+43086614</f>
        <v>922443044</v>
      </c>
      <c r="J125" s="125"/>
      <c r="K125" s="78"/>
      <c r="L125" s="424"/>
      <c r="M125" s="125"/>
      <c r="N125" s="125"/>
      <c r="O125" s="125"/>
      <c r="P125" s="125"/>
      <c r="Q125" s="125"/>
      <c r="R125" s="125">
        <f>80511593+120767389</f>
        <v>201278982</v>
      </c>
      <c r="S125" s="78">
        <f>+R125-201278982+11633386</f>
        <v>11633386</v>
      </c>
      <c r="T125" s="352">
        <f>+E125-V125</f>
        <v>454076430</v>
      </c>
      <c r="U125" s="396"/>
      <c r="V125" s="141">
        <v>480000000</v>
      </c>
      <c r="W125" s="396"/>
      <c r="X125" s="396"/>
      <c r="Y125" s="78" t="s">
        <v>222</v>
      </c>
      <c r="AA125" s="139"/>
      <c r="AB125" s="139"/>
      <c r="AC125" s="15"/>
    </row>
    <row r="126" spans="1:29" ht="58.5" customHeight="1" x14ac:dyDescent="0.2">
      <c r="A126" s="739" t="s">
        <v>830</v>
      </c>
      <c r="B126" s="427" t="s">
        <v>545</v>
      </c>
      <c r="C126" s="71" t="s">
        <v>1519</v>
      </c>
      <c r="D126" s="857">
        <f t="shared" si="93"/>
        <v>15951200</v>
      </c>
      <c r="E126" s="857">
        <f t="shared" si="93"/>
        <v>15951200</v>
      </c>
      <c r="F126" s="125"/>
      <c r="G126" s="125"/>
      <c r="H126" s="125">
        <f>10470000+2090000</f>
        <v>12560000</v>
      </c>
      <c r="I126" s="125">
        <f>+H126</f>
        <v>12560000</v>
      </c>
      <c r="J126" s="125"/>
      <c r="K126" s="78"/>
      <c r="L126" s="424"/>
      <c r="M126" s="125"/>
      <c r="N126" s="125"/>
      <c r="O126" s="125"/>
      <c r="P126" s="125"/>
      <c r="Q126" s="125"/>
      <c r="R126" s="125">
        <f>2826900+564300</f>
        <v>3391200</v>
      </c>
      <c r="S126" s="78">
        <f>+R126</f>
        <v>3391200</v>
      </c>
      <c r="T126" s="352">
        <f t="shared" ref="T126:T136" si="145">+D126-V126</f>
        <v>15951200</v>
      </c>
      <c r="U126" s="396"/>
      <c r="V126" s="141"/>
      <c r="W126" s="396"/>
      <c r="X126" s="396"/>
      <c r="Y126" s="78" t="s">
        <v>222</v>
      </c>
      <c r="AA126" s="139"/>
      <c r="AB126" s="139"/>
      <c r="AC126" s="15"/>
    </row>
    <row r="127" spans="1:29" s="824" customFormat="1" ht="32.25" customHeight="1" x14ac:dyDescent="0.2">
      <c r="A127" s="731" t="s">
        <v>830</v>
      </c>
      <c r="B127" s="732" t="s">
        <v>545</v>
      </c>
      <c r="C127" s="853" t="s">
        <v>2216</v>
      </c>
      <c r="D127" s="1393">
        <f t="shared" si="93"/>
        <v>4900000</v>
      </c>
      <c r="E127" s="1393">
        <f t="shared" si="93"/>
        <v>0</v>
      </c>
      <c r="F127" s="741"/>
      <c r="G127" s="741"/>
      <c r="H127" s="741">
        <v>4900000</v>
      </c>
      <c r="I127" s="741">
        <f>+H127+48505065+1530000-48505065-1530000-4900000</f>
        <v>0</v>
      </c>
      <c r="J127" s="741"/>
      <c r="K127" s="852"/>
      <c r="L127" s="970"/>
      <c r="M127" s="741"/>
      <c r="N127" s="741"/>
      <c r="O127" s="741"/>
      <c r="P127" s="877"/>
      <c r="Q127" s="877"/>
      <c r="R127" s="741"/>
      <c r="S127" s="852">
        <f>13096368+413100-13096368-413100</f>
        <v>0</v>
      </c>
      <c r="T127" s="352">
        <f>+E127</f>
        <v>0</v>
      </c>
      <c r="U127" s="851"/>
      <c r="V127" s="742"/>
      <c r="W127" s="851"/>
      <c r="X127" s="125">
        <f>350000000</f>
        <v>350000000</v>
      </c>
      <c r="Y127" s="852" t="s">
        <v>222</v>
      </c>
      <c r="AA127" s="304"/>
      <c r="AB127" s="304"/>
      <c r="AC127" s="825"/>
    </row>
    <row r="128" spans="1:29" s="824" customFormat="1" ht="34.5" customHeight="1" x14ac:dyDescent="0.2">
      <c r="A128" s="731" t="s">
        <v>830</v>
      </c>
      <c r="B128" s="732" t="s">
        <v>545</v>
      </c>
      <c r="C128" s="853" t="s">
        <v>2217</v>
      </c>
      <c r="D128" s="858">
        <f t="shared" si="93"/>
        <v>0</v>
      </c>
      <c r="E128" s="858">
        <f t="shared" si="93"/>
        <v>0</v>
      </c>
      <c r="F128" s="741"/>
      <c r="G128" s="741"/>
      <c r="H128" s="741"/>
      <c r="I128" s="741"/>
      <c r="J128" s="741"/>
      <c r="K128" s="852"/>
      <c r="L128" s="970"/>
      <c r="M128" s="741"/>
      <c r="N128" s="741"/>
      <c r="O128" s="741"/>
      <c r="P128" s="741"/>
      <c r="Q128" s="741"/>
      <c r="R128" s="741"/>
      <c r="S128" s="852"/>
      <c r="T128" s="352">
        <f t="shared" si="145"/>
        <v>0</v>
      </c>
      <c r="U128" s="851"/>
      <c r="V128" s="742"/>
      <c r="W128" s="851"/>
      <c r="X128" s="125">
        <v>40000000</v>
      </c>
      <c r="Y128" s="852" t="s">
        <v>222</v>
      </c>
      <c r="AA128" s="304"/>
      <c r="AB128" s="304"/>
      <c r="AC128" s="825"/>
    </row>
    <row r="129" spans="1:29" s="824" customFormat="1" ht="35.25" customHeight="1" x14ac:dyDescent="0.2">
      <c r="A129" s="1696" t="s">
        <v>830</v>
      </c>
      <c r="B129" s="733" t="s">
        <v>545</v>
      </c>
      <c r="C129" s="1697" t="s">
        <v>2218</v>
      </c>
      <c r="D129" s="1698">
        <f t="shared" si="93"/>
        <v>0</v>
      </c>
      <c r="E129" s="1698">
        <f t="shared" si="93"/>
        <v>0</v>
      </c>
      <c r="F129" s="1699"/>
      <c r="G129" s="1699"/>
      <c r="H129" s="1699"/>
      <c r="I129" s="1699"/>
      <c r="J129" s="1699"/>
      <c r="K129" s="1700"/>
      <c r="L129" s="1528"/>
      <c r="M129" s="1699"/>
      <c r="N129" s="1699"/>
      <c r="O129" s="1699"/>
      <c r="P129" s="1699"/>
      <c r="Q129" s="1699"/>
      <c r="R129" s="1699"/>
      <c r="S129" s="1700"/>
      <c r="T129" s="730">
        <f t="shared" si="145"/>
        <v>0</v>
      </c>
      <c r="U129" s="1701"/>
      <c r="V129" s="1702"/>
      <c r="W129" s="1701"/>
      <c r="X129" s="172">
        <v>60000000</v>
      </c>
      <c r="Y129" s="1700" t="s">
        <v>222</v>
      </c>
      <c r="AA129" s="304"/>
      <c r="AB129" s="304"/>
      <c r="AC129" s="825"/>
    </row>
    <row r="130" spans="1:29" s="824" customFormat="1" ht="34.5" customHeight="1" x14ac:dyDescent="0.2">
      <c r="A130" s="1691" t="s">
        <v>830</v>
      </c>
      <c r="B130" s="1692" t="s">
        <v>545</v>
      </c>
      <c r="C130" s="311" t="s">
        <v>2219</v>
      </c>
      <c r="D130" s="858">
        <f t="shared" si="93"/>
        <v>0</v>
      </c>
      <c r="E130" s="858">
        <f t="shared" si="93"/>
        <v>0</v>
      </c>
      <c r="F130" s="1693"/>
      <c r="G130" s="312"/>
      <c r="H130" s="312"/>
      <c r="I130" s="312"/>
      <c r="J130" s="312"/>
      <c r="K130" s="725"/>
      <c r="L130" s="724"/>
      <c r="M130" s="312"/>
      <c r="N130" s="312"/>
      <c r="O130" s="312"/>
      <c r="P130" s="312"/>
      <c r="Q130" s="312"/>
      <c r="R130" s="312"/>
      <c r="S130" s="725"/>
      <c r="T130" s="403">
        <f t="shared" si="145"/>
        <v>0</v>
      </c>
      <c r="U130" s="1694"/>
      <c r="V130" s="1695"/>
      <c r="W130" s="1694"/>
      <c r="X130" s="107">
        <v>60000000</v>
      </c>
      <c r="Y130" s="725" t="s">
        <v>222</v>
      </c>
      <c r="AA130" s="304"/>
      <c r="AB130" s="304"/>
      <c r="AC130" s="825"/>
    </row>
    <row r="131" spans="1:29" ht="45" customHeight="1" x14ac:dyDescent="0.2">
      <c r="A131" s="399" t="s">
        <v>831</v>
      </c>
      <c r="B131" s="168" t="s">
        <v>545</v>
      </c>
      <c r="C131" s="169" t="s">
        <v>1498</v>
      </c>
      <c r="D131" s="856">
        <f t="shared" si="93"/>
        <v>4338600</v>
      </c>
      <c r="E131" s="856">
        <f t="shared" si="93"/>
        <v>106169716</v>
      </c>
      <c r="F131" s="126"/>
      <c r="G131" s="125"/>
      <c r="H131" s="125">
        <f>1800000+300000+1380000</f>
        <v>3480000</v>
      </c>
      <c r="I131" s="125">
        <f>+H131+3500000+1380000+190000+190000+160000+150000+348500+48505065+1530000+4900000+1216000+360000+200000+166173+1650000+1970000+4910000</f>
        <v>74805738</v>
      </c>
      <c r="J131" s="125"/>
      <c r="K131" s="78"/>
      <c r="L131" s="424"/>
      <c r="M131" s="125">
        <v>9897975</v>
      </c>
      <c r="N131" s="125"/>
      <c r="O131" s="125"/>
      <c r="P131" s="125"/>
      <c r="Q131" s="125"/>
      <c r="R131" s="125">
        <f>486000+372600</f>
        <v>858600</v>
      </c>
      <c r="S131" s="78">
        <f>+R131+945000+372600+51300+51300+43200+40500+94095+13096368+413100+328320+97200+54000+2672453+44867+445500+531900+1325700</f>
        <v>21466003</v>
      </c>
      <c r="T131" s="352">
        <f>+E131</f>
        <v>106169716</v>
      </c>
      <c r="U131" s="396"/>
      <c r="V131" s="396"/>
      <c r="W131" s="396"/>
      <c r="X131" s="397"/>
      <c r="Y131" s="78" t="s">
        <v>222</v>
      </c>
      <c r="AA131" s="139"/>
      <c r="AB131" s="139"/>
      <c r="AC131" s="15"/>
    </row>
    <row r="132" spans="1:29" ht="41.25" customHeight="1" x14ac:dyDescent="0.2">
      <c r="A132" s="395" t="s">
        <v>1293</v>
      </c>
      <c r="B132" s="401" t="s">
        <v>813</v>
      </c>
      <c r="C132" s="74" t="s">
        <v>1490</v>
      </c>
      <c r="D132" s="856">
        <f t="shared" si="93"/>
        <v>108267649</v>
      </c>
      <c r="E132" s="856">
        <f t="shared" si="93"/>
        <v>65934339</v>
      </c>
      <c r="F132" s="125"/>
      <c r="G132" s="125"/>
      <c r="H132" s="125">
        <v>84513283</v>
      </c>
      <c r="I132" s="125">
        <f>+H132-7073274-1909784-5000000-1350000-3200000-864000</f>
        <v>65116225</v>
      </c>
      <c r="J132" s="125"/>
      <c r="K132" s="78"/>
      <c r="L132" s="424">
        <v>736834</v>
      </c>
      <c r="M132" s="125">
        <f>+L132+64000</f>
        <v>800834</v>
      </c>
      <c r="N132" s="125"/>
      <c r="O132" s="125"/>
      <c r="P132" s="125"/>
      <c r="Q132" s="125"/>
      <c r="R132" s="125">
        <v>23017532</v>
      </c>
      <c r="S132" s="78">
        <f>+R132-23017532+17280</f>
        <v>17280</v>
      </c>
      <c r="T132" s="352">
        <f>+E132</f>
        <v>65934339</v>
      </c>
      <c r="U132" s="396"/>
      <c r="V132" s="352"/>
      <c r="W132" s="396"/>
      <c r="X132" s="396"/>
      <c r="Y132" s="80" t="s">
        <v>223</v>
      </c>
      <c r="AA132" s="139"/>
      <c r="AB132" s="139"/>
      <c r="AC132" s="15"/>
    </row>
    <row r="133" spans="1:29" ht="28.5" customHeight="1" x14ac:dyDescent="0.2">
      <c r="A133" s="395" t="s">
        <v>1474</v>
      </c>
      <c r="B133" s="401" t="s">
        <v>813</v>
      </c>
      <c r="C133" s="74" t="s">
        <v>1475</v>
      </c>
      <c r="D133" s="856">
        <f t="shared" si="93"/>
        <v>495300</v>
      </c>
      <c r="E133" s="856">
        <f t="shared" si="93"/>
        <v>495300</v>
      </c>
      <c r="F133" s="125"/>
      <c r="G133" s="125"/>
      <c r="H133" s="125">
        <v>150000</v>
      </c>
      <c r="I133" s="125">
        <f>+H133</f>
        <v>150000</v>
      </c>
      <c r="J133" s="125"/>
      <c r="K133" s="78"/>
      <c r="L133" s="424">
        <v>240000</v>
      </c>
      <c r="M133" s="125">
        <f>+L133</f>
        <v>240000</v>
      </c>
      <c r="N133" s="125"/>
      <c r="O133" s="125"/>
      <c r="P133" s="125"/>
      <c r="Q133" s="125"/>
      <c r="R133" s="125">
        <f>64800+40500</f>
        <v>105300</v>
      </c>
      <c r="S133" s="78">
        <f>+R133</f>
        <v>105300</v>
      </c>
      <c r="T133" s="352">
        <f t="shared" si="145"/>
        <v>495300</v>
      </c>
      <c r="U133" s="396"/>
      <c r="V133" s="352"/>
      <c r="W133" s="396"/>
      <c r="X133" s="396"/>
      <c r="Y133" s="80" t="s">
        <v>223</v>
      </c>
      <c r="AA133" s="139"/>
      <c r="AB133" s="139"/>
      <c r="AC133" s="15"/>
    </row>
    <row r="134" spans="1:29" ht="33" customHeight="1" x14ac:dyDescent="0.2">
      <c r="A134" s="731" t="s">
        <v>1321</v>
      </c>
      <c r="B134" s="732" t="s">
        <v>813</v>
      </c>
      <c r="C134" s="74" t="s">
        <v>1328</v>
      </c>
      <c r="D134" s="856">
        <f t="shared" si="93"/>
        <v>0</v>
      </c>
      <c r="E134" s="856">
        <f t="shared" si="93"/>
        <v>0</v>
      </c>
      <c r="F134" s="125"/>
      <c r="G134" s="125"/>
      <c r="H134" s="125"/>
      <c r="I134" s="125"/>
      <c r="J134" s="125"/>
      <c r="K134" s="78"/>
      <c r="L134" s="424"/>
      <c r="M134" s="125"/>
      <c r="N134" s="125"/>
      <c r="O134" s="125"/>
      <c r="P134" s="125"/>
      <c r="Q134" s="125"/>
      <c r="R134" s="125"/>
      <c r="S134" s="78"/>
      <c r="T134" s="352">
        <f t="shared" si="145"/>
        <v>0</v>
      </c>
      <c r="U134" s="396"/>
      <c r="V134" s="141"/>
      <c r="W134" s="396"/>
      <c r="X134" s="396"/>
      <c r="Y134" s="78" t="s">
        <v>223</v>
      </c>
      <c r="AA134" s="139"/>
      <c r="AB134" s="139"/>
      <c r="AC134" s="15"/>
    </row>
    <row r="135" spans="1:29" ht="31.5" customHeight="1" x14ac:dyDescent="0.2">
      <c r="A135" s="731" t="s">
        <v>1326</v>
      </c>
      <c r="B135" s="732" t="s">
        <v>813</v>
      </c>
      <c r="C135" s="74" t="s">
        <v>1327</v>
      </c>
      <c r="D135" s="857">
        <f t="shared" si="93"/>
        <v>0</v>
      </c>
      <c r="E135" s="857">
        <f t="shared" si="93"/>
        <v>0</v>
      </c>
      <c r="F135" s="125"/>
      <c r="G135" s="125"/>
      <c r="H135" s="125"/>
      <c r="I135" s="125"/>
      <c r="J135" s="125"/>
      <c r="K135" s="78"/>
      <c r="L135" s="424"/>
      <c r="M135" s="125"/>
      <c r="N135" s="125"/>
      <c r="O135" s="125"/>
      <c r="P135" s="125"/>
      <c r="Q135" s="125"/>
      <c r="R135" s="125"/>
      <c r="S135" s="78"/>
      <c r="T135" s="352">
        <f t="shared" si="145"/>
        <v>0</v>
      </c>
      <c r="U135" s="396"/>
      <c r="V135" s="141"/>
      <c r="W135" s="396"/>
      <c r="X135" s="396"/>
      <c r="Y135" s="78" t="s">
        <v>223</v>
      </c>
      <c r="AA135" s="139"/>
      <c r="AB135" s="139"/>
      <c r="AC135" s="15"/>
    </row>
    <row r="136" spans="1:29" ht="37.5" customHeight="1" x14ac:dyDescent="0.2">
      <c r="A136" s="731" t="s">
        <v>1420</v>
      </c>
      <c r="B136" s="732" t="s">
        <v>813</v>
      </c>
      <c r="C136" s="74" t="s">
        <v>1421</v>
      </c>
      <c r="D136" s="857">
        <f t="shared" si="93"/>
        <v>0</v>
      </c>
      <c r="E136" s="857">
        <f t="shared" si="93"/>
        <v>0</v>
      </c>
      <c r="F136" s="125"/>
      <c r="G136" s="125"/>
      <c r="H136" s="125"/>
      <c r="I136" s="125"/>
      <c r="J136" s="125"/>
      <c r="K136" s="78"/>
      <c r="L136" s="424"/>
      <c r="M136" s="125"/>
      <c r="N136" s="125"/>
      <c r="O136" s="125"/>
      <c r="P136" s="125"/>
      <c r="Q136" s="125"/>
      <c r="R136" s="125"/>
      <c r="S136" s="78"/>
      <c r="T136" s="352">
        <f t="shared" si="145"/>
        <v>0</v>
      </c>
      <c r="U136" s="396"/>
      <c r="V136" s="141"/>
      <c r="W136" s="396"/>
      <c r="X136" s="396"/>
      <c r="Y136" s="78" t="s">
        <v>223</v>
      </c>
      <c r="AA136" s="139"/>
      <c r="AB136" s="139"/>
      <c r="AC136" s="15"/>
    </row>
    <row r="137" spans="1:29" ht="36.75" customHeight="1" x14ac:dyDescent="0.2">
      <c r="A137" s="731" t="s">
        <v>1418</v>
      </c>
      <c r="B137" s="732" t="s">
        <v>164</v>
      </c>
      <c r="C137" s="74" t="s">
        <v>1419</v>
      </c>
      <c r="D137" s="857">
        <f t="shared" si="93"/>
        <v>0</v>
      </c>
      <c r="E137" s="857">
        <f t="shared" si="93"/>
        <v>0</v>
      </c>
      <c r="F137" s="125"/>
      <c r="G137" s="125"/>
      <c r="H137" s="125"/>
      <c r="I137" s="125"/>
      <c r="J137" s="125"/>
      <c r="K137" s="78"/>
      <c r="L137" s="734"/>
      <c r="M137" s="172"/>
      <c r="N137" s="125"/>
      <c r="O137" s="125"/>
      <c r="P137" s="125"/>
      <c r="Q137" s="125"/>
      <c r="R137" s="125"/>
      <c r="S137" s="78"/>
      <c r="T137" s="1579">
        <f>+D137-V137</f>
        <v>0</v>
      </c>
      <c r="U137" s="396"/>
      <c r="V137" s="141"/>
      <c r="W137" s="396"/>
      <c r="X137" s="396"/>
      <c r="Y137" s="78" t="s">
        <v>222</v>
      </c>
      <c r="AA137" s="139"/>
      <c r="AB137" s="139"/>
      <c r="AC137" s="15"/>
    </row>
    <row r="138" spans="1:29" ht="24" customHeight="1" x14ac:dyDescent="0.2">
      <c r="A138" s="1581" t="s">
        <v>2936</v>
      </c>
      <c r="B138" s="1582"/>
      <c r="C138" s="1582"/>
      <c r="D138" s="1583">
        <f>SUM(D139:D140)</f>
        <v>0</v>
      </c>
      <c r="E138" s="362">
        <f>SUM(E139:E140)</f>
        <v>2540000</v>
      </c>
      <c r="F138" s="362">
        <f t="shared" ref="F138:X138" si="146">SUM(F139:F140)</f>
        <v>0</v>
      </c>
      <c r="G138" s="362">
        <f t="shared" si="146"/>
        <v>0</v>
      </c>
      <c r="H138" s="362">
        <f t="shared" si="146"/>
        <v>0</v>
      </c>
      <c r="I138" s="362">
        <f t="shared" si="146"/>
        <v>2000000</v>
      </c>
      <c r="J138" s="362">
        <f t="shared" si="146"/>
        <v>0</v>
      </c>
      <c r="K138" s="106">
        <f t="shared" si="146"/>
        <v>0</v>
      </c>
      <c r="L138" s="743">
        <f t="shared" si="146"/>
        <v>0</v>
      </c>
      <c r="M138" s="362">
        <f t="shared" si="146"/>
        <v>0</v>
      </c>
      <c r="N138" s="362">
        <f t="shared" si="146"/>
        <v>0</v>
      </c>
      <c r="O138" s="362">
        <f t="shared" si="146"/>
        <v>0</v>
      </c>
      <c r="P138" s="362">
        <f t="shared" si="146"/>
        <v>0</v>
      </c>
      <c r="Q138" s="362">
        <f t="shared" si="146"/>
        <v>0</v>
      </c>
      <c r="R138" s="362">
        <f t="shared" si="146"/>
        <v>0</v>
      </c>
      <c r="S138" s="106">
        <f t="shared" si="146"/>
        <v>540000</v>
      </c>
      <c r="T138" s="1583">
        <f t="shared" si="146"/>
        <v>2540000</v>
      </c>
      <c r="U138" s="362">
        <f t="shared" si="146"/>
        <v>0</v>
      </c>
      <c r="V138" s="362">
        <f t="shared" si="146"/>
        <v>0</v>
      </c>
      <c r="W138" s="362">
        <f t="shared" si="146"/>
        <v>0</v>
      </c>
      <c r="X138" s="362">
        <f t="shared" si="146"/>
        <v>0</v>
      </c>
      <c r="Y138" s="1584"/>
      <c r="AA138" s="139"/>
      <c r="AB138" s="139"/>
      <c r="AC138" s="15"/>
    </row>
    <row r="139" spans="1:29" ht="32.25" customHeight="1" x14ac:dyDescent="0.2">
      <c r="A139" s="1585" t="s">
        <v>2321</v>
      </c>
      <c r="B139" s="1588" t="s">
        <v>131</v>
      </c>
      <c r="C139" s="1586"/>
      <c r="D139" s="1407">
        <f>+F139+H139+J139+L139+N139+P139+R139</f>
        <v>0</v>
      </c>
      <c r="E139" s="1407">
        <f>+G139+I139+K139+M139+O139+Q139+S139</f>
        <v>0</v>
      </c>
      <c r="F139" s="699"/>
      <c r="G139" s="699"/>
      <c r="H139" s="699"/>
      <c r="I139" s="699"/>
      <c r="J139" s="699"/>
      <c r="K139" s="700"/>
      <c r="L139" s="974"/>
      <c r="M139" s="699"/>
      <c r="N139" s="699"/>
      <c r="O139" s="699"/>
      <c r="P139" s="699"/>
      <c r="Q139" s="699"/>
      <c r="R139" s="699"/>
      <c r="S139" s="700"/>
      <c r="T139" s="1587"/>
      <c r="U139" s="726"/>
      <c r="V139" s="371"/>
      <c r="W139" s="726"/>
      <c r="X139" s="726"/>
      <c r="Y139" s="700"/>
      <c r="AA139" s="139"/>
      <c r="AB139" s="139"/>
      <c r="AC139" s="15"/>
    </row>
    <row r="140" spans="1:29" ht="33" customHeight="1" x14ac:dyDescent="0.2">
      <c r="A140" s="735" t="s">
        <v>133</v>
      </c>
      <c r="B140" s="733" t="s">
        <v>547</v>
      </c>
      <c r="C140" s="1589" t="s">
        <v>2937</v>
      </c>
      <c r="D140" s="1407">
        <f>+F140+H140+J140+L140+N140+P140+R140</f>
        <v>0</v>
      </c>
      <c r="E140" s="1407">
        <f>+G140+I140+K140+M140+O140+Q140+S140</f>
        <v>2540000</v>
      </c>
      <c r="F140" s="172"/>
      <c r="G140" s="172"/>
      <c r="H140" s="172"/>
      <c r="I140" s="172">
        <v>2000000</v>
      </c>
      <c r="J140" s="172"/>
      <c r="K140" s="194"/>
      <c r="L140" s="734"/>
      <c r="M140" s="172"/>
      <c r="N140" s="172"/>
      <c r="O140" s="172"/>
      <c r="P140" s="172"/>
      <c r="Q140" s="172"/>
      <c r="R140" s="172"/>
      <c r="S140" s="194">
        <v>540000</v>
      </c>
      <c r="T140" s="1580">
        <f>+E140</f>
        <v>2540000</v>
      </c>
      <c r="U140" s="372"/>
      <c r="V140" s="167"/>
      <c r="W140" s="372"/>
      <c r="X140" s="372"/>
      <c r="Y140" s="194" t="s">
        <v>222</v>
      </c>
      <c r="AA140" s="139"/>
      <c r="AB140" s="139"/>
      <c r="AC140" s="15"/>
    </row>
    <row r="141" spans="1:29" ht="22.15" customHeight="1" x14ac:dyDescent="0.2">
      <c r="A141" s="703" t="s">
        <v>27</v>
      </c>
      <c r="B141" s="704"/>
      <c r="C141" s="704"/>
      <c r="D141" s="365">
        <f t="shared" ref="D141:X141" si="147">+D79+D62+D58+D26+D10+D7+D138</f>
        <v>1408906614</v>
      </c>
      <c r="E141" s="365">
        <f t="shared" si="147"/>
        <v>2288459525</v>
      </c>
      <c r="F141" s="365">
        <f t="shared" si="147"/>
        <v>1110000</v>
      </c>
      <c r="G141" s="365">
        <f t="shared" si="147"/>
        <v>17604016</v>
      </c>
      <c r="H141" s="365">
        <f t="shared" si="147"/>
        <v>1107891653</v>
      </c>
      <c r="I141" s="365">
        <f t="shared" si="147"/>
        <v>1987390676</v>
      </c>
      <c r="J141" s="365">
        <f t="shared" si="147"/>
        <v>400000</v>
      </c>
      <c r="K141" s="705">
        <f t="shared" si="147"/>
        <v>2195000</v>
      </c>
      <c r="L141" s="702">
        <f t="shared" si="147"/>
        <v>11588645</v>
      </c>
      <c r="M141" s="365">
        <f t="shared" si="147"/>
        <v>71983213</v>
      </c>
      <c r="N141" s="365">
        <f t="shared" si="147"/>
        <v>0</v>
      </c>
      <c r="O141" s="365">
        <f t="shared" si="147"/>
        <v>0</v>
      </c>
      <c r="P141" s="365">
        <f t="shared" si="147"/>
        <v>0</v>
      </c>
      <c r="Q141" s="365">
        <f t="shared" si="147"/>
        <v>0</v>
      </c>
      <c r="R141" s="365">
        <f t="shared" si="147"/>
        <v>287916316</v>
      </c>
      <c r="S141" s="365">
        <f t="shared" si="147"/>
        <v>209286620</v>
      </c>
      <c r="T141" s="365">
        <f t="shared" si="147"/>
        <v>1528608650</v>
      </c>
      <c r="U141" s="365">
        <f t="shared" si="147"/>
        <v>279850875</v>
      </c>
      <c r="V141" s="365">
        <f t="shared" si="147"/>
        <v>480000000</v>
      </c>
      <c r="W141" s="365">
        <f t="shared" si="147"/>
        <v>0</v>
      </c>
      <c r="X141" s="365">
        <f t="shared" si="147"/>
        <v>727586700</v>
      </c>
      <c r="Y141" s="106"/>
      <c r="Z141" s="10" t="e">
        <f>+T141+U141+W141+#REF!</f>
        <v>#REF!</v>
      </c>
      <c r="AA141" s="139">
        <f t="shared" ref="AA141:AA158" si="148">SUM(T141:X141)</f>
        <v>3016046225</v>
      </c>
      <c r="AB141" s="139">
        <f t="shared" ref="AB141:AB180" si="149">+AA141-D141</f>
        <v>1607139611</v>
      </c>
      <c r="AC141" s="15">
        <f>+AB141-D142</f>
        <v>1536550090</v>
      </c>
    </row>
    <row r="142" spans="1:29" s="11" customFormat="1" ht="19.899999999999999" customHeight="1" x14ac:dyDescent="0.2">
      <c r="A142" s="703" t="s">
        <v>22</v>
      </c>
      <c r="B142" s="704"/>
      <c r="C142" s="704"/>
      <c r="D142" s="365">
        <f>SUM(D143:D183)</f>
        <v>70589521</v>
      </c>
      <c r="E142" s="365">
        <f>SUM(E143:E183)</f>
        <v>87321020</v>
      </c>
      <c r="F142" s="365">
        <f t="shared" ref="F142:S142" si="150">SUM(F143:F183)</f>
        <v>1500000</v>
      </c>
      <c r="G142" s="365">
        <f t="shared" si="150"/>
        <v>1500000</v>
      </c>
      <c r="H142" s="365">
        <f t="shared" si="150"/>
        <v>0</v>
      </c>
      <c r="I142" s="365">
        <f t="shared" si="150"/>
        <v>0</v>
      </c>
      <c r="J142" s="365">
        <f t="shared" si="150"/>
        <v>9514676</v>
      </c>
      <c r="K142" s="705">
        <f t="shared" si="150"/>
        <v>14829672</v>
      </c>
      <c r="L142" s="702">
        <f t="shared" si="150"/>
        <v>44567623</v>
      </c>
      <c r="M142" s="365">
        <f t="shared" si="150"/>
        <v>52003492</v>
      </c>
      <c r="N142" s="365">
        <f t="shared" si="150"/>
        <v>0</v>
      </c>
      <c r="O142" s="365">
        <f t="shared" si="150"/>
        <v>0</v>
      </c>
      <c r="P142" s="365">
        <f t="shared" si="150"/>
        <v>0</v>
      </c>
      <c r="Q142" s="365">
        <f t="shared" si="150"/>
        <v>0</v>
      </c>
      <c r="R142" s="365">
        <f t="shared" si="150"/>
        <v>15007222</v>
      </c>
      <c r="S142" s="705">
        <f t="shared" si="150"/>
        <v>18987856</v>
      </c>
      <c r="T142" s="702">
        <f>SUM(T143:T183)</f>
        <v>87321020</v>
      </c>
      <c r="U142" s="365">
        <f>SUM(U143:U183)</f>
        <v>0</v>
      </c>
      <c r="V142" s="365">
        <f>SUM(V143:V183)</f>
        <v>0</v>
      </c>
      <c r="W142" s="365">
        <f>SUM(W143:W183)</f>
        <v>0</v>
      </c>
      <c r="X142" s="365">
        <f>SUM(X143:X183)</f>
        <v>0</v>
      </c>
      <c r="Y142" s="106"/>
      <c r="Z142" s="11" t="e">
        <f>+T142+U142+W142+#REF!</f>
        <v>#REF!</v>
      </c>
      <c r="AA142" s="139">
        <f t="shared" si="148"/>
        <v>87321020</v>
      </c>
      <c r="AB142" s="139">
        <f t="shared" si="149"/>
        <v>16731499</v>
      </c>
    </row>
    <row r="143" spans="1:29" ht="24" customHeight="1" x14ac:dyDescent="0.2">
      <c r="A143" s="739" t="s">
        <v>91</v>
      </c>
      <c r="B143" s="159" t="s">
        <v>74</v>
      </c>
      <c r="C143" s="149" t="s">
        <v>159</v>
      </c>
      <c r="D143" s="933">
        <f>+F143+H143+J143+L143+N143+P143+R143</f>
        <v>35028632</v>
      </c>
      <c r="E143" s="933">
        <f>+G143+I143+K143+M143+O143+Q143+S143</f>
        <v>33038632</v>
      </c>
      <c r="F143" s="108">
        <v>1300000</v>
      </c>
      <c r="G143" s="108">
        <f>+F143</f>
        <v>1300000</v>
      </c>
      <c r="H143" s="108"/>
      <c r="I143" s="108"/>
      <c r="J143" s="108">
        <v>5000000</v>
      </c>
      <c r="K143" s="1539">
        <f>+J143+7874</f>
        <v>5007874</v>
      </c>
      <c r="L143" s="729">
        <f>+(9500000)+11781600</f>
        <v>21281600</v>
      </c>
      <c r="M143" s="371">
        <f>+L143-2000000</f>
        <v>19281600</v>
      </c>
      <c r="N143" s="108"/>
      <c r="O143" s="108"/>
      <c r="P143" s="108"/>
      <c r="Q143" s="108"/>
      <c r="R143" s="108">
        <f>+(4266000)+3181032</f>
        <v>7447032</v>
      </c>
      <c r="S143" s="1539">
        <f>+R143+2126</f>
        <v>7449158</v>
      </c>
      <c r="T143" s="403">
        <f>+E143</f>
        <v>33038632</v>
      </c>
      <c r="U143" s="142"/>
      <c r="V143" s="142"/>
      <c r="W143" s="142"/>
      <c r="X143" s="142"/>
      <c r="Y143" s="77" t="s">
        <v>222</v>
      </c>
      <c r="Z143" s="10" t="e">
        <f>+T143+U143+W143+#REF!</f>
        <v>#REF!</v>
      </c>
      <c r="AA143" s="139">
        <f t="shared" si="148"/>
        <v>33038632</v>
      </c>
      <c r="AB143" s="139">
        <f t="shared" si="149"/>
        <v>-1990000</v>
      </c>
    </row>
    <row r="144" spans="1:29" ht="24" customHeight="1" x14ac:dyDescent="0.2">
      <c r="A144" s="395" t="s">
        <v>132</v>
      </c>
      <c r="B144" s="127" t="s">
        <v>161</v>
      </c>
      <c r="C144" s="83" t="s">
        <v>160</v>
      </c>
      <c r="D144" s="859">
        <f t="shared" ref="D144:D183" si="151">+F144+H144+J144+L144+N144+P144+R144</f>
        <v>5969000</v>
      </c>
      <c r="E144" s="859">
        <f t="shared" ref="E144:E183" si="152">+G144+I144+K144+M144+O144+Q144+S144</f>
        <v>5969000</v>
      </c>
      <c r="F144" s="141"/>
      <c r="G144" s="141"/>
      <c r="H144" s="141"/>
      <c r="I144" s="141"/>
      <c r="J144" s="141">
        <v>700000</v>
      </c>
      <c r="K144" s="421">
        <f>+J144+1570260</f>
        <v>2270260</v>
      </c>
      <c r="L144" s="352">
        <v>4000000</v>
      </c>
      <c r="M144" s="141">
        <f>+L144-1570260</f>
        <v>2429740</v>
      </c>
      <c r="N144" s="141"/>
      <c r="O144" s="141"/>
      <c r="P144" s="141"/>
      <c r="Q144" s="141"/>
      <c r="R144" s="141">
        <v>1269000</v>
      </c>
      <c r="S144" s="421">
        <f t="shared" ref="S144:S170" si="153">+R144</f>
        <v>1269000</v>
      </c>
      <c r="T144" s="352">
        <f>+E144</f>
        <v>5969000</v>
      </c>
      <c r="U144" s="396"/>
      <c r="V144" s="396"/>
      <c r="W144" s="396"/>
      <c r="X144" s="396"/>
      <c r="Y144" s="80" t="s">
        <v>224</v>
      </c>
      <c r="Z144" s="10" t="e">
        <f>+T144+U144+W144+#REF!</f>
        <v>#REF!</v>
      </c>
      <c r="AA144" s="139">
        <f t="shared" si="148"/>
        <v>5969000</v>
      </c>
      <c r="AB144" s="139">
        <f t="shared" si="149"/>
        <v>0</v>
      </c>
    </row>
    <row r="145" spans="1:28" ht="24" customHeight="1" x14ac:dyDescent="0.2">
      <c r="A145" s="395" t="s">
        <v>151</v>
      </c>
      <c r="B145" s="127" t="s">
        <v>508</v>
      </c>
      <c r="C145" s="83" t="s">
        <v>509</v>
      </c>
      <c r="D145" s="859">
        <f t="shared" si="151"/>
        <v>7785100</v>
      </c>
      <c r="E145" s="859">
        <f t="shared" si="152"/>
        <v>7785100</v>
      </c>
      <c r="F145" s="141"/>
      <c r="G145" s="141"/>
      <c r="H145" s="141"/>
      <c r="I145" s="141"/>
      <c r="J145" s="141">
        <v>650000</v>
      </c>
      <c r="K145" s="421">
        <f>+J145</f>
        <v>650000</v>
      </c>
      <c r="L145" s="352">
        <f>+(5000000)+480000</f>
        <v>5480000</v>
      </c>
      <c r="M145" s="141">
        <f t="shared" ref="M145:M167" si="154">+L145</f>
        <v>5480000</v>
      </c>
      <c r="N145" s="141"/>
      <c r="O145" s="141"/>
      <c r="P145" s="141"/>
      <c r="Q145" s="141"/>
      <c r="R145" s="141">
        <f>+(1525500)+129600</f>
        <v>1655100</v>
      </c>
      <c r="S145" s="421">
        <f t="shared" si="153"/>
        <v>1655100</v>
      </c>
      <c r="T145" s="352">
        <f t="shared" ref="T145:T182" si="155">+D145</f>
        <v>7785100</v>
      </c>
      <c r="U145" s="396"/>
      <c r="V145" s="396"/>
      <c r="W145" s="396"/>
      <c r="X145" s="396"/>
      <c r="Y145" s="80" t="s">
        <v>224</v>
      </c>
      <c r="AA145" s="139">
        <f t="shared" si="148"/>
        <v>7785100</v>
      </c>
      <c r="AB145" s="139">
        <f t="shared" si="149"/>
        <v>0</v>
      </c>
    </row>
    <row r="146" spans="1:28" ht="24" customHeight="1" x14ac:dyDescent="0.2">
      <c r="A146" s="398" t="s">
        <v>134</v>
      </c>
      <c r="B146" s="127" t="s">
        <v>74</v>
      </c>
      <c r="C146" s="83" t="s">
        <v>1484</v>
      </c>
      <c r="D146" s="859">
        <f t="shared" si="151"/>
        <v>6731000</v>
      </c>
      <c r="E146" s="859">
        <f t="shared" si="152"/>
        <v>13731000</v>
      </c>
      <c r="F146" s="141"/>
      <c r="G146" s="141"/>
      <c r="H146" s="141"/>
      <c r="I146" s="141"/>
      <c r="J146" s="141">
        <v>1300000</v>
      </c>
      <c r="K146" s="421">
        <f>+J146</f>
        <v>1300000</v>
      </c>
      <c r="L146" s="352">
        <v>4000000</v>
      </c>
      <c r="M146" s="141">
        <f>+L146+5511811</f>
        <v>9511811</v>
      </c>
      <c r="N146" s="141"/>
      <c r="O146" s="141"/>
      <c r="P146" s="141"/>
      <c r="Q146" s="141"/>
      <c r="R146" s="141">
        <v>1431000</v>
      </c>
      <c r="S146" s="421">
        <f>+R146+1488189</f>
        <v>2919189</v>
      </c>
      <c r="T146" s="352">
        <f>+E146</f>
        <v>13731000</v>
      </c>
      <c r="U146" s="396"/>
      <c r="V146" s="396"/>
      <c r="W146" s="396"/>
      <c r="X146" s="396"/>
      <c r="Y146" s="78" t="s">
        <v>222</v>
      </c>
      <c r="AA146" s="139">
        <f t="shared" si="148"/>
        <v>13731000</v>
      </c>
      <c r="AB146" s="139">
        <f t="shared" si="149"/>
        <v>7000000</v>
      </c>
    </row>
    <row r="147" spans="1:28" ht="24" customHeight="1" x14ac:dyDescent="0.2">
      <c r="A147" s="395" t="s">
        <v>91</v>
      </c>
      <c r="B147" s="127" t="s">
        <v>555</v>
      </c>
      <c r="C147" s="83" t="s">
        <v>23</v>
      </c>
      <c r="D147" s="859">
        <f t="shared" si="151"/>
        <v>274890</v>
      </c>
      <c r="E147" s="859">
        <f t="shared" si="152"/>
        <v>274890</v>
      </c>
      <c r="F147" s="141"/>
      <c r="G147" s="141"/>
      <c r="H147" s="141"/>
      <c r="I147" s="141"/>
      <c r="J147" s="141"/>
      <c r="K147" s="421"/>
      <c r="L147" s="352">
        <f>+(200000)+16449</f>
        <v>216449</v>
      </c>
      <c r="M147" s="141">
        <f t="shared" si="154"/>
        <v>216449</v>
      </c>
      <c r="N147" s="141"/>
      <c r="O147" s="141"/>
      <c r="P147" s="141"/>
      <c r="Q147" s="141"/>
      <c r="R147" s="141">
        <f>+(54000)+4441</f>
        <v>58441</v>
      </c>
      <c r="S147" s="421">
        <f t="shared" si="153"/>
        <v>58441</v>
      </c>
      <c r="T147" s="352">
        <f t="shared" si="155"/>
        <v>274890</v>
      </c>
      <c r="U147" s="396"/>
      <c r="V147" s="396"/>
      <c r="W147" s="396"/>
      <c r="X147" s="396"/>
      <c r="Y147" s="78" t="s">
        <v>222</v>
      </c>
      <c r="Z147" s="10" t="e">
        <f>+T147+U147+W147+#REF!</f>
        <v>#REF!</v>
      </c>
      <c r="AA147" s="139">
        <f t="shared" si="148"/>
        <v>274890</v>
      </c>
      <c r="AB147" s="139">
        <f t="shared" si="149"/>
        <v>0</v>
      </c>
    </row>
    <row r="148" spans="1:28" ht="24" customHeight="1" x14ac:dyDescent="0.2">
      <c r="A148" s="399" t="s">
        <v>132</v>
      </c>
      <c r="B148" s="422" t="s">
        <v>545</v>
      </c>
      <c r="C148" s="83" t="s">
        <v>23</v>
      </c>
      <c r="D148" s="859">
        <f t="shared" si="151"/>
        <v>635000</v>
      </c>
      <c r="E148" s="859">
        <f t="shared" si="152"/>
        <v>1270000</v>
      </c>
      <c r="F148" s="141"/>
      <c r="G148" s="141"/>
      <c r="H148" s="141"/>
      <c r="I148" s="141"/>
      <c r="J148" s="141">
        <v>100000</v>
      </c>
      <c r="K148" s="421">
        <f>+J148+500000</f>
        <v>600000</v>
      </c>
      <c r="L148" s="352">
        <v>400000</v>
      </c>
      <c r="M148" s="141">
        <f t="shared" si="154"/>
        <v>400000</v>
      </c>
      <c r="N148" s="141"/>
      <c r="O148" s="141"/>
      <c r="P148" s="141"/>
      <c r="Q148" s="141"/>
      <c r="R148" s="141">
        <v>135000</v>
      </c>
      <c r="S148" s="421">
        <f>+R148+135000</f>
        <v>270000</v>
      </c>
      <c r="T148" s="352">
        <f t="shared" ref="T148:T154" si="156">+E148</f>
        <v>1270000</v>
      </c>
      <c r="U148" s="396"/>
      <c r="V148" s="396"/>
      <c r="W148" s="396"/>
      <c r="X148" s="396"/>
      <c r="Y148" s="78" t="s">
        <v>222</v>
      </c>
      <c r="Z148" s="10" t="e">
        <f>+T148+U148+W148+#REF!</f>
        <v>#REF!</v>
      </c>
      <c r="AA148" s="139">
        <f t="shared" si="148"/>
        <v>1270000</v>
      </c>
      <c r="AB148" s="139">
        <f t="shared" si="149"/>
        <v>635000</v>
      </c>
    </row>
    <row r="149" spans="1:28" ht="24" customHeight="1" x14ac:dyDescent="0.2">
      <c r="A149" s="400" t="s">
        <v>151</v>
      </c>
      <c r="B149" s="422" t="s">
        <v>545</v>
      </c>
      <c r="C149" s="83" t="s">
        <v>23</v>
      </c>
      <c r="D149" s="859">
        <f t="shared" si="151"/>
        <v>508000</v>
      </c>
      <c r="E149" s="859">
        <f t="shared" si="152"/>
        <v>678033</v>
      </c>
      <c r="F149" s="141"/>
      <c r="G149" s="141"/>
      <c r="H149" s="141"/>
      <c r="I149" s="141"/>
      <c r="J149" s="141">
        <v>100000</v>
      </c>
      <c r="K149" s="421">
        <f>+J149+13937+236142</f>
        <v>350079</v>
      </c>
      <c r="L149" s="352">
        <v>300000</v>
      </c>
      <c r="M149" s="141">
        <f>+L149+121760-236142</f>
        <v>185618</v>
      </c>
      <c r="N149" s="141"/>
      <c r="O149" s="141"/>
      <c r="P149" s="141"/>
      <c r="Q149" s="141"/>
      <c r="R149" s="141">
        <v>108000</v>
      </c>
      <c r="S149" s="421">
        <f>+R149+32875+1461</f>
        <v>142336</v>
      </c>
      <c r="T149" s="352">
        <f t="shared" si="156"/>
        <v>678033</v>
      </c>
      <c r="U149" s="396"/>
      <c r="V149" s="396"/>
      <c r="W149" s="396"/>
      <c r="X149" s="396"/>
      <c r="Y149" s="78" t="s">
        <v>222</v>
      </c>
      <c r="AA149" s="139">
        <f t="shared" si="148"/>
        <v>678033</v>
      </c>
      <c r="AB149" s="139">
        <f t="shared" si="149"/>
        <v>170033</v>
      </c>
    </row>
    <row r="150" spans="1:28" ht="24" customHeight="1" x14ac:dyDescent="0.2">
      <c r="A150" s="735" t="s">
        <v>91</v>
      </c>
      <c r="B150" s="1488" t="s">
        <v>162</v>
      </c>
      <c r="C150" s="84" t="s">
        <v>163</v>
      </c>
      <c r="D150" s="708">
        <f t="shared" si="151"/>
        <v>317500</v>
      </c>
      <c r="E150" s="708">
        <f t="shared" si="152"/>
        <v>2017166</v>
      </c>
      <c r="F150" s="167"/>
      <c r="G150" s="167"/>
      <c r="H150" s="167"/>
      <c r="I150" s="167"/>
      <c r="J150" s="167"/>
      <c r="K150" s="740"/>
      <c r="L150" s="730">
        <v>250000</v>
      </c>
      <c r="M150" s="167">
        <f>+L150-18452+428386+100000+428386+200000+200000</f>
        <v>1588320</v>
      </c>
      <c r="N150" s="167"/>
      <c r="O150" s="167"/>
      <c r="P150" s="167"/>
      <c r="Q150" s="167"/>
      <c r="R150" s="167">
        <v>67500</v>
      </c>
      <c r="S150" s="740">
        <f>+R150-4982+115664+27000+115664+54000+54000</f>
        <v>428846</v>
      </c>
      <c r="T150" s="730">
        <f t="shared" si="156"/>
        <v>2017166</v>
      </c>
      <c r="U150" s="372"/>
      <c r="V150" s="372"/>
      <c r="W150" s="372"/>
      <c r="X150" s="372"/>
      <c r="Y150" s="194" t="s">
        <v>222</v>
      </c>
      <c r="Z150" s="10" t="e">
        <f>+T150+U150+W150+#REF!</f>
        <v>#REF!</v>
      </c>
      <c r="AA150" s="139">
        <f t="shared" si="148"/>
        <v>2017166</v>
      </c>
      <c r="AB150" s="139">
        <f t="shared" si="149"/>
        <v>1699666</v>
      </c>
    </row>
    <row r="151" spans="1:28" ht="24" customHeight="1" x14ac:dyDescent="0.2">
      <c r="A151" s="425" t="s">
        <v>132</v>
      </c>
      <c r="B151" s="827" t="s">
        <v>760</v>
      </c>
      <c r="C151" s="149" t="s">
        <v>811</v>
      </c>
      <c r="D151" s="933">
        <f t="shared" si="151"/>
        <v>127000</v>
      </c>
      <c r="E151" s="933">
        <f t="shared" si="152"/>
        <v>1087000</v>
      </c>
      <c r="F151" s="108"/>
      <c r="G151" s="108"/>
      <c r="H151" s="108"/>
      <c r="I151" s="108"/>
      <c r="J151" s="108"/>
      <c r="K151" s="1539">
        <v>855906</v>
      </c>
      <c r="L151" s="403">
        <v>100000</v>
      </c>
      <c r="M151" s="108">
        <f>+L151-100000</f>
        <v>0</v>
      </c>
      <c r="N151" s="108"/>
      <c r="O151" s="108"/>
      <c r="P151" s="108"/>
      <c r="Q151" s="108"/>
      <c r="R151" s="108">
        <v>27000</v>
      </c>
      <c r="S151" s="1539">
        <f>+R151+204094</f>
        <v>231094</v>
      </c>
      <c r="T151" s="403">
        <f t="shared" si="156"/>
        <v>1087000</v>
      </c>
      <c r="U151" s="142"/>
      <c r="V151" s="142"/>
      <c r="W151" s="142"/>
      <c r="X151" s="142"/>
      <c r="Y151" s="77" t="s">
        <v>222</v>
      </c>
      <c r="AA151" s="139">
        <f t="shared" si="148"/>
        <v>1087000</v>
      </c>
      <c r="AB151" s="139">
        <f t="shared" si="149"/>
        <v>960000</v>
      </c>
    </row>
    <row r="152" spans="1:28" ht="24" customHeight="1" x14ac:dyDescent="0.2">
      <c r="A152" s="398" t="s">
        <v>151</v>
      </c>
      <c r="B152" s="168" t="s">
        <v>162</v>
      </c>
      <c r="C152" s="83" t="s">
        <v>2301</v>
      </c>
      <c r="D152" s="859">
        <f t="shared" ref="D152" si="157">+F152+H152+J152+L152+N152+P152+R152</f>
        <v>0</v>
      </c>
      <c r="E152" s="859">
        <f t="shared" ref="E152" si="158">+G152+I152+K152+M152+O152+Q152+S152</f>
        <v>802640</v>
      </c>
      <c r="F152" s="141"/>
      <c r="G152" s="141"/>
      <c r="H152" s="141"/>
      <c r="I152" s="141"/>
      <c r="J152" s="141"/>
      <c r="K152" s="421"/>
      <c r="L152" s="352"/>
      <c r="M152" s="141">
        <f>613548+18452</f>
        <v>632000</v>
      </c>
      <c r="N152" s="141"/>
      <c r="O152" s="141"/>
      <c r="P152" s="141"/>
      <c r="Q152" s="141"/>
      <c r="R152" s="141"/>
      <c r="S152" s="421">
        <f>165658+4982</f>
        <v>170640</v>
      </c>
      <c r="T152" s="352">
        <f t="shared" si="156"/>
        <v>802640</v>
      </c>
      <c r="U152" s="396"/>
      <c r="V152" s="396"/>
      <c r="W152" s="396"/>
      <c r="X152" s="396"/>
      <c r="Y152" s="78" t="s">
        <v>222</v>
      </c>
      <c r="AA152" s="139">
        <f t="shared" si="148"/>
        <v>802640</v>
      </c>
      <c r="AB152" s="139">
        <f t="shared" si="149"/>
        <v>802640</v>
      </c>
    </row>
    <row r="153" spans="1:28" ht="27.75" customHeight="1" x14ac:dyDescent="0.2">
      <c r="A153" s="398" t="s">
        <v>135</v>
      </c>
      <c r="B153" s="168" t="s">
        <v>162</v>
      </c>
      <c r="C153" s="75" t="s">
        <v>3080</v>
      </c>
      <c r="D153" s="859">
        <f t="shared" ref="D153" si="159">+F153+H153+J153+L153+N153+P153+R153</f>
        <v>0</v>
      </c>
      <c r="E153" s="859">
        <f t="shared" ref="E153" si="160">+G153+I153+K153+M153+O153+Q153+S153</f>
        <v>289900</v>
      </c>
      <c r="F153" s="141"/>
      <c r="G153" s="141"/>
      <c r="H153" s="141"/>
      <c r="I153" s="141"/>
      <c r="J153" s="141"/>
      <c r="K153" s="421">
        <v>228268</v>
      </c>
      <c r="L153" s="352"/>
      <c r="M153" s="141"/>
      <c r="N153" s="141"/>
      <c r="O153" s="141"/>
      <c r="P153" s="141"/>
      <c r="Q153" s="141"/>
      <c r="R153" s="141"/>
      <c r="S153" s="421">
        <v>61632</v>
      </c>
      <c r="T153" s="352">
        <f t="shared" si="156"/>
        <v>289900</v>
      </c>
      <c r="U153" s="396"/>
      <c r="V153" s="396"/>
      <c r="W153" s="396"/>
      <c r="X153" s="396"/>
      <c r="Y153" s="78" t="s">
        <v>222</v>
      </c>
      <c r="AA153" s="139"/>
      <c r="AB153" s="139"/>
    </row>
    <row r="154" spans="1:28" ht="24" customHeight="1" x14ac:dyDescent="0.2">
      <c r="A154" s="395" t="s">
        <v>91</v>
      </c>
      <c r="B154" s="422" t="s">
        <v>162</v>
      </c>
      <c r="C154" s="83" t="s">
        <v>593</v>
      </c>
      <c r="D154" s="859">
        <f t="shared" si="151"/>
        <v>377260</v>
      </c>
      <c r="E154" s="859">
        <f t="shared" si="152"/>
        <v>1201111</v>
      </c>
      <c r="F154" s="141"/>
      <c r="G154" s="141"/>
      <c r="H154" s="141"/>
      <c r="I154" s="141"/>
      <c r="J154" s="141"/>
      <c r="K154" s="421">
        <v>7079</v>
      </c>
      <c r="L154" s="352">
        <f>250000+47055</f>
        <v>297055</v>
      </c>
      <c r="M154" s="141">
        <f>+L154-7079+648701</f>
        <v>938677</v>
      </c>
      <c r="N154" s="141"/>
      <c r="O154" s="141"/>
      <c r="P154" s="141"/>
      <c r="Q154" s="141"/>
      <c r="R154" s="141">
        <f>67500+12705</f>
        <v>80205</v>
      </c>
      <c r="S154" s="421">
        <f>+R154+175150</f>
        <v>255355</v>
      </c>
      <c r="T154" s="352">
        <f t="shared" si="156"/>
        <v>1201111</v>
      </c>
      <c r="U154" s="396"/>
      <c r="V154" s="396"/>
      <c r="W154" s="396"/>
      <c r="X154" s="396"/>
      <c r="Y154" s="78" t="s">
        <v>222</v>
      </c>
      <c r="Z154" s="10" t="e">
        <f>+T154+U154+W154+#REF!</f>
        <v>#REF!</v>
      </c>
      <c r="AA154" s="139">
        <f t="shared" si="148"/>
        <v>1201111</v>
      </c>
      <c r="AB154" s="139">
        <f t="shared" si="149"/>
        <v>823851</v>
      </c>
    </row>
    <row r="155" spans="1:28" ht="24" customHeight="1" x14ac:dyDescent="0.2">
      <c r="A155" s="395" t="s">
        <v>132</v>
      </c>
      <c r="B155" s="422" t="s">
        <v>162</v>
      </c>
      <c r="C155" s="83" t="s">
        <v>594</v>
      </c>
      <c r="D155" s="859">
        <f t="shared" si="151"/>
        <v>317500</v>
      </c>
      <c r="E155" s="859">
        <f t="shared" si="152"/>
        <v>317500</v>
      </c>
      <c r="F155" s="141"/>
      <c r="G155" s="141"/>
      <c r="H155" s="141"/>
      <c r="I155" s="141"/>
      <c r="J155" s="141"/>
      <c r="K155" s="421"/>
      <c r="L155" s="352">
        <v>250000</v>
      </c>
      <c r="M155" s="141">
        <f t="shared" si="154"/>
        <v>250000</v>
      </c>
      <c r="N155" s="141"/>
      <c r="O155" s="141"/>
      <c r="P155" s="141"/>
      <c r="Q155" s="141"/>
      <c r="R155" s="141">
        <v>67500</v>
      </c>
      <c r="S155" s="421">
        <f t="shared" si="153"/>
        <v>67500</v>
      </c>
      <c r="T155" s="352">
        <f t="shared" si="155"/>
        <v>317500</v>
      </c>
      <c r="U155" s="396"/>
      <c r="V155" s="396"/>
      <c r="W155" s="396"/>
      <c r="X155" s="396"/>
      <c r="Y155" s="78" t="s">
        <v>222</v>
      </c>
      <c r="Z155" s="10" t="e">
        <f>+T155+U155+W155+#REF!</f>
        <v>#REF!</v>
      </c>
      <c r="AA155" s="139">
        <f t="shared" si="148"/>
        <v>317500</v>
      </c>
      <c r="AB155" s="139">
        <f t="shared" si="149"/>
        <v>0</v>
      </c>
    </row>
    <row r="156" spans="1:28" ht="24" customHeight="1" x14ac:dyDescent="0.2">
      <c r="A156" s="395" t="s">
        <v>151</v>
      </c>
      <c r="B156" s="422" t="s">
        <v>162</v>
      </c>
      <c r="C156" s="83" t="s">
        <v>2965</v>
      </c>
      <c r="D156" s="859">
        <f t="shared" ref="D156" si="161">+F156+H156+J156+L156+N156+P156+R156</f>
        <v>0</v>
      </c>
      <c r="E156" s="859">
        <f t="shared" ref="E156" si="162">+G156+I156+K156+M156+O156+Q156+S156</f>
        <v>229180</v>
      </c>
      <c r="F156" s="141"/>
      <c r="G156" s="141"/>
      <c r="H156" s="141"/>
      <c r="I156" s="141"/>
      <c r="J156" s="141"/>
      <c r="K156" s="421"/>
      <c r="L156" s="352"/>
      <c r="M156" s="141">
        <v>180457</v>
      </c>
      <c r="N156" s="141"/>
      <c r="O156" s="141"/>
      <c r="P156" s="141"/>
      <c r="Q156" s="141"/>
      <c r="R156" s="141"/>
      <c r="S156" s="421">
        <v>48723</v>
      </c>
      <c r="T156" s="352">
        <f>+E156</f>
        <v>229180</v>
      </c>
      <c r="U156" s="396"/>
      <c r="V156" s="396"/>
      <c r="W156" s="396"/>
      <c r="X156" s="396"/>
      <c r="Y156" s="78" t="s">
        <v>222</v>
      </c>
      <c r="AA156" s="139"/>
      <c r="AB156" s="139"/>
    </row>
    <row r="157" spans="1:28" ht="24" customHeight="1" x14ac:dyDescent="0.2">
      <c r="A157" s="395" t="s">
        <v>91</v>
      </c>
      <c r="B157" s="422" t="s">
        <v>162</v>
      </c>
      <c r="C157" s="83" t="s">
        <v>609</v>
      </c>
      <c r="D157" s="859">
        <f t="shared" si="151"/>
        <v>2317500</v>
      </c>
      <c r="E157" s="859">
        <f t="shared" si="152"/>
        <v>3212300</v>
      </c>
      <c r="F157" s="141"/>
      <c r="G157" s="141"/>
      <c r="H157" s="141"/>
      <c r="I157" s="141"/>
      <c r="J157" s="141"/>
      <c r="K157" s="421">
        <f>30000+279370</f>
        <v>309370</v>
      </c>
      <c r="L157" s="352">
        <v>1824803</v>
      </c>
      <c r="M157" s="141">
        <f>+L157+425197-30000</f>
        <v>2220000</v>
      </c>
      <c r="N157" s="141"/>
      <c r="O157" s="141"/>
      <c r="P157" s="141"/>
      <c r="Q157" s="141"/>
      <c r="R157" s="141">
        <v>492697</v>
      </c>
      <c r="S157" s="421">
        <f>+R157+114803+75430</f>
        <v>682930</v>
      </c>
      <c r="T157" s="352">
        <f>+E157</f>
        <v>3212300</v>
      </c>
      <c r="U157" s="396"/>
      <c r="V157" s="396"/>
      <c r="W157" s="396"/>
      <c r="X157" s="396"/>
      <c r="Y157" s="78" t="s">
        <v>222</v>
      </c>
      <c r="Z157" s="10" t="e">
        <f>+T157+U157+W157+#REF!</f>
        <v>#REF!</v>
      </c>
      <c r="AA157" s="139">
        <f t="shared" si="148"/>
        <v>3212300</v>
      </c>
      <c r="AB157" s="139">
        <f t="shared" si="149"/>
        <v>894800</v>
      </c>
    </row>
    <row r="158" spans="1:28" ht="24" customHeight="1" x14ac:dyDescent="0.2">
      <c r="A158" s="395" t="s">
        <v>132</v>
      </c>
      <c r="B158" s="422" t="s">
        <v>162</v>
      </c>
      <c r="C158" s="83" t="s">
        <v>610</v>
      </c>
      <c r="D158" s="859">
        <f t="shared" si="151"/>
        <v>317500</v>
      </c>
      <c r="E158" s="859">
        <f t="shared" si="152"/>
        <v>1929535</v>
      </c>
      <c r="F158" s="141"/>
      <c r="G158" s="141"/>
      <c r="H158" s="141"/>
      <c r="I158" s="141"/>
      <c r="J158" s="141"/>
      <c r="K158" s="421"/>
      <c r="L158" s="352">
        <v>250000</v>
      </c>
      <c r="M158" s="141">
        <f>+L158+250000+169319+300000+550000</f>
        <v>1519319</v>
      </c>
      <c r="N158" s="141"/>
      <c r="O158" s="141"/>
      <c r="P158" s="141"/>
      <c r="Q158" s="141"/>
      <c r="R158" s="141">
        <v>67500</v>
      </c>
      <c r="S158" s="421">
        <f>+R158+67500+45716+81000+148500</f>
        <v>410216</v>
      </c>
      <c r="T158" s="352">
        <f>+E158</f>
        <v>1929535</v>
      </c>
      <c r="U158" s="396"/>
      <c r="V158" s="396"/>
      <c r="W158" s="396"/>
      <c r="X158" s="396"/>
      <c r="Y158" s="78" t="s">
        <v>222</v>
      </c>
      <c r="Z158" s="10" t="e">
        <f>+T158+U158+W158+#REF!</f>
        <v>#REF!</v>
      </c>
      <c r="AA158" s="139">
        <f t="shared" si="148"/>
        <v>1929535</v>
      </c>
      <c r="AB158" s="139">
        <f t="shared" si="149"/>
        <v>1612035</v>
      </c>
    </row>
    <row r="159" spans="1:28" ht="24" customHeight="1" x14ac:dyDescent="0.2">
      <c r="A159" s="395" t="s">
        <v>151</v>
      </c>
      <c r="B159" s="127" t="s">
        <v>760</v>
      </c>
      <c r="C159" s="83" t="s">
        <v>822</v>
      </c>
      <c r="D159" s="859">
        <f t="shared" si="151"/>
        <v>100000</v>
      </c>
      <c r="E159" s="859">
        <f t="shared" si="152"/>
        <v>100000</v>
      </c>
      <c r="F159" s="141"/>
      <c r="G159" s="141"/>
      <c r="H159" s="141"/>
      <c r="I159" s="141"/>
      <c r="J159" s="141"/>
      <c r="K159" s="421"/>
      <c r="L159" s="352">
        <v>78740</v>
      </c>
      <c r="M159" s="141">
        <f t="shared" si="154"/>
        <v>78740</v>
      </c>
      <c r="N159" s="141"/>
      <c r="O159" s="141"/>
      <c r="P159" s="141"/>
      <c r="Q159" s="141"/>
      <c r="R159" s="141">
        <v>21260</v>
      </c>
      <c r="S159" s="421">
        <f t="shared" si="153"/>
        <v>21260</v>
      </c>
      <c r="T159" s="352">
        <f t="shared" si="155"/>
        <v>100000</v>
      </c>
      <c r="U159" s="396"/>
      <c r="V159" s="396"/>
      <c r="W159" s="396"/>
      <c r="X159" s="396"/>
      <c r="Y159" s="78" t="s">
        <v>222</v>
      </c>
      <c r="AA159" s="139"/>
      <c r="AB159" s="139"/>
    </row>
    <row r="160" spans="1:28" ht="28.5" customHeight="1" x14ac:dyDescent="0.2">
      <c r="A160" s="395" t="s">
        <v>91</v>
      </c>
      <c r="B160" s="127" t="s">
        <v>556</v>
      </c>
      <c r="C160" s="75" t="s">
        <v>395</v>
      </c>
      <c r="D160" s="859">
        <f t="shared" si="151"/>
        <v>508000</v>
      </c>
      <c r="E160" s="859">
        <f t="shared" si="152"/>
        <v>1016000</v>
      </c>
      <c r="F160" s="141"/>
      <c r="G160" s="141"/>
      <c r="H160" s="141"/>
      <c r="I160" s="141"/>
      <c r="J160" s="141">
        <v>150000</v>
      </c>
      <c r="K160" s="421">
        <f>+J160-80000</f>
        <v>70000</v>
      </c>
      <c r="L160" s="352">
        <v>250000</v>
      </c>
      <c r="M160" s="141">
        <f>+L160+400000+80000</f>
        <v>730000</v>
      </c>
      <c r="N160" s="141"/>
      <c r="O160" s="141"/>
      <c r="P160" s="141"/>
      <c r="Q160" s="141"/>
      <c r="R160" s="141">
        <v>108000</v>
      </c>
      <c r="S160" s="421">
        <f>+R160+108000</f>
        <v>216000</v>
      </c>
      <c r="T160" s="352">
        <f>+E160</f>
        <v>1016000</v>
      </c>
      <c r="U160" s="396"/>
      <c r="V160" s="396"/>
      <c r="W160" s="396"/>
      <c r="X160" s="396"/>
      <c r="Y160" s="78" t="s">
        <v>222</v>
      </c>
      <c r="Z160" s="10" t="e">
        <f>+T160+U160+W160+#REF!</f>
        <v>#REF!</v>
      </c>
      <c r="AA160" s="139">
        <f t="shared" ref="AA160:AA166" si="163">SUM(T160:X160)</f>
        <v>1016000</v>
      </c>
      <c r="AB160" s="139">
        <f t="shared" si="149"/>
        <v>508000</v>
      </c>
    </row>
    <row r="161" spans="1:28" ht="24.75" customHeight="1" x14ac:dyDescent="0.2">
      <c r="A161" s="395" t="s">
        <v>132</v>
      </c>
      <c r="B161" s="127" t="s">
        <v>510</v>
      </c>
      <c r="C161" s="75" t="s">
        <v>511</v>
      </c>
      <c r="D161" s="859">
        <f t="shared" si="151"/>
        <v>381000</v>
      </c>
      <c r="E161" s="859">
        <f t="shared" si="152"/>
        <v>381000</v>
      </c>
      <c r="F161" s="141"/>
      <c r="G161" s="141"/>
      <c r="H161" s="141"/>
      <c r="I161" s="141"/>
      <c r="J161" s="141"/>
      <c r="K161" s="421"/>
      <c r="L161" s="352">
        <v>300000</v>
      </c>
      <c r="M161" s="141">
        <f t="shared" si="154"/>
        <v>300000</v>
      </c>
      <c r="N161" s="141"/>
      <c r="O161" s="141"/>
      <c r="P161" s="141"/>
      <c r="Q161" s="141"/>
      <c r="R161" s="141">
        <v>81000</v>
      </c>
      <c r="S161" s="421">
        <f t="shared" si="153"/>
        <v>81000</v>
      </c>
      <c r="T161" s="352">
        <f t="shared" si="155"/>
        <v>381000</v>
      </c>
      <c r="U161" s="396"/>
      <c r="V161" s="396"/>
      <c r="W161" s="396"/>
      <c r="X161" s="396"/>
      <c r="Y161" s="78" t="s">
        <v>222</v>
      </c>
      <c r="AA161" s="139">
        <f t="shared" si="163"/>
        <v>381000</v>
      </c>
      <c r="AB161" s="139">
        <f t="shared" si="149"/>
        <v>0</v>
      </c>
    </row>
    <row r="162" spans="1:28" ht="21.75" customHeight="1" x14ac:dyDescent="0.2">
      <c r="A162" s="395" t="s">
        <v>151</v>
      </c>
      <c r="B162" s="127" t="s">
        <v>394</v>
      </c>
      <c r="C162" s="75" t="s">
        <v>396</v>
      </c>
      <c r="D162" s="859">
        <f t="shared" si="151"/>
        <v>254000</v>
      </c>
      <c r="E162" s="859">
        <f t="shared" si="152"/>
        <v>254000</v>
      </c>
      <c r="F162" s="141"/>
      <c r="G162" s="141"/>
      <c r="H162" s="141"/>
      <c r="I162" s="141"/>
      <c r="J162" s="141"/>
      <c r="K162" s="421"/>
      <c r="L162" s="352">
        <v>200000</v>
      </c>
      <c r="M162" s="141">
        <f t="shared" si="154"/>
        <v>200000</v>
      </c>
      <c r="N162" s="141"/>
      <c r="O162" s="141"/>
      <c r="P162" s="141"/>
      <c r="Q162" s="141"/>
      <c r="R162" s="141">
        <v>54000</v>
      </c>
      <c r="S162" s="421">
        <f t="shared" si="153"/>
        <v>54000</v>
      </c>
      <c r="T162" s="352">
        <f t="shared" si="155"/>
        <v>254000</v>
      </c>
      <c r="U162" s="396"/>
      <c r="V162" s="396"/>
      <c r="W162" s="396"/>
      <c r="X162" s="396"/>
      <c r="Y162" s="78" t="s">
        <v>223</v>
      </c>
      <c r="AA162" s="139">
        <f t="shared" si="163"/>
        <v>254000</v>
      </c>
      <c r="AB162" s="139">
        <f t="shared" si="149"/>
        <v>0</v>
      </c>
    </row>
    <row r="163" spans="1:28" ht="24" customHeight="1" x14ac:dyDescent="0.2">
      <c r="A163" s="395" t="s">
        <v>152</v>
      </c>
      <c r="B163" s="127" t="s">
        <v>166</v>
      </c>
      <c r="C163" s="75" t="s">
        <v>172</v>
      </c>
      <c r="D163" s="859">
        <f t="shared" si="151"/>
        <v>63500</v>
      </c>
      <c r="E163" s="859">
        <f t="shared" si="152"/>
        <v>63500</v>
      </c>
      <c r="F163" s="141"/>
      <c r="G163" s="141"/>
      <c r="H163" s="141"/>
      <c r="I163" s="141"/>
      <c r="J163" s="141"/>
      <c r="K163" s="421"/>
      <c r="L163" s="352">
        <v>50000</v>
      </c>
      <c r="M163" s="141">
        <f t="shared" si="154"/>
        <v>50000</v>
      </c>
      <c r="N163" s="141"/>
      <c r="O163" s="141"/>
      <c r="P163" s="141"/>
      <c r="Q163" s="141"/>
      <c r="R163" s="141">
        <v>13500</v>
      </c>
      <c r="S163" s="421">
        <f t="shared" si="153"/>
        <v>13500</v>
      </c>
      <c r="T163" s="352">
        <f t="shared" si="155"/>
        <v>63500</v>
      </c>
      <c r="U163" s="396"/>
      <c r="V163" s="396"/>
      <c r="W163" s="396"/>
      <c r="X163" s="396"/>
      <c r="Y163" s="78" t="s">
        <v>223</v>
      </c>
      <c r="Z163" s="10" t="e">
        <f>+T163+U163+W163+#REF!</f>
        <v>#REF!</v>
      </c>
      <c r="AA163" s="139">
        <f t="shared" si="163"/>
        <v>63500</v>
      </c>
      <c r="AB163" s="139">
        <f t="shared" si="149"/>
        <v>0</v>
      </c>
    </row>
    <row r="164" spans="1:28" ht="24" customHeight="1" x14ac:dyDescent="0.2">
      <c r="A164" s="395" t="s">
        <v>133</v>
      </c>
      <c r="B164" s="127" t="s">
        <v>167</v>
      </c>
      <c r="C164" s="75" t="s">
        <v>512</v>
      </c>
      <c r="D164" s="859">
        <f t="shared" si="151"/>
        <v>635000</v>
      </c>
      <c r="E164" s="859">
        <f t="shared" si="152"/>
        <v>635000</v>
      </c>
      <c r="F164" s="141"/>
      <c r="G164" s="141"/>
      <c r="H164" s="141"/>
      <c r="I164" s="141"/>
      <c r="J164" s="141"/>
      <c r="K164" s="421"/>
      <c r="L164" s="352">
        <v>500000</v>
      </c>
      <c r="M164" s="141">
        <f t="shared" si="154"/>
        <v>500000</v>
      </c>
      <c r="N164" s="141"/>
      <c r="O164" s="141"/>
      <c r="P164" s="141"/>
      <c r="Q164" s="141"/>
      <c r="R164" s="141">
        <v>135000</v>
      </c>
      <c r="S164" s="421">
        <f t="shared" si="153"/>
        <v>135000</v>
      </c>
      <c r="T164" s="352">
        <f t="shared" si="155"/>
        <v>635000</v>
      </c>
      <c r="U164" s="396"/>
      <c r="V164" s="396"/>
      <c r="W164" s="396"/>
      <c r="X164" s="396"/>
      <c r="Y164" s="78" t="s">
        <v>222</v>
      </c>
      <c r="AA164" s="139">
        <f t="shared" si="163"/>
        <v>635000</v>
      </c>
      <c r="AB164" s="139">
        <f t="shared" si="149"/>
        <v>0</v>
      </c>
    </row>
    <row r="165" spans="1:28" ht="32.25" customHeight="1" x14ac:dyDescent="0.2">
      <c r="A165" s="395" t="s">
        <v>134</v>
      </c>
      <c r="B165" s="127" t="s">
        <v>167</v>
      </c>
      <c r="C165" s="75" t="s">
        <v>513</v>
      </c>
      <c r="D165" s="859">
        <f t="shared" si="151"/>
        <v>254000</v>
      </c>
      <c r="E165" s="859">
        <f t="shared" si="152"/>
        <v>254000</v>
      </c>
      <c r="F165" s="141"/>
      <c r="G165" s="141"/>
      <c r="H165" s="141"/>
      <c r="I165" s="141"/>
      <c r="J165" s="141"/>
      <c r="K165" s="421"/>
      <c r="L165" s="352">
        <v>200000</v>
      </c>
      <c r="M165" s="141">
        <f t="shared" si="154"/>
        <v>200000</v>
      </c>
      <c r="N165" s="141"/>
      <c r="O165" s="141"/>
      <c r="P165" s="141"/>
      <c r="Q165" s="141"/>
      <c r="R165" s="141">
        <v>54000</v>
      </c>
      <c r="S165" s="421">
        <f t="shared" si="153"/>
        <v>54000</v>
      </c>
      <c r="T165" s="352">
        <f t="shared" si="155"/>
        <v>254000</v>
      </c>
      <c r="U165" s="396"/>
      <c r="V165" s="396"/>
      <c r="W165" s="396"/>
      <c r="X165" s="396"/>
      <c r="Y165" s="78" t="s">
        <v>222</v>
      </c>
      <c r="Z165" s="10" t="e">
        <f>+T165+U165+W165+#REF!</f>
        <v>#REF!</v>
      </c>
      <c r="AA165" s="139">
        <f t="shared" si="163"/>
        <v>254000</v>
      </c>
      <c r="AB165" s="139">
        <f t="shared" si="149"/>
        <v>0</v>
      </c>
    </row>
    <row r="166" spans="1:28" ht="29.25" customHeight="1" x14ac:dyDescent="0.2">
      <c r="A166" s="398" t="s">
        <v>135</v>
      </c>
      <c r="B166" s="401" t="s">
        <v>761</v>
      </c>
      <c r="C166" s="75" t="s">
        <v>841</v>
      </c>
      <c r="D166" s="859">
        <f t="shared" si="151"/>
        <v>635000</v>
      </c>
      <c r="E166" s="859">
        <f t="shared" si="152"/>
        <v>635000</v>
      </c>
      <c r="F166" s="141"/>
      <c r="G166" s="141"/>
      <c r="H166" s="141"/>
      <c r="I166" s="141"/>
      <c r="J166" s="141"/>
      <c r="K166" s="421"/>
      <c r="L166" s="1579">
        <v>500000</v>
      </c>
      <c r="M166" s="141">
        <f t="shared" si="154"/>
        <v>500000</v>
      </c>
      <c r="N166" s="141"/>
      <c r="O166" s="141"/>
      <c r="P166" s="141"/>
      <c r="Q166" s="141"/>
      <c r="R166" s="141">
        <v>135000</v>
      </c>
      <c r="S166" s="421">
        <f t="shared" si="153"/>
        <v>135000</v>
      </c>
      <c r="T166" s="1579">
        <f t="shared" si="155"/>
        <v>635000</v>
      </c>
      <c r="U166" s="396"/>
      <c r="V166" s="396"/>
      <c r="W166" s="396"/>
      <c r="X166" s="396"/>
      <c r="Y166" s="78" t="s">
        <v>223</v>
      </c>
      <c r="AA166" s="139">
        <f t="shared" si="163"/>
        <v>635000</v>
      </c>
      <c r="AB166" s="139">
        <f t="shared" si="149"/>
        <v>0</v>
      </c>
    </row>
    <row r="167" spans="1:28" ht="24" customHeight="1" x14ac:dyDescent="0.2">
      <c r="A167" s="395" t="s">
        <v>466</v>
      </c>
      <c r="B167" s="127" t="s">
        <v>514</v>
      </c>
      <c r="C167" s="75" t="s">
        <v>515</v>
      </c>
      <c r="D167" s="859">
        <f t="shared" si="151"/>
        <v>508000</v>
      </c>
      <c r="E167" s="859">
        <f>+G167+I167+K167+M167+O167+Q167+S167</f>
        <v>508000</v>
      </c>
      <c r="F167" s="141"/>
      <c r="G167" s="141"/>
      <c r="H167" s="141"/>
      <c r="I167" s="141"/>
      <c r="J167" s="141">
        <v>200000</v>
      </c>
      <c r="K167" s="421">
        <f>+J167</f>
        <v>200000</v>
      </c>
      <c r="L167" s="1579">
        <v>200000</v>
      </c>
      <c r="M167" s="141">
        <f t="shared" si="154"/>
        <v>200000</v>
      </c>
      <c r="N167" s="141"/>
      <c r="O167" s="141"/>
      <c r="P167" s="141"/>
      <c r="Q167" s="141"/>
      <c r="R167" s="141">
        <v>108000</v>
      </c>
      <c r="S167" s="421">
        <f t="shared" si="153"/>
        <v>108000</v>
      </c>
      <c r="T167" s="1579">
        <f t="shared" si="155"/>
        <v>508000</v>
      </c>
      <c r="U167" s="396"/>
      <c r="V167" s="396"/>
      <c r="W167" s="396"/>
      <c r="X167" s="396"/>
      <c r="Y167" s="78" t="s">
        <v>223</v>
      </c>
      <c r="AA167" s="139">
        <f t="shared" ref="AA167:AA185" si="164">SUM(T167:X167)</f>
        <v>508000</v>
      </c>
      <c r="AB167" s="139">
        <f t="shared" si="149"/>
        <v>0</v>
      </c>
    </row>
    <row r="168" spans="1:28" ht="24" customHeight="1" x14ac:dyDescent="0.2">
      <c r="A168" s="395" t="s">
        <v>468</v>
      </c>
      <c r="B168" s="127" t="s">
        <v>516</v>
      </c>
      <c r="C168" s="75" t="s">
        <v>517</v>
      </c>
      <c r="D168" s="859">
        <f t="shared" si="151"/>
        <v>635000</v>
      </c>
      <c r="E168" s="859">
        <f t="shared" si="152"/>
        <v>1555750</v>
      </c>
      <c r="F168" s="141"/>
      <c r="G168" s="141"/>
      <c r="H168" s="141"/>
      <c r="I168" s="141"/>
      <c r="J168" s="141">
        <v>500000</v>
      </c>
      <c r="K168" s="421">
        <f>+J168-153517-16000</f>
        <v>330483</v>
      </c>
      <c r="L168" s="1579"/>
      <c r="M168" s="141">
        <f>725000+153517+16000</f>
        <v>894517</v>
      </c>
      <c r="N168" s="141"/>
      <c r="O168" s="141"/>
      <c r="P168" s="141"/>
      <c r="Q168" s="141"/>
      <c r="R168" s="141">
        <v>135000</v>
      </c>
      <c r="S168" s="421">
        <f>+R168+195750</f>
        <v>330750</v>
      </c>
      <c r="T168" s="352">
        <f>+E168</f>
        <v>1555750</v>
      </c>
      <c r="U168" s="396"/>
      <c r="V168" s="396"/>
      <c r="W168" s="396"/>
      <c r="X168" s="396"/>
      <c r="Y168" s="78" t="s">
        <v>223</v>
      </c>
      <c r="AA168" s="139">
        <f t="shared" si="164"/>
        <v>1555750</v>
      </c>
      <c r="AB168" s="139">
        <f t="shared" si="149"/>
        <v>920750</v>
      </c>
    </row>
    <row r="169" spans="1:28" ht="25.15" customHeight="1" x14ac:dyDescent="0.2">
      <c r="A169" s="395" t="s">
        <v>153</v>
      </c>
      <c r="B169" s="127" t="s">
        <v>168</v>
      </c>
      <c r="C169" s="75" t="s">
        <v>170</v>
      </c>
      <c r="D169" s="859">
        <f t="shared" si="151"/>
        <v>698500</v>
      </c>
      <c r="E169" s="859">
        <f t="shared" si="152"/>
        <v>698500</v>
      </c>
      <c r="F169" s="141"/>
      <c r="G169" s="141"/>
      <c r="H169" s="141"/>
      <c r="I169" s="141"/>
      <c r="J169" s="141">
        <v>250000</v>
      </c>
      <c r="K169" s="421">
        <f>+J169</f>
        <v>250000</v>
      </c>
      <c r="L169" s="352">
        <v>300000</v>
      </c>
      <c r="M169" s="141">
        <f>+L169</f>
        <v>300000</v>
      </c>
      <c r="N169" s="141"/>
      <c r="O169" s="141"/>
      <c r="P169" s="141"/>
      <c r="Q169" s="141"/>
      <c r="R169" s="141">
        <v>148500</v>
      </c>
      <c r="S169" s="421">
        <f t="shared" si="153"/>
        <v>148500</v>
      </c>
      <c r="T169" s="352">
        <f t="shared" si="155"/>
        <v>698500</v>
      </c>
      <c r="U169" s="396"/>
      <c r="V169" s="396"/>
      <c r="W169" s="396"/>
      <c r="X169" s="396"/>
      <c r="Y169" s="78" t="s">
        <v>222</v>
      </c>
      <c r="Z169" s="10" t="e">
        <f>+T169+U169+W169+#REF!</f>
        <v>#REF!</v>
      </c>
      <c r="AA169" s="139">
        <f t="shared" si="164"/>
        <v>698500</v>
      </c>
      <c r="AB169" s="139">
        <f t="shared" si="149"/>
        <v>0</v>
      </c>
    </row>
    <row r="170" spans="1:28" ht="24.75" customHeight="1" x14ac:dyDescent="0.2">
      <c r="A170" s="735" t="s">
        <v>67</v>
      </c>
      <c r="B170" s="1488" t="s">
        <v>169</v>
      </c>
      <c r="C170" s="934" t="s">
        <v>171</v>
      </c>
      <c r="D170" s="708">
        <f t="shared" si="151"/>
        <v>254000</v>
      </c>
      <c r="E170" s="708">
        <f t="shared" si="152"/>
        <v>254000</v>
      </c>
      <c r="F170" s="167"/>
      <c r="G170" s="167"/>
      <c r="H170" s="167"/>
      <c r="I170" s="167"/>
      <c r="J170" s="167"/>
      <c r="K170" s="740"/>
      <c r="L170" s="730">
        <v>200000</v>
      </c>
      <c r="M170" s="167">
        <f>+L170</f>
        <v>200000</v>
      </c>
      <c r="N170" s="167"/>
      <c r="O170" s="167"/>
      <c r="P170" s="167"/>
      <c r="Q170" s="167"/>
      <c r="R170" s="167">
        <v>54000</v>
      </c>
      <c r="S170" s="740">
        <f t="shared" si="153"/>
        <v>54000</v>
      </c>
      <c r="T170" s="730">
        <f t="shared" si="155"/>
        <v>254000</v>
      </c>
      <c r="U170" s="372"/>
      <c r="V170" s="372"/>
      <c r="W170" s="372"/>
      <c r="X170" s="372"/>
      <c r="Y170" s="194" t="s">
        <v>222</v>
      </c>
      <c r="Z170" s="10" t="e">
        <f>+T170+U170+W170+#REF!</f>
        <v>#REF!</v>
      </c>
      <c r="AA170" s="139">
        <f t="shared" si="164"/>
        <v>254000</v>
      </c>
      <c r="AB170" s="139">
        <f t="shared" si="149"/>
        <v>0</v>
      </c>
    </row>
    <row r="171" spans="1:28" ht="29.25" customHeight="1" x14ac:dyDescent="0.2">
      <c r="A171" s="739" t="s">
        <v>68</v>
      </c>
      <c r="B171" s="159" t="s">
        <v>557</v>
      </c>
      <c r="C171" s="364" t="s">
        <v>173</v>
      </c>
      <c r="D171" s="933">
        <f t="shared" si="151"/>
        <v>0</v>
      </c>
      <c r="E171" s="933">
        <f t="shared" si="152"/>
        <v>0</v>
      </c>
      <c r="F171" s="108"/>
      <c r="G171" s="108"/>
      <c r="H171" s="108"/>
      <c r="I171" s="108"/>
      <c r="J171" s="108"/>
      <c r="K171" s="1539"/>
      <c r="L171" s="403"/>
      <c r="M171" s="108"/>
      <c r="N171" s="108"/>
      <c r="O171" s="108"/>
      <c r="P171" s="108"/>
      <c r="Q171" s="108"/>
      <c r="R171" s="108"/>
      <c r="S171" s="1539"/>
      <c r="T171" s="403">
        <f t="shared" si="155"/>
        <v>0</v>
      </c>
      <c r="U171" s="142"/>
      <c r="V171" s="142"/>
      <c r="W171" s="142"/>
      <c r="X171" s="142"/>
      <c r="Y171" s="77" t="s">
        <v>222</v>
      </c>
      <c r="Z171" s="10" t="e">
        <f>+T171+U171+W171+#REF!</f>
        <v>#REF!</v>
      </c>
      <c r="AA171" s="139">
        <f t="shared" si="164"/>
        <v>0</v>
      </c>
      <c r="AB171" s="139">
        <f t="shared" si="149"/>
        <v>0</v>
      </c>
    </row>
    <row r="172" spans="1:28" ht="29.25" customHeight="1" x14ac:dyDescent="0.2">
      <c r="A172" s="395" t="s">
        <v>154</v>
      </c>
      <c r="B172" s="127" t="s">
        <v>557</v>
      </c>
      <c r="C172" s="75" t="s">
        <v>1247</v>
      </c>
      <c r="D172" s="859">
        <f t="shared" si="151"/>
        <v>508000</v>
      </c>
      <c r="E172" s="859">
        <f t="shared" si="152"/>
        <v>508000</v>
      </c>
      <c r="F172" s="141"/>
      <c r="G172" s="141"/>
      <c r="H172" s="141"/>
      <c r="I172" s="141"/>
      <c r="J172" s="141"/>
      <c r="K172" s="421"/>
      <c r="L172" s="352">
        <v>400000</v>
      </c>
      <c r="M172" s="141">
        <f>+L172</f>
        <v>400000</v>
      </c>
      <c r="N172" s="141"/>
      <c r="O172" s="141"/>
      <c r="P172" s="141"/>
      <c r="Q172" s="141"/>
      <c r="R172" s="141">
        <v>108000</v>
      </c>
      <c r="S172" s="421">
        <f>+R172</f>
        <v>108000</v>
      </c>
      <c r="T172" s="352">
        <f t="shared" si="155"/>
        <v>508000</v>
      </c>
      <c r="U172" s="396"/>
      <c r="V172" s="396"/>
      <c r="W172" s="396"/>
      <c r="X172" s="396"/>
      <c r="Y172" s="78" t="s">
        <v>222</v>
      </c>
      <c r="Z172" s="10" t="e">
        <f>+T172+U172+W172+#REF!</f>
        <v>#REF!</v>
      </c>
      <c r="AA172" s="139">
        <f t="shared" si="164"/>
        <v>508000</v>
      </c>
      <c r="AB172" s="139">
        <f t="shared" si="149"/>
        <v>0</v>
      </c>
    </row>
    <row r="173" spans="1:28" ht="29.25" customHeight="1" x14ac:dyDescent="0.2">
      <c r="A173" s="395" t="s">
        <v>155</v>
      </c>
      <c r="B173" s="127" t="s">
        <v>557</v>
      </c>
      <c r="C173" s="75" t="s">
        <v>174</v>
      </c>
      <c r="D173" s="859">
        <f t="shared" si="151"/>
        <v>0</v>
      </c>
      <c r="E173" s="859">
        <f t="shared" si="152"/>
        <v>0</v>
      </c>
      <c r="F173" s="141"/>
      <c r="G173" s="141"/>
      <c r="H173" s="141"/>
      <c r="I173" s="141"/>
      <c r="J173" s="141"/>
      <c r="K173" s="421"/>
      <c r="L173" s="352"/>
      <c r="M173" s="141"/>
      <c r="N173" s="141"/>
      <c r="O173" s="141"/>
      <c r="P173" s="141"/>
      <c r="Q173" s="141"/>
      <c r="R173" s="141"/>
      <c r="S173" s="421"/>
      <c r="T173" s="352">
        <f t="shared" si="155"/>
        <v>0</v>
      </c>
      <c r="U173" s="396"/>
      <c r="V173" s="396"/>
      <c r="W173" s="396"/>
      <c r="X173" s="396"/>
      <c r="Y173" s="78" t="s">
        <v>222</v>
      </c>
      <c r="Z173" s="10" t="e">
        <f>+T173+U173+W173+#REF!</f>
        <v>#REF!</v>
      </c>
      <c r="AA173" s="139">
        <f t="shared" si="164"/>
        <v>0</v>
      </c>
      <c r="AB173" s="139">
        <f t="shared" si="149"/>
        <v>0</v>
      </c>
    </row>
    <row r="174" spans="1:28" ht="22.5" customHeight="1" x14ac:dyDescent="0.2">
      <c r="A174" s="395" t="s">
        <v>165</v>
      </c>
      <c r="B174" s="401" t="s">
        <v>558</v>
      </c>
      <c r="C174" s="75" t="s">
        <v>175</v>
      </c>
      <c r="D174" s="859">
        <f t="shared" si="151"/>
        <v>0</v>
      </c>
      <c r="E174" s="859">
        <f t="shared" si="152"/>
        <v>0</v>
      </c>
      <c r="F174" s="141"/>
      <c r="G174" s="141"/>
      <c r="H174" s="141"/>
      <c r="I174" s="141"/>
      <c r="J174" s="141"/>
      <c r="K174" s="421"/>
      <c r="L174" s="352"/>
      <c r="M174" s="141"/>
      <c r="N174" s="141"/>
      <c r="O174" s="141"/>
      <c r="P174" s="141"/>
      <c r="Q174" s="141"/>
      <c r="R174" s="141"/>
      <c r="S174" s="421"/>
      <c r="T174" s="352">
        <f t="shared" si="155"/>
        <v>0</v>
      </c>
      <c r="U174" s="396"/>
      <c r="V174" s="396"/>
      <c r="W174" s="396"/>
      <c r="X174" s="396"/>
      <c r="Y174" s="78" t="s">
        <v>222</v>
      </c>
      <c r="Z174" s="10" t="e">
        <f>+T174+U174+W174+#REF!</f>
        <v>#REF!</v>
      </c>
      <c r="AA174" s="139">
        <f t="shared" si="164"/>
        <v>0</v>
      </c>
      <c r="AB174" s="139">
        <f t="shared" si="149"/>
        <v>0</v>
      </c>
    </row>
    <row r="175" spans="1:28" ht="24.75" customHeight="1" x14ac:dyDescent="0.2">
      <c r="A175" s="395" t="s">
        <v>151</v>
      </c>
      <c r="B175" s="127" t="s">
        <v>176</v>
      </c>
      <c r="C175" s="75" t="s">
        <v>596</v>
      </c>
      <c r="D175" s="859">
        <f t="shared" si="151"/>
        <v>762000</v>
      </c>
      <c r="E175" s="859">
        <f t="shared" si="152"/>
        <v>762000</v>
      </c>
      <c r="F175" s="141">
        <v>100000</v>
      </c>
      <c r="G175" s="141">
        <f>+F175</f>
        <v>100000</v>
      </c>
      <c r="H175" s="141"/>
      <c r="I175" s="141"/>
      <c r="J175" s="141">
        <v>250000</v>
      </c>
      <c r="K175" s="421">
        <f>+J175</f>
        <v>250000</v>
      </c>
      <c r="L175" s="352">
        <v>250000</v>
      </c>
      <c r="M175" s="141">
        <f>+L175</f>
        <v>250000</v>
      </c>
      <c r="N175" s="141"/>
      <c r="O175" s="141"/>
      <c r="P175" s="141"/>
      <c r="Q175" s="141"/>
      <c r="R175" s="141">
        <v>162000</v>
      </c>
      <c r="S175" s="421">
        <f t="shared" ref="S175:S181" si="165">+R175</f>
        <v>162000</v>
      </c>
      <c r="T175" s="352">
        <f t="shared" si="155"/>
        <v>762000</v>
      </c>
      <c r="U175" s="396"/>
      <c r="V175" s="396"/>
      <c r="W175" s="396"/>
      <c r="X175" s="396"/>
      <c r="Y175" s="78" t="s">
        <v>222</v>
      </c>
      <c r="Z175" s="10" t="e">
        <f>+T175+U175+W175+#REF!</f>
        <v>#REF!</v>
      </c>
      <c r="AA175" s="139">
        <f t="shared" si="164"/>
        <v>762000</v>
      </c>
      <c r="AB175" s="139">
        <f t="shared" si="149"/>
        <v>0</v>
      </c>
    </row>
    <row r="176" spans="1:28" ht="31.5" customHeight="1" x14ac:dyDescent="0.2">
      <c r="A176" s="395" t="s">
        <v>134</v>
      </c>
      <c r="B176" s="127" t="s">
        <v>1253</v>
      </c>
      <c r="C176" s="75" t="s">
        <v>1254</v>
      </c>
      <c r="D176" s="859">
        <f t="shared" si="151"/>
        <v>209139</v>
      </c>
      <c r="E176" s="859">
        <f t="shared" si="152"/>
        <v>208383</v>
      </c>
      <c r="F176" s="141"/>
      <c r="G176" s="141"/>
      <c r="H176" s="141"/>
      <c r="I176" s="141"/>
      <c r="J176" s="141">
        <v>164676</v>
      </c>
      <c r="K176" s="421">
        <f>+J176-15323</f>
        <v>149353</v>
      </c>
      <c r="L176" s="352"/>
      <c r="M176" s="141">
        <v>14567</v>
      </c>
      <c r="N176" s="141"/>
      <c r="O176" s="141"/>
      <c r="P176" s="141"/>
      <c r="Q176" s="141"/>
      <c r="R176" s="141">
        <v>44463</v>
      </c>
      <c r="S176" s="421">
        <f t="shared" si="165"/>
        <v>44463</v>
      </c>
      <c r="T176" s="352">
        <f>+E176</f>
        <v>208383</v>
      </c>
      <c r="U176" s="396"/>
      <c r="V176" s="396"/>
      <c r="W176" s="396"/>
      <c r="X176" s="396"/>
      <c r="Y176" s="78" t="s">
        <v>222</v>
      </c>
      <c r="AA176" s="139"/>
      <c r="AB176" s="139"/>
    </row>
    <row r="177" spans="1:29" ht="24.75" customHeight="1" x14ac:dyDescent="0.2">
      <c r="A177" s="395" t="s">
        <v>91</v>
      </c>
      <c r="B177" s="127" t="s">
        <v>599</v>
      </c>
      <c r="C177" s="75" t="s">
        <v>597</v>
      </c>
      <c r="D177" s="859">
        <f t="shared" si="151"/>
        <v>762000</v>
      </c>
      <c r="E177" s="859">
        <f t="shared" si="152"/>
        <v>1287400</v>
      </c>
      <c r="F177" s="141">
        <v>100000</v>
      </c>
      <c r="G177" s="141">
        <f>+F177</f>
        <v>100000</v>
      </c>
      <c r="H177" s="141"/>
      <c r="I177" s="141"/>
      <c r="J177" s="141"/>
      <c r="K177" s="421">
        <f>20000+31000</f>
        <v>51000</v>
      </c>
      <c r="L177" s="352">
        <v>500000</v>
      </c>
      <c r="M177" s="141">
        <f>+L177+393701-31000</f>
        <v>862701</v>
      </c>
      <c r="N177" s="141"/>
      <c r="O177" s="141"/>
      <c r="P177" s="141"/>
      <c r="Q177" s="141"/>
      <c r="R177" s="141">
        <v>162000</v>
      </c>
      <c r="S177" s="421">
        <f>+R177+106299+5400</f>
        <v>273699</v>
      </c>
      <c r="T177" s="352">
        <f>+E177</f>
        <v>1287400</v>
      </c>
      <c r="U177" s="396"/>
      <c r="V177" s="396"/>
      <c r="W177" s="396"/>
      <c r="X177" s="396"/>
      <c r="Y177" s="78" t="s">
        <v>222</v>
      </c>
      <c r="Z177" s="10" t="e">
        <f>+T177+U177+W177+#REF!</f>
        <v>#REF!</v>
      </c>
      <c r="AA177" s="139">
        <f t="shared" si="164"/>
        <v>1287400</v>
      </c>
      <c r="AB177" s="139">
        <f t="shared" si="149"/>
        <v>525400</v>
      </c>
    </row>
    <row r="178" spans="1:29" ht="31.5" customHeight="1" x14ac:dyDescent="0.2">
      <c r="A178" s="395" t="s">
        <v>132</v>
      </c>
      <c r="B178" s="127" t="s">
        <v>559</v>
      </c>
      <c r="C178" s="75" t="s">
        <v>598</v>
      </c>
      <c r="D178" s="859">
        <f t="shared" si="151"/>
        <v>1460500</v>
      </c>
      <c r="E178" s="859">
        <f t="shared" si="152"/>
        <v>2095500</v>
      </c>
      <c r="F178" s="141"/>
      <c r="G178" s="141"/>
      <c r="H178" s="141"/>
      <c r="I178" s="141"/>
      <c r="J178" s="141">
        <v>150000</v>
      </c>
      <c r="K178" s="421">
        <f>+J178+300000+500000</f>
        <v>950000</v>
      </c>
      <c r="L178" s="352">
        <v>1000000</v>
      </c>
      <c r="M178" s="141">
        <f>+L178-300000</f>
        <v>700000</v>
      </c>
      <c r="N178" s="141"/>
      <c r="O178" s="141"/>
      <c r="P178" s="141"/>
      <c r="Q178" s="141"/>
      <c r="R178" s="141">
        <v>310500</v>
      </c>
      <c r="S178" s="421">
        <f>+R178+135000</f>
        <v>445500</v>
      </c>
      <c r="T178" s="352">
        <f>+E178</f>
        <v>2095500</v>
      </c>
      <c r="U178" s="396"/>
      <c r="V178" s="396"/>
      <c r="W178" s="396"/>
      <c r="X178" s="396"/>
      <c r="Y178" s="78" t="s">
        <v>222</v>
      </c>
      <c r="AA178" s="139">
        <f t="shared" si="164"/>
        <v>2095500</v>
      </c>
      <c r="AB178" s="139">
        <f t="shared" si="149"/>
        <v>635000</v>
      </c>
    </row>
    <row r="179" spans="1:29" ht="25.5" customHeight="1" x14ac:dyDescent="0.2">
      <c r="A179" s="398" t="s">
        <v>151</v>
      </c>
      <c r="B179" s="401" t="s">
        <v>635</v>
      </c>
      <c r="C179" s="75" t="s">
        <v>636</v>
      </c>
      <c r="D179" s="859">
        <f t="shared" si="151"/>
        <v>127000</v>
      </c>
      <c r="E179" s="859">
        <f t="shared" si="152"/>
        <v>127000</v>
      </c>
      <c r="F179" s="141"/>
      <c r="G179" s="141"/>
      <c r="H179" s="141"/>
      <c r="I179" s="141"/>
      <c r="J179" s="141"/>
      <c r="K179" s="421"/>
      <c r="L179" s="352">
        <v>100000</v>
      </c>
      <c r="M179" s="141">
        <f>+L179</f>
        <v>100000</v>
      </c>
      <c r="N179" s="141"/>
      <c r="O179" s="141"/>
      <c r="P179" s="141"/>
      <c r="Q179" s="141"/>
      <c r="R179" s="141">
        <v>27000</v>
      </c>
      <c r="S179" s="421">
        <f t="shared" si="165"/>
        <v>27000</v>
      </c>
      <c r="T179" s="352">
        <f t="shared" si="155"/>
        <v>127000</v>
      </c>
      <c r="U179" s="396"/>
      <c r="V179" s="396"/>
      <c r="W179" s="396"/>
      <c r="X179" s="396"/>
      <c r="Y179" s="78" t="s">
        <v>223</v>
      </c>
      <c r="AA179" s="139">
        <f t="shared" si="164"/>
        <v>127000</v>
      </c>
      <c r="AB179" s="139">
        <f t="shared" si="149"/>
        <v>0</v>
      </c>
    </row>
    <row r="180" spans="1:29" ht="24.75" customHeight="1" x14ac:dyDescent="0.2">
      <c r="A180" s="395" t="s">
        <v>91</v>
      </c>
      <c r="B180" s="127" t="s">
        <v>164</v>
      </c>
      <c r="C180" s="75" t="s">
        <v>560</v>
      </c>
      <c r="D180" s="859">
        <f t="shared" si="151"/>
        <v>762000</v>
      </c>
      <c r="E180" s="859">
        <f t="shared" si="152"/>
        <v>1778000</v>
      </c>
      <c r="F180" s="141"/>
      <c r="G180" s="141"/>
      <c r="H180" s="141"/>
      <c r="I180" s="141"/>
      <c r="J180" s="141"/>
      <c r="K180" s="421">
        <f>200000+800000</f>
        <v>1000000</v>
      </c>
      <c r="L180" s="352">
        <v>600000</v>
      </c>
      <c r="M180" s="141">
        <f>+L180-200000</f>
        <v>400000</v>
      </c>
      <c r="N180" s="141"/>
      <c r="O180" s="141"/>
      <c r="P180" s="141"/>
      <c r="Q180" s="141"/>
      <c r="R180" s="141">
        <v>162000</v>
      </c>
      <c r="S180" s="421">
        <f>+R180+216000</f>
        <v>378000</v>
      </c>
      <c r="T180" s="352">
        <f>+E180</f>
        <v>1778000</v>
      </c>
      <c r="U180" s="396"/>
      <c r="V180" s="396"/>
      <c r="W180" s="396"/>
      <c r="X180" s="396"/>
      <c r="Y180" s="78" t="s">
        <v>222</v>
      </c>
      <c r="Z180" s="10" t="e">
        <f>+T180+U180+W180+#REF!</f>
        <v>#REF!</v>
      </c>
      <c r="AA180" s="139">
        <f t="shared" si="164"/>
        <v>1778000</v>
      </c>
      <c r="AB180" s="139">
        <f t="shared" si="149"/>
        <v>1016000</v>
      </c>
    </row>
    <row r="181" spans="1:29" ht="24.75" customHeight="1" x14ac:dyDescent="0.2">
      <c r="A181" s="395" t="s">
        <v>151</v>
      </c>
      <c r="B181" s="127" t="s">
        <v>1560</v>
      </c>
      <c r="C181" s="75" t="s">
        <v>560</v>
      </c>
      <c r="D181" s="859">
        <f t="shared" si="151"/>
        <v>127000</v>
      </c>
      <c r="E181" s="859">
        <f t="shared" si="152"/>
        <v>127000</v>
      </c>
      <c r="F181" s="141"/>
      <c r="G181" s="141"/>
      <c r="H181" s="141"/>
      <c r="I181" s="141"/>
      <c r="J181" s="141"/>
      <c r="K181" s="421"/>
      <c r="L181" s="352">
        <v>100000</v>
      </c>
      <c r="M181" s="141">
        <f>+L181</f>
        <v>100000</v>
      </c>
      <c r="N181" s="141"/>
      <c r="O181" s="141"/>
      <c r="P181" s="141"/>
      <c r="Q181" s="141"/>
      <c r="R181" s="141">
        <v>27000</v>
      </c>
      <c r="S181" s="421">
        <f t="shared" si="165"/>
        <v>27000</v>
      </c>
      <c r="T181" s="352">
        <f t="shared" si="155"/>
        <v>127000</v>
      </c>
      <c r="U181" s="396"/>
      <c r="V181" s="396"/>
      <c r="W181" s="396"/>
      <c r="X181" s="396"/>
      <c r="Y181" s="78" t="s">
        <v>222</v>
      </c>
      <c r="AA181" s="139"/>
      <c r="AB181" s="139"/>
    </row>
    <row r="182" spans="1:29" ht="24.75" customHeight="1" x14ac:dyDescent="0.2">
      <c r="A182" s="395" t="s">
        <v>152</v>
      </c>
      <c r="B182" s="128">
        <v>104042</v>
      </c>
      <c r="C182" s="75" t="s">
        <v>561</v>
      </c>
      <c r="D182" s="859">
        <f t="shared" si="151"/>
        <v>0</v>
      </c>
      <c r="E182" s="859">
        <f t="shared" si="152"/>
        <v>0</v>
      </c>
      <c r="F182" s="141"/>
      <c r="G182" s="141"/>
      <c r="H182" s="141"/>
      <c r="I182" s="141"/>
      <c r="J182" s="141"/>
      <c r="K182" s="421"/>
      <c r="L182" s="352"/>
      <c r="M182" s="141"/>
      <c r="N182" s="141"/>
      <c r="O182" s="141"/>
      <c r="P182" s="141"/>
      <c r="Q182" s="141"/>
      <c r="R182" s="141"/>
      <c r="S182" s="421"/>
      <c r="T182" s="352">
        <f t="shared" si="155"/>
        <v>0</v>
      </c>
      <c r="U182" s="396"/>
      <c r="V182" s="396"/>
      <c r="W182" s="396"/>
      <c r="X182" s="396"/>
      <c r="Y182" s="78" t="s">
        <v>222</v>
      </c>
      <c r="AA182" s="139"/>
      <c r="AB182" s="139"/>
    </row>
    <row r="183" spans="1:29" ht="24.75" customHeight="1" x14ac:dyDescent="0.2">
      <c r="A183" s="398" t="s">
        <v>133</v>
      </c>
      <c r="B183" s="128">
        <v>104042</v>
      </c>
      <c r="C183" s="75" t="s">
        <v>875</v>
      </c>
      <c r="D183" s="859">
        <f t="shared" si="151"/>
        <v>240000</v>
      </c>
      <c r="E183" s="859">
        <f t="shared" si="152"/>
        <v>240000</v>
      </c>
      <c r="F183" s="141"/>
      <c r="G183" s="141"/>
      <c r="H183" s="141"/>
      <c r="I183" s="141"/>
      <c r="J183" s="141"/>
      <c r="K183" s="421"/>
      <c r="L183" s="352">
        <v>188976</v>
      </c>
      <c r="M183" s="141">
        <f>+L183</f>
        <v>188976</v>
      </c>
      <c r="N183" s="141"/>
      <c r="O183" s="141"/>
      <c r="P183" s="141"/>
      <c r="Q183" s="141"/>
      <c r="R183" s="141">
        <v>51024</v>
      </c>
      <c r="S183" s="421">
        <f>+R183</f>
        <v>51024</v>
      </c>
      <c r="T183" s="352">
        <f>+D183</f>
        <v>240000</v>
      </c>
      <c r="U183" s="396"/>
      <c r="V183" s="396"/>
      <c r="W183" s="396"/>
      <c r="X183" s="396"/>
      <c r="Y183" s="78" t="s">
        <v>222</v>
      </c>
      <c r="Z183" s="10" t="e">
        <f>+T183+U183+W183+#REF!</f>
        <v>#REF!</v>
      </c>
      <c r="AA183" s="139">
        <f t="shared" si="164"/>
        <v>240000</v>
      </c>
      <c r="AB183" s="139">
        <f>+AA183-D183</f>
        <v>0</v>
      </c>
    </row>
    <row r="184" spans="1:29" ht="19.5" customHeight="1" x14ac:dyDescent="0.2">
      <c r="A184" s="706" t="s">
        <v>26</v>
      </c>
      <c r="B184" s="707"/>
      <c r="C184" s="707"/>
      <c r="D184" s="708">
        <f>+D142</f>
        <v>70589521</v>
      </c>
      <c r="E184" s="708">
        <f>+E142</f>
        <v>87321020</v>
      </c>
      <c r="F184" s="708">
        <f t="shared" ref="F184:S184" si="166">+F142</f>
        <v>1500000</v>
      </c>
      <c r="G184" s="708">
        <f t="shared" si="166"/>
        <v>1500000</v>
      </c>
      <c r="H184" s="708">
        <f t="shared" si="166"/>
        <v>0</v>
      </c>
      <c r="I184" s="708">
        <f t="shared" si="166"/>
        <v>0</v>
      </c>
      <c r="J184" s="708">
        <f t="shared" si="166"/>
        <v>9514676</v>
      </c>
      <c r="K184" s="709">
        <f t="shared" si="166"/>
        <v>14829672</v>
      </c>
      <c r="L184" s="973">
        <f t="shared" si="166"/>
        <v>44567623</v>
      </c>
      <c r="M184" s="708">
        <f t="shared" si="166"/>
        <v>52003492</v>
      </c>
      <c r="N184" s="708">
        <f t="shared" si="166"/>
        <v>0</v>
      </c>
      <c r="O184" s="708">
        <f t="shared" si="166"/>
        <v>0</v>
      </c>
      <c r="P184" s="708">
        <f t="shared" si="166"/>
        <v>0</v>
      </c>
      <c r="Q184" s="708">
        <f t="shared" si="166"/>
        <v>0</v>
      </c>
      <c r="R184" s="708">
        <f t="shared" si="166"/>
        <v>15007222</v>
      </c>
      <c r="S184" s="709">
        <f t="shared" si="166"/>
        <v>18987856</v>
      </c>
      <c r="T184" s="973">
        <f>T142</f>
        <v>87321020</v>
      </c>
      <c r="U184" s="710">
        <f>+U142</f>
        <v>0</v>
      </c>
      <c r="V184" s="710">
        <f>+V142</f>
        <v>0</v>
      </c>
      <c r="W184" s="710">
        <f>+W142</f>
        <v>0</v>
      </c>
      <c r="X184" s="710"/>
      <c r="Y184" s="194"/>
      <c r="Z184" s="10" t="e">
        <f>+T184+U184+W184+#REF!</f>
        <v>#REF!</v>
      </c>
      <c r="AA184" s="139">
        <f t="shared" si="164"/>
        <v>87321020</v>
      </c>
      <c r="AB184" s="139">
        <f>+AA184-D184</f>
        <v>16731499</v>
      </c>
      <c r="AC184" s="11"/>
    </row>
    <row r="185" spans="1:29" ht="30.75" customHeight="1" x14ac:dyDescent="0.25">
      <c r="A185" s="1533" t="s">
        <v>29</v>
      </c>
      <c r="B185" s="1540"/>
      <c r="C185" s="711"/>
      <c r="D185" s="712">
        <f>+D184+D141</f>
        <v>1479496135</v>
      </c>
      <c r="E185" s="712">
        <f>+E184+E141</f>
        <v>2375780545</v>
      </c>
      <c r="F185" s="712">
        <f t="shared" ref="F185:W185" si="167">+F184+F141</f>
        <v>2610000</v>
      </c>
      <c r="G185" s="712">
        <f t="shared" si="167"/>
        <v>19104016</v>
      </c>
      <c r="H185" s="712">
        <f t="shared" si="167"/>
        <v>1107891653</v>
      </c>
      <c r="I185" s="712">
        <f t="shared" si="167"/>
        <v>1987390676</v>
      </c>
      <c r="J185" s="712">
        <f t="shared" si="167"/>
        <v>9914676</v>
      </c>
      <c r="K185" s="713">
        <f t="shared" si="167"/>
        <v>17024672</v>
      </c>
      <c r="L185" s="714">
        <f t="shared" si="167"/>
        <v>56156268</v>
      </c>
      <c r="M185" s="712">
        <f t="shared" si="167"/>
        <v>123986705</v>
      </c>
      <c r="N185" s="712">
        <f t="shared" si="167"/>
        <v>0</v>
      </c>
      <c r="O185" s="712">
        <f t="shared" si="167"/>
        <v>0</v>
      </c>
      <c r="P185" s="712">
        <f t="shared" si="167"/>
        <v>0</v>
      </c>
      <c r="Q185" s="712">
        <f t="shared" si="167"/>
        <v>0</v>
      </c>
      <c r="R185" s="712">
        <f t="shared" si="167"/>
        <v>302923538</v>
      </c>
      <c r="S185" s="713">
        <f t="shared" si="167"/>
        <v>228274476</v>
      </c>
      <c r="T185" s="714">
        <f>+T184+T141</f>
        <v>1615929670</v>
      </c>
      <c r="U185" s="712">
        <f t="shared" si="167"/>
        <v>279850875</v>
      </c>
      <c r="V185" s="712">
        <f t="shared" si="167"/>
        <v>480000000</v>
      </c>
      <c r="W185" s="712">
        <f t="shared" si="167"/>
        <v>0</v>
      </c>
      <c r="X185" s="712">
        <f>+X184+X141</f>
        <v>727586700</v>
      </c>
      <c r="Y185" s="715"/>
      <c r="Z185" s="10" t="e">
        <f>+T185+U185+W185+#REF!</f>
        <v>#REF!</v>
      </c>
      <c r="AA185" s="139">
        <f t="shared" si="164"/>
        <v>3103367245</v>
      </c>
      <c r="AB185" s="139">
        <f>+AA185-D185</f>
        <v>1623871110</v>
      </c>
      <c r="AC185" s="12"/>
    </row>
    <row r="187" spans="1:29" x14ac:dyDescent="0.2">
      <c r="D187" s="139"/>
      <c r="E187" s="139">
        <f>+E188-E185</f>
        <v>0</v>
      </c>
    </row>
    <row r="188" spans="1:29" ht="15.75" x14ac:dyDescent="0.25">
      <c r="D188" s="10"/>
      <c r="E188" s="972">
        <f>+V189</f>
        <v>2375780545</v>
      </c>
    </row>
    <row r="189" spans="1:29" x14ac:dyDescent="0.2">
      <c r="V189" s="15">
        <f>SUM(T185:W185)</f>
        <v>2375780545</v>
      </c>
    </row>
    <row r="191" spans="1:29" x14ac:dyDescent="0.2">
      <c r="D191" s="139"/>
      <c r="E191" s="139"/>
    </row>
  </sheetData>
  <mergeCells count="28">
    <mergeCell ref="A1:K1"/>
    <mergeCell ref="S4:S5"/>
    <mergeCell ref="C3:C5"/>
    <mergeCell ref="A3:A5"/>
    <mergeCell ref="B3:B5"/>
    <mergeCell ref="R4:R5"/>
    <mergeCell ref="F4:F5"/>
    <mergeCell ref="E4:E5"/>
    <mergeCell ref="G4:G5"/>
    <mergeCell ref="I4:I5"/>
    <mergeCell ref="K4:K5"/>
    <mergeCell ref="M4:M5"/>
    <mergeCell ref="O4:O5"/>
    <mergeCell ref="Q4:Q5"/>
    <mergeCell ref="H4:H5"/>
    <mergeCell ref="L4:L5"/>
    <mergeCell ref="T3:Y3"/>
    <mergeCell ref="T4:T6"/>
    <mergeCell ref="U4:U6"/>
    <mergeCell ref="V4:V6"/>
    <mergeCell ref="W4:W6"/>
    <mergeCell ref="X4:X6"/>
    <mergeCell ref="Y4:Y6"/>
    <mergeCell ref="J4:J5"/>
    <mergeCell ref="D4:D5"/>
    <mergeCell ref="N4:N5"/>
    <mergeCell ref="P4:P5"/>
    <mergeCell ref="A6:D6"/>
  </mergeCells>
  <phoneticPr fontId="50" type="noConversion"/>
  <printOptions horizontalCentered="1" verticalCentered="1"/>
  <pageMargins left="0.11811023622047245" right="0.11811023622047245" top="0.15748031496062992" bottom="0.15748031496062992" header="0.31496062992125984" footer="0.31496062992125984"/>
  <pageSetup paperSize="9" scale="60" orientation="landscape" r:id="rId1"/>
  <headerFooter>
    <oddHeader>&amp;C2023. évi költségvetés&amp;R&amp;A</oddHeader>
    <oddFooter>&amp;C&amp;P/&amp;N</oddFooter>
  </headerFooter>
  <rowBreaks count="8" manualBreakCount="8">
    <brk id="25" max="24" man="1"/>
    <brk id="47" max="24" man="1"/>
    <brk id="66" max="24" man="1"/>
    <brk id="87" max="24" man="1"/>
    <brk id="111" max="24" man="1"/>
    <brk id="129" max="24" man="1"/>
    <brk id="150" max="24" man="1"/>
    <brk id="170" max="24" man="1"/>
  </rowBreaks>
  <colBreaks count="2" manualBreakCount="2">
    <brk id="11" max="183" man="1"/>
    <brk id="19" max="18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U101"/>
  <sheetViews>
    <sheetView view="pageBreakPreview" zoomScale="80" zoomScaleNormal="80" zoomScaleSheetLayoutView="80" workbookViewId="0">
      <pane xSplit="3" ySplit="9" topLeftCell="D21" activePane="bottomRight" state="frozen"/>
      <selection pane="topRight" activeCell="E1" sqref="E1"/>
      <selection pane="bottomLeft" activeCell="A10" sqref="A10"/>
      <selection pane="bottomRight" activeCell="F25" sqref="F25"/>
    </sheetView>
  </sheetViews>
  <sheetFormatPr defaultRowHeight="12.75" x14ac:dyDescent="0.2"/>
  <cols>
    <col min="1" max="1" width="6.5703125" style="10" customWidth="1"/>
    <col min="2" max="2" width="12" style="10" customWidth="1"/>
    <col min="3" max="3" width="57.7109375" style="10" customWidth="1"/>
    <col min="4" max="5" width="16.42578125" style="305" customWidth="1"/>
    <col min="6" max="7" width="16.7109375" style="305" customWidth="1"/>
    <col min="8" max="9" width="16.5703125" style="305" customWidth="1"/>
    <col min="10" max="11" width="16.7109375" style="305" customWidth="1"/>
    <col min="12" max="13" width="16.28515625" style="305" customWidth="1"/>
    <col min="14" max="14" width="16.28515625" style="307" customWidth="1"/>
    <col min="15" max="17" width="13.5703125" style="305" customWidth="1"/>
    <col min="18" max="18" width="16.140625" style="305" customWidth="1"/>
    <col min="19" max="19" width="12.7109375" style="305" bestFit="1" customWidth="1"/>
    <col min="20" max="20" width="11.140625" style="305" customWidth="1"/>
    <col min="21" max="22" width="9.140625" style="305"/>
    <col min="23" max="24" width="13.7109375" style="305" bestFit="1" customWidth="1"/>
    <col min="25" max="16384" width="9.140625" style="305"/>
  </cols>
  <sheetData>
    <row r="1" spans="1:21" ht="27.75" customHeight="1" x14ac:dyDescent="0.2">
      <c r="A1" s="1872" t="s">
        <v>178</v>
      </c>
      <c r="B1" s="1872"/>
      <c r="C1" s="1872"/>
      <c r="D1" s="1872"/>
      <c r="E1" s="1872"/>
      <c r="F1" s="1872"/>
      <c r="G1" s="1872"/>
      <c r="H1" s="1872"/>
      <c r="I1" s="1872"/>
      <c r="J1" s="1872"/>
      <c r="K1" s="1872"/>
      <c r="L1" s="1872"/>
      <c r="M1" s="1872"/>
      <c r="N1" s="1686"/>
      <c r="O1" s="1686"/>
      <c r="P1" s="1686"/>
      <c r="Q1" s="1686"/>
      <c r="R1" s="1686"/>
      <c r="S1" s="1686"/>
    </row>
    <row r="2" spans="1:21" ht="27.75" customHeight="1" x14ac:dyDescent="0.25">
      <c r="A2" s="978"/>
      <c r="B2" s="978"/>
      <c r="C2" s="978"/>
      <c r="D2" s="978"/>
      <c r="E2" s="978"/>
      <c r="F2" s="978"/>
      <c r="G2" s="978"/>
      <c r="H2" s="978"/>
      <c r="I2" s="978"/>
      <c r="J2" s="978"/>
      <c r="K2" s="978"/>
      <c r="L2" s="978"/>
      <c r="M2" s="979" t="s">
        <v>431</v>
      </c>
      <c r="N2" s="978"/>
      <c r="O2" s="978"/>
      <c r="P2" s="978"/>
      <c r="Q2" s="978"/>
      <c r="R2" s="978"/>
      <c r="S2" s="979" t="s">
        <v>431</v>
      </c>
    </row>
    <row r="3" spans="1:21" ht="42.75" customHeight="1" x14ac:dyDescent="0.2">
      <c r="A3" s="1871" t="s">
        <v>749</v>
      </c>
      <c r="B3" s="1871" t="s">
        <v>1</v>
      </c>
      <c r="C3" s="1871" t="s">
        <v>2</v>
      </c>
      <c r="D3" s="376" t="s">
        <v>273</v>
      </c>
      <c r="E3" s="959" t="s">
        <v>1561</v>
      </c>
      <c r="F3" s="376" t="s">
        <v>273</v>
      </c>
      <c r="G3" s="959" t="s">
        <v>1561</v>
      </c>
      <c r="H3" s="376" t="s">
        <v>273</v>
      </c>
      <c r="I3" s="959" t="s">
        <v>1561</v>
      </c>
      <c r="J3" s="376" t="s">
        <v>273</v>
      </c>
      <c r="K3" s="959" t="s">
        <v>1561</v>
      </c>
      <c r="L3" s="376" t="s">
        <v>273</v>
      </c>
      <c r="M3" s="959" t="s">
        <v>1561</v>
      </c>
      <c r="N3" s="1874" t="s">
        <v>1348</v>
      </c>
      <c r="O3" s="1874"/>
      <c r="P3" s="1874"/>
      <c r="Q3" s="1874"/>
      <c r="R3" s="1874"/>
      <c r="S3" s="1875"/>
    </row>
    <row r="4" spans="1:21" ht="40.5" customHeight="1" x14ac:dyDescent="0.2">
      <c r="A4" s="1871"/>
      <c r="B4" s="1871"/>
      <c r="C4" s="1871"/>
      <c r="D4" s="1880" t="s">
        <v>1347</v>
      </c>
      <c r="E4" s="1882" t="s">
        <v>1347</v>
      </c>
      <c r="F4" s="1878" t="s">
        <v>112</v>
      </c>
      <c r="G4" s="1878" t="s">
        <v>112</v>
      </c>
      <c r="H4" s="1878" t="s">
        <v>111</v>
      </c>
      <c r="I4" s="1878" t="s">
        <v>111</v>
      </c>
      <c r="J4" s="1878" t="s">
        <v>6</v>
      </c>
      <c r="K4" s="1878" t="s">
        <v>6</v>
      </c>
      <c r="L4" s="1878" t="s">
        <v>7</v>
      </c>
      <c r="M4" s="1878" t="s">
        <v>7</v>
      </c>
      <c r="N4" s="1876" t="s">
        <v>1277</v>
      </c>
      <c r="O4" s="1877" t="s">
        <v>9</v>
      </c>
      <c r="P4" s="1877" t="s">
        <v>184</v>
      </c>
      <c r="Q4" s="1877" t="s">
        <v>10</v>
      </c>
      <c r="R4" s="1877" t="s">
        <v>627</v>
      </c>
      <c r="S4" s="1871" t="s">
        <v>11</v>
      </c>
    </row>
    <row r="5" spans="1:21" ht="68.25" customHeight="1" x14ac:dyDescent="0.2">
      <c r="A5" s="1871"/>
      <c r="B5" s="1871"/>
      <c r="C5" s="1871"/>
      <c r="D5" s="1881"/>
      <c r="E5" s="1883"/>
      <c r="F5" s="1879"/>
      <c r="G5" s="1879"/>
      <c r="H5" s="1879"/>
      <c r="I5" s="1879"/>
      <c r="J5" s="1879"/>
      <c r="K5" s="1879"/>
      <c r="L5" s="1879"/>
      <c r="M5" s="1879"/>
      <c r="N5" s="1876"/>
      <c r="O5" s="1877"/>
      <c r="P5" s="1877"/>
      <c r="Q5" s="1877"/>
      <c r="R5" s="1877"/>
      <c r="S5" s="1871"/>
    </row>
    <row r="6" spans="1:21" ht="19.5" customHeight="1" x14ac:dyDescent="0.2">
      <c r="A6" s="1802" t="s">
        <v>245</v>
      </c>
      <c r="B6" s="1803"/>
      <c r="C6" s="1803"/>
      <c r="D6" s="1803"/>
      <c r="E6" s="1619"/>
      <c r="F6" s="1619" t="s">
        <v>107</v>
      </c>
      <c r="G6" s="1619" t="s">
        <v>107</v>
      </c>
      <c r="H6" s="1619" t="s">
        <v>108</v>
      </c>
      <c r="I6" s="1619" t="s">
        <v>108</v>
      </c>
      <c r="J6" s="1619" t="s">
        <v>109</v>
      </c>
      <c r="K6" s="1619" t="s">
        <v>109</v>
      </c>
      <c r="L6" s="1619" t="s">
        <v>110</v>
      </c>
      <c r="M6" s="1497" t="s">
        <v>110</v>
      </c>
      <c r="N6" s="1534"/>
      <c r="O6" s="1529"/>
      <c r="P6" s="1529"/>
      <c r="Q6" s="1529"/>
      <c r="R6" s="1529"/>
      <c r="S6" s="977"/>
    </row>
    <row r="7" spans="1:21" ht="15.75" customHeight="1" x14ac:dyDescent="0.2">
      <c r="A7" s="1886" t="s">
        <v>106</v>
      </c>
      <c r="B7" s="1887"/>
      <c r="C7" s="1888"/>
      <c r="D7" s="309">
        <f>SUM(D8:D8)</f>
        <v>0</v>
      </c>
      <c r="E7" s="309">
        <f t="shared" ref="E7:M7" si="0">SUM(E8:E8)</f>
        <v>0</v>
      </c>
      <c r="F7" s="309">
        <f t="shared" si="0"/>
        <v>0</v>
      </c>
      <c r="G7" s="309">
        <f t="shared" si="0"/>
        <v>0</v>
      </c>
      <c r="H7" s="309">
        <f t="shared" si="0"/>
        <v>0</v>
      </c>
      <c r="I7" s="309">
        <f t="shared" si="0"/>
        <v>0</v>
      </c>
      <c r="J7" s="309">
        <f t="shared" si="0"/>
        <v>0</v>
      </c>
      <c r="K7" s="309">
        <f t="shared" si="0"/>
        <v>0</v>
      </c>
      <c r="L7" s="309">
        <f t="shared" si="0"/>
        <v>0</v>
      </c>
      <c r="M7" s="313">
        <f t="shared" si="0"/>
        <v>0</v>
      </c>
      <c r="N7" s="314">
        <f>SUM(N8:N8)</f>
        <v>0</v>
      </c>
      <c r="O7" s="309">
        <f>SUM(O8:O8)</f>
        <v>0</v>
      </c>
      <c r="P7" s="309">
        <f>SUM(P8:P8)</f>
        <v>0</v>
      </c>
      <c r="Q7" s="309">
        <f>SUM(Q8:Q8)</f>
        <v>0</v>
      </c>
      <c r="R7" s="309">
        <f>SUM(R8:R8)</f>
        <v>0</v>
      </c>
      <c r="S7" s="977"/>
      <c r="T7" s="305" t="e">
        <f>+N7+O7+Q7+#REF!</f>
        <v>#REF!</v>
      </c>
      <c r="U7" s="305" t="e">
        <f>+D7-T7</f>
        <v>#REF!</v>
      </c>
    </row>
    <row r="8" spans="1:21" ht="28.5" customHeight="1" x14ac:dyDescent="0.2">
      <c r="A8" s="148"/>
      <c r="B8" s="150"/>
      <c r="C8" s="1530"/>
      <c r="D8" s="309">
        <f>+F8+H8+J8+L8</f>
        <v>0</v>
      </c>
      <c r="E8" s="309">
        <f>+G8+I8+K8+M8</f>
        <v>0</v>
      </c>
      <c r="F8" s="309"/>
      <c r="G8" s="309"/>
      <c r="H8" s="309"/>
      <c r="I8" s="309"/>
      <c r="J8" s="309"/>
      <c r="K8" s="309"/>
      <c r="L8" s="309"/>
      <c r="M8" s="313"/>
      <c r="N8" s="1535">
        <f>D8</f>
        <v>0</v>
      </c>
      <c r="O8" s="1531"/>
      <c r="P8" s="1531"/>
      <c r="Q8" s="1531"/>
      <c r="R8" s="1531"/>
      <c r="S8" s="310"/>
      <c r="T8" s="305" t="e">
        <f>+N8+O8+Q8+#REF!</f>
        <v>#REF!</v>
      </c>
      <c r="U8" s="305" t="e">
        <f>+D8-T8</f>
        <v>#REF!</v>
      </c>
    </row>
    <row r="9" spans="1:21" ht="20.25" customHeight="1" x14ac:dyDescent="0.2">
      <c r="A9" s="1884" t="s">
        <v>105</v>
      </c>
      <c r="B9" s="1885"/>
      <c r="C9" s="1885"/>
      <c r="D9" s="1532">
        <f>SUM(D10:D29)</f>
        <v>266068695</v>
      </c>
      <c r="E9" s="1532">
        <f t="shared" ref="E9:R9" si="1">SUM(E10:E29)</f>
        <v>334136454</v>
      </c>
      <c r="F9" s="1532">
        <f t="shared" si="1"/>
        <v>209502908</v>
      </c>
      <c r="G9" s="1532">
        <f>SUM(G10:G29)</f>
        <v>248952916</v>
      </c>
      <c r="H9" s="1532">
        <f t="shared" si="1"/>
        <v>0</v>
      </c>
      <c r="I9" s="1532">
        <f t="shared" si="1"/>
        <v>0</v>
      </c>
      <c r="J9" s="1532">
        <f t="shared" si="1"/>
        <v>0</v>
      </c>
      <c r="K9" s="1532">
        <f t="shared" si="1"/>
        <v>14146653</v>
      </c>
      <c r="L9" s="1532">
        <f t="shared" si="1"/>
        <v>56565787</v>
      </c>
      <c r="M9" s="1537">
        <f t="shared" si="1"/>
        <v>71036885</v>
      </c>
      <c r="N9" s="1536">
        <f t="shared" si="1"/>
        <v>334136454</v>
      </c>
      <c r="O9" s="1532">
        <f t="shared" si="1"/>
        <v>0</v>
      </c>
      <c r="P9" s="1532">
        <f t="shared" si="1"/>
        <v>0</v>
      </c>
      <c r="Q9" s="1532">
        <f t="shared" si="1"/>
        <v>0</v>
      </c>
      <c r="R9" s="1532">
        <f t="shared" si="1"/>
        <v>0</v>
      </c>
      <c r="S9" s="310"/>
      <c r="T9" s="305" t="e">
        <f>+N9+O9+Q9+#REF!</f>
        <v>#REF!</v>
      </c>
      <c r="U9" s="305" t="e">
        <f>+D9-T9</f>
        <v>#REF!</v>
      </c>
    </row>
    <row r="10" spans="1:21" ht="30" customHeight="1" x14ac:dyDescent="0.2">
      <c r="A10" s="1703" t="s">
        <v>128</v>
      </c>
      <c r="B10" s="1704" t="s">
        <v>583</v>
      </c>
      <c r="C10" s="1705" t="s">
        <v>2246</v>
      </c>
      <c r="D10" s="701">
        <f t="shared" ref="D10:E13" si="2">+F10+H10+J10+L10</f>
        <v>0</v>
      </c>
      <c r="E10" s="701">
        <f t="shared" si="2"/>
        <v>1524000</v>
      </c>
      <c r="F10" s="1706"/>
      <c r="G10" s="1707">
        <v>1200000</v>
      </c>
      <c r="H10" s="1707"/>
      <c r="I10" s="1707"/>
      <c r="J10" s="1707"/>
      <c r="K10" s="1707"/>
      <c r="L10" s="1707"/>
      <c r="M10" s="1708">
        <v>324000</v>
      </c>
      <c r="N10" s="1710">
        <f>+E10</f>
        <v>1524000</v>
      </c>
      <c r="O10" s="1706"/>
      <c r="P10" s="1706"/>
      <c r="Q10" s="1706"/>
      <c r="R10" s="1706"/>
      <c r="S10" s="700" t="s">
        <v>222</v>
      </c>
    </row>
    <row r="11" spans="1:21" ht="30" customHeight="1" x14ac:dyDescent="0.2">
      <c r="A11" s="398" t="s">
        <v>128</v>
      </c>
      <c r="B11" s="401" t="s">
        <v>583</v>
      </c>
      <c r="C11" s="1709" t="s">
        <v>2568</v>
      </c>
      <c r="D11" s="857">
        <f t="shared" ref="D11" si="3">+F11+H11+J11+L11</f>
        <v>0</v>
      </c>
      <c r="E11" s="857">
        <f t="shared" ref="E11" si="4">+G11+I11+K11+M11</f>
        <v>17931634</v>
      </c>
      <c r="F11" s="1393"/>
      <c r="G11" s="741">
        <v>14119397</v>
      </c>
      <c r="H11" s="741"/>
      <c r="I11" s="741"/>
      <c r="J11" s="741"/>
      <c r="K11" s="741"/>
      <c r="L11" s="741"/>
      <c r="M11" s="852">
        <v>3812237</v>
      </c>
      <c r="N11" s="970">
        <f>+E11</f>
        <v>17931634</v>
      </c>
      <c r="O11" s="1393"/>
      <c r="P11" s="1393"/>
      <c r="Q11" s="1393"/>
      <c r="R11" s="1393"/>
      <c r="S11" s="78" t="s">
        <v>222</v>
      </c>
    </row>
    <row r="12" spans="1:21" ht="30.75" customHeight="1" x14ac:dyDescent="0.2">
      <c r="A12" s="398" t="s">
        <v>91</v>
      </c>
      <c r="B12" s="401" t="s">
        <v>130</v>
      </c>
      <c r="C12" s="74" t="s">
        <v>1924</v>
      </c>
      <c r="D12" s="857">
        <f t="shared" si="2"/>
        <v>0</v>
      </c>
      <c r="E12" s="857">
        <f t="shared" si="2"/>
        <v>1765427</v>
      </c>
      <c r="F12" s="741"/>
      <c r="G12" s="741">
        <v>1390100</v>
      </c>
      <c r="H12" s="741"/>
      <c r="I12" s="741"/>
      <c r="J12" s="741"/>
      <c r="K12" s="741"/>
      <c r="L12" s="741"/>
      <c r="M12" s="852">
        <v>375327</v>
      </c>
      <c r="N12" s="970">
        <f>+E12</f>
        <v>1765427</v>
      </c>
      <c r="O12" s="741"/>
      <c r="P12" s="741"/>
      <c r="Q12" s="741"/>
      <c r="R12" s="741"/>
      <c r="S12" s="78" t="s">
        <v>222</v>
      </c>
    </row>
    <row r="13" spans="1:21" ht="33" customHeight="1" x14ac:dyDescent="0.2">
      <c r="A13" s="398" t="s">
        <v>134</v>
      </c>
      <c r="B13" s="401" t="s">
        <v>620</v>
      </c>
      <c r="C13" s="74" t="s">
        <v>2312</v>
      </c>
      <c r="D13" s="857">
        <f t="shared" si="2"/>
        <v>941070</v>
      </c>
      <c r="E13" s="857">
        <f t="shared" si="2"/>
        <v>10092119</v>
      </c>
      <c r="F13" s="741">
        <v>741000</v>
      </c>
      <c r="G13" s="741">
        <f>+F13+6500000+155550+400000+150000</f>
        <v>7946550</v>
      </c>
      <c r="H13" s="741"/>
      <c r="I13" s="741"/>
      <c r="J13" s="741"/>
      <c r="K13" s="741"/>
      <c r="L13" s="741">
        <v>200070</v>
      </c>
      <c r="M13" s="852">
        <f>+L13+1755000+41999+108000+40500</f>
        <v>2145569</v>
      </c>
      <c r="N13" s="970">
        <f t="shared" ref="N13:N29" si="5">+E13</f>
        <v>10092119</v>
      </c>
      <c r="O13" s="1393"/>
      <c r="P13" s="1393"/>
      <c r="Q13" s="1393"/>
      <c r="R13" s="1393"/>
      <c r="S13" s="78" t="s">
        <v>222</v>
      </c>
    </row>
    <row r="14" spans="1:21" ht="32.25" customHeight="1" x14ac:dyDescent="0.2">
      <c r="A14" s="398" t="s">
        <v>134</v>
      </c>
      <c r="B14" s="401" t="s">
        <v>620</v>
      </c>
      <c r="C14" s="74" t="s">
        <v>2313</v>
      </c>
      <c r="D14" s="857">
        <f t="shared" ref="D14:D29" si="6">+F14+H14+J14+L14</f>
        <v>1930400</v>
      </c>
      <c r="E14" s="857">
        <f t="shared" ref="E14:E29" si="7">+G14+I14+K14+M14</f>
        <v>42042230</v>
      </c>
      <c r="F14" s="741">
        <v>1520000</v>
      </c>
      <c r="G14" s="741">
        <f>+F14+28000000+1965018+750000+869100</f>
        <v>33104118</v>
      </c>
      <c r="H14" s="741"/>
      <c r="I14" s="741"/>
      <c r="J14" s="741"/>
      <c r="K14" s="741"/>
      <c r="L14" s="741">
        <v>410400</v>
      </c>
      <c r="M14" s="852">
        <f>+L14+7560000+530555+202500+234657</f>
        <v>8938112</v>
      </c>
      <c r="N14" s="970">
        <f t="shared" si="5"/>
        <v>42042230</v>
      </c>
      <c r="O14" s="1393"/>
      <c r="P14" s="1393"/>
      <c r="Q14" s="1393"/>
      <c r="R14" s="1393"/>
      <c r="S14" s="78" t="s">
        <v>222</v>
      </c>
    </row>
    <row r="15" spans="1:21" ht="29.25" customHeight="1" x14ac:dyDescent="0.2">
      <c r="A15" s="398" t="s">
        <v>134</v>
      </c>
      <c r="B15" s="401" t="s">
        <v>620</v>
      </c>
      <c r="C15" s="74" t="s">
        <v>2314</v>
      </c>
      <c r="D15" s="857">
        <f t="shared" si="6"/>
        <v>603250</v>
      </c>
      <c r="E15" s="857">
        <f t="shared" si="7"/>
        <v>7588250</v>
      </c>
      <c r="F15" s="741">
        <v>475000</v>
      </c>
      <c r="G15" s="741">
        <f>+F15+5500000</f>
        <v>5975000</v>
      </c>
      <c r="H15" s="741"/>
      <c r="I15" s="741"/>
      <c r="J15" s="741"/>
      <c r="K15" s="741"/>
      <c r="L15" s="741">
        <v>128250</v>
      </c>
      <c r="M15" s="852">
        <f>+L15+1485000</f>
        <v>1613250</v>
      </c>
      <c r="N15" s="970">
        <f t="shared" si="5"/>
        <v>7588250</v>
      </c>
      <c r="O15" s="1393"/>
      <c r="P15" s="1393"/>
      <c r="Q15" s="1393"/>
      <c r="R15" s="1393"/>
      <c r="S15" s="78" t="s">
        <v>222</v>
      </c>
    </row>
    <row r="16" spans="1:21" ht="29.25" customHeight="1" x14ac:dyDescent="0.2">
      <c r="A16" s="398" t="s">
        <v>134</v>
      </c>
      <c r="B16" s="401" t="s">
        <v>620</v>
      </c>
      <c r="C16" s="74" t="s">
        <v>2707</v>
      </c>
      <c r="D16" s="857">
        <f t="shared" ref="D16" si="8">+F16+H16+J16+L16</f>
        <v>0</v>
      </c>
      <c r="E16" s="857">
        <f t="shared" ref="E16" si="9">+G16+I16+K16+M16</f>
        <v>2956052</v>
      </c>
      <c r="F16" s="741"/>
      <c r="G16" s="741">
        <v>2327600</v>
      </c>
      <c r="H16" s="741"/>
      <c r="I16" s="741"/>
      <c r="J16" s="741"/>
      <c r="K16" s="741"/>
      <c r="L16" s="741"/>
      <c r="M16" s="852">
        <v>628452</v>
      </c>
      <c r="N16" s="970">
        <f>+E16</f>
        <v>2956052</v>
      </c>
      <c r="O16" s="1393"/>
      <c r="P16" s="1393"/>
      <c r="Q16" s="1393"/>
      <c r="R16" s="1393"/>
      <c r="S16" s="78" t="s">
        <v>222</v>
      </c>
    </row>
    <row r="17" spans="1:21" ht="29.25" customHeight="1" x14ac:dyDescent="0.2">
      <c r="A17" s="398" t="s">
        <v>134</v>
      </c>
      <c r="B17" s="401" t="s">
        <v>620</v>
      </c>
      <c r="C17" s="74" t="s">
        <v>2872</v>
      </c>
      <c r="D17" s="857">
        <f t="shared" ref="D17" si="10">+F17+H17+J17+L17</f>
        <v>0</v>
      </c>
      <c r="E17" s="857">
        <f t="shared" ref="E17" si="11">+G17+I17+K17+M17</f>
        <v>594360</v>
      </c>
      <c r="F17" s="741"/>
      <c r="G17" s="741">
        <v>468000</v>
      </c>
      <c r="H17" s="741"/>
      <c r="I17" s="741"/>
      <c r="J17" s="741"/>
      <c r="K17" s="741"/>
      <c r="L17" s="741"/>
      <c r="M17" s="852">
        <v>126360</v>
      </c>
      <c r="N17" s="970">
        <f>+E17</f>
        <v>594360</v>
      </c>
      <c r="O17" s="1393"/>
      <c r="P17" s="1393"/>
      <c r="Q17" s="1393"/>
      <c r="R17" s="1393"/>
      <c r="S17" s="78" t="s">
        <v>222</v>
      </c>
    </row>
    <row r="18" spans="1:21" ht="29.25" customHeight="1" x14ac:dyDescent="0.2">
      <c r="A18" s="398" t="s">
        <v>134</v>
      </c>
      <c r="B18" s="401" t="s">
        <v>620</v>
      </c>
      <c r="C18" s="74" t="s">
        <v>2882</v>
      </c>
      <c r="D18" s="857">
        <f t="shared" ref="D18" si="12">+F18+H18+J18+L18</f>
        <v>0</v>
      </c>
      <c r="E18" s="857">
        <f t="shared" ref="E18" si="13">+G18+I18+K18+M18</f>
        <v>12733151</v>
      </c>
      <c r="F18" s="741"/>
      <c r="G18" s="741">
        <f>8658774+1367329</f>
        <v>10026103</v>
      </c>
      <c r="H18" s="741"/>
      <c r="I18" s="741"/>
      <c r="J18" s="741"/>
      <c r="K18" s="741"/>
      <c r="L18" s="741"/>
      <c r="M18" s="852">
        <f>2337869+369179</f>
        <v>2707048</v>
      </c>
      <c r="N18" s="970">
        <f>+E18</f>
        <v>12733151</v>
      </c>
      <c r="O18" s="1393"/>
      <c r="P18" s="1393"/>
      <c r="Q18" s="1393"/>
      <c r="R18" s="1393"/>
      <c r="S18" s="78" t="s">
        <v>222</v>
      </c>
    </row>
    <row r="19" spans="1:21" ht="25.5" customHeight="1" x14ac:dyDescent="0.2">
      <c r="A19" s="398" t="s">
        <v>1862</v>
      </c>
      <c r="B19" s="401" t="s">
        <v>813</v>
      </c>
      <c r="C19" s="74" t="s">
        <v>2096</v>
      </c>
      <c r="D19" s="857">
        <f t="shared" ref="D19" si="14">+F19+H19+J19+L19</f>
        <v>0</v>
      </c>
      <c r="E19" s="857">
        <f t="shared" ref="E19" si="15">+G19+I19+K19+M19</f>
        <v>317500</v>
      </c>
      <c r="F19" s="741"/>
      <c r="G19" s="741"/>
      <c r="H19" s="741"/>
      <c r="I19" s="741"/>
      <c r="J19" s="741"/>
      <c r="K19" s="741">
        <v>250000</v>
      </c>
      <c r="L19" s="741"/>
      <c r="M19" s="852">
        <v>67500</v>
      </c>
      <c r="N19" s="970">
        <f t="shared" si="5"/>
        <v>317500</v>
      </c>
      <c r="O19" s="1393"/>
      <c r="P19" s="1393"/>
      <c r="Q19" s="1393"/>
      <c r="R19" s="1393"/>
      <c r="S19" s="78" t="s">
        <v>223</v>
      </c>
    </row>
    <row r="20" spans="1:21" s="10" customFormat="1" ht="33" customHeight="1" x14ac:dyDescent="0.2">
      <c r="A20" s="398" t="s">
        <v>129</v>
      </c>
      <c r="B20" s="401" t="s">
        <v>130</v>
      </c>
      <c r="C20" s="75" t="s">
        <v>1274</v>
      </c>
      <c r="D20" s="857">
        <f t="shared" si="6"/>
        <v>65000000</v>
      </c>
      <c r="E20" s="857">
        <f t="shared" si="7"/>
        <v>22676187</v>
      </c>
      <c r="F20" s="125">
        <v>51181102</v>
      </c>
      <c r="G20" s="125">
        <f>+F20-13896653-33325837</f>
        <v>3958612</v>
      </c>
      <c r="H20" s="125"/>
      <c r="I20" s="125"/>
      <c r="J20" s="125"/>
      <c r="K20" s="125">
        <v>13896653</v>
      </c>
      <c r="L20" s="125">
        <v>13818898</v>
      </c>
      <c r="M20" s="78">
        <f>+L20-8997976</f>
        <v>4820922</v>
      </c>
      <c r="N20" s="970">
        <f>+E20</f>
        <v>22676187</v>
      </c>
      <c r="O20" s="396"/>
      <c r="P20" s="396"/>
      <c r="Q20" s="396"/>
      <c r="R20" s="396"/>
      <c r="S20" s="78" t="s">
        <v>222</v>
      </c>
    </row>
    <row r="21" spans="1:21" s="10" customFormat="1" ht="27" customHeight="1" x14ac:dyDescent="0.2">
      <c r="A21" s="398" t="s">
        <v>129</v>
      </c>
      <c r="B21" s="401" t="s">
        <v>130</v>
      </c>
      <c r="C21" s="75" t="s">
        <v>1349</v>
      </c>
      <c r="D21" s="857">
        <f t="shared" si="6"/>
        <v>65000000</v>
      </c>
      <c r="E21" s="857">
        <f t="shared" si="7"/>
        <v>0</v>
      </c>
      <c r="F21" s="125">
        <v>51181102</v>
      </c>
      <c r="G21" s="125">
        <f>+F21-21659800+21659800-51181102</f>
        <v>0</v>
      </c>
      <c r="H21" s="125"/>
      <c r="I21" s="125"/>
      <c r="J21" s="125"/>
      <c r="K21" s="125"/>
      <c r="L21" s="125">
        <v>13818898</v>
      </c>
      <c r="M21" s="78">
        <f>+L21-13818898</f>
        <v>0</v>
      </c>
      <c r="N21" s="970">
        <f t="shared" si="5"/>
        <v>0</v>
      </c>
      <c r="O21" s="396"/>
      <c r="P21" s="396"/>
      <c r="Q21" s="396"/>
      <c r="R21" s="396"/>
      <c r="S21" s="78" t="s">
        <v>222</v>
      </c>
    </row>
    <row r="22" spans="1:21" s="10" customFormat="1" ht="32.25" customHeight="1" x14ac:dyDescent="0.2">
      <c r="A22" s="398" t="s">
        <v>748</v>
      </c>
      <c r="B22" s="401" t="s">
        <v>547</v>
      </c>
      <c r="C22" s="75" t="s">
        <v>1275</v>
      </c>
      <c r="D22" s="857">
        <f t="shared" si="6"/>
        <v>65000000</v>
      </c>
      <c r="E22" s="857">
        <f t="shared" si="7"/>
        <v>5572782</v>
      </c>
      <c r="F22" s="125">
        <v>51181102</v>
      </c>
      <c r="G22" s="125">
        <f>+F22-765815-46027270</f>
        <v>4388017</v>
      </c>
      <c r="H22" s="125"/>
      <c r="I22" s="125"/>
      <c r="J22" s="125"/>
      <c r="K22" s="125"/>
      <c r="L22" s="125">
        <v>13818898</v>
      </c>
      <c r="M22" s="78">
        <f>+L22-206770-12427363</f>
        <v>1184765</v>
      </c>
      <c r="N22" s="970">
        <f t="shared" si="5"/>
        <v>5572782</v>
      </c>
      <c r="O22" s="396"/>
      <c r="P22" s="396"/>
      <c r="Q22" s="396"/>
      <c r="R22" s="396"/>
      <c r="S22" s="78" t="s">
        <v>222</v>
      </c>
    </row>
    <row r="23" spans="1:21" s="10" customFormat="1" ht="27" customHeight="1" x14ac:dyDescent="0.2">
      <c r="A23" s="398" t="s">
        <v>748</v>
      </c>
      <c r="B23" s="401" t="s">
        <v>547</v>
      </c>
      <c r="C23" s="75" t="s">
        <v>1350</v>
      </c>
      <c r="D23" s="857">
        <f t="shared" si="6"/>
        <v>65000000</v>
      </c>
      <c r="E23" s="857">
        <f t="shared" si="7"/>
        <v>0</v>
      </c>
      <c r="F23" s="125">
        <v>51181102</v>
      </c>
      <c r="G23" s="125">
        <f>+F23-51181102</f>
        <v>0</v>
      </c>
      <c r="H23" s="125"/>
      <c r="I23" s="125"/>
      <c r="J23" s="125"/>
      <c r="K23" s="125"/>
      <c r="L23" s="125">
        <v>13818898</v>
      </c>
      <c r="M23" s="78">
        <f>+L23-13818898</f>
        <v>0</v>
      </c>
      <c r="N23" s="970">
        <f t="shared" si="5"/>
        <v>0</v>
      </c>
      <c r="O23" s="396"/>
      <c r="P23" s="396"/>
      <c r="Q23" s="396"/>
      <c r="R23" s="396"/>
      <c r="S23" s="78" t="s">
        <v>222</v>
      </c>
    </row>
    <row r="24" spans="1:21" s="10" customFormat="1" ht="27" customHeight="1" x14ac:dyDescent="0.2">
      <c r="A24" s="398" t="s">
        <v>1857</v>
      </c>
      <c r="B24" s="401" t="s">
        <v>620</v>
      </c>
      <c r="C24" s="75" t="s">
        <v>2437</v>
      </c>
      <c r="D24" s="857">
        <f t="shared" ref="D24" si="16">+F24+H24+J24+L24</f>
        <v>0</v>
      </c>
      <c r="E24" s="857">
        <f t="shared" ref="E24" si="17">+G24+I24+K24+M24</f>
        <v>3276476</v>
      </c>
      <c r="F24" s="125"/>
      <c r="G24" s="125">
        <v>2579902</v>
      </c>
      <c r="H24" s="125"/>
      <c r="I24" s="125"/>
      <c r="J24" s="125"/>
      <c r="K24" s="125"/>
      <c r="L24" s="125"/>
      <c r="M24" s="78">
        <v>696574</v>
      </c>
      <c r="N24" s="970">
        <f>+E24</f>
        <v>3276476</v>
      </c>
      <c r="O24" s="396"/>
      <c r="P24" s="396"/>
      <c r="Q24" s="396"/>
      <c r="R24" s="396"/>
      <c r="S24" s="78" t="s">
        <v>222</v>
      </c>
    </row>
    <row r="25" spans="1:21" s="10" customFormat="1" ht="27" customHeight="1" x14ac:dyDescent="0.2">
      <c r="A25" s="395" t="s">
        <v>447</v>
      </c>
      <c r="B25" s="401" t="s">
        <v>542</v>
      </c>
      <c r="C25" s="74" t="s">
        <v>814</v>
      </c>
      <c r="D25" s="857">
        <f t="shared" si="6"/>
        <v>0</v>
      </c>
      <c r="E25" s="857">
        <f t="shared" si="7"/>
        <v>0</v>
      </c>
      <c r="F25" s="125"/>
      <c r="G25" s="125"/>
      <c r="H25" s="125"/>
      <c r="I25" s="125"/>
      <c r="J25" s="125"/>
      <c r="K25" s="125"/>
      <c r="L25" s="125"/>
      <c r="M25" s="78"/>
      <c r="N25" s="970">
        <f t="shared" si="5"/>
        <v>0</v>
      </c>
      <c r="O25" s="396"/>
      <c r="P25" s="396"/>
      <c r="Q25" s="396"/>
      <c r="R25" s="396"/>
      <c r="S25" s="78" t="s">
        <v>222</v>
      </c>
    </row>
    <row r="26" spans="1:21" s="10" customFormat="1" ht="30" customHeight="1" x14ac:dyDescent="0.2">
      <c r="A26" s="395" t="s">
        <v>1501</v>
      </c>
      <c r="B26" s="401" t="s">
        <v>1502</v>
      </c>
      <c r="C26" s="74" t="s">
        <v>2315</v>
      </c>
      <c r="D26" s="857">
        <f t="shared" si="6"/>
        <v>1689100</v>
      </c>
      <c r="E26" s="857">
        <f t="shared" si="7"/>
        <v>31876629</v>
      </c>
      <c r="F26" s="125">
        <v>1330000</v>
      </c>
      <c r="G26" s="125">
        <f>+F26+22000000+1019708+750000</f>
        <v>25099708</v>
      </c>
      <c r="H26" s="125"/>
      <c r="I26" s="125"/>
      <c r="J26" s="125"/>
      <c r="K26" s="125"/>
      <c r="L26" s="125">
        <v>359100</v>
      </c>
      <c r="M26" s="78">
        <f>+L26+5940000+275321+202500</f>
        <v>6776921</v>
      </c>
      <c r="N26" s="970">
        <f t="shared" si="5"/>
        <v>31876629</v>
      </c>
      <c r="O26" s="396"/>
      <c r="P26" s="396"/>
      <c r="Q26" s="396"/>
      <c r="R26" s="396"/>
      <c r="S26" s="78" t="s">
        <v>222</v>
      </c>
    </row>
    <row r="27" spans="1:21" s="10" customFormat="1" ht="30.75" customHeight="1" x14ac:dyDescent="0.2">
      <c r="A27" s="395" t="s">
        <v>1501</v>
      </c>
      <c r="B27" s="401" t="s">
        <v>1502</v>
      </c>
      <c r="C27" s="74" t="s">
        <v>2311</v>
      </c>
      <c r="D27" s="857">
        <f t="shared" si="6"/>
        <v>904875</v>
      </c>
      <c r="E27" s="857">
        <f t="shared" si="7"/>
        <v>167741357</v>
      </c>
      <c r="F27" s="125">
        <v>712500</v>
      </c>
      <c r="G27" s="125">
        <f>+F27+130000000+250000+737309+380000</f>
        <v>132079809</v>
      </c>
      <c r="H27" s="125"/>
      <c r="I27" s="125"/>
      <c r="J27" s="125"/>
      <c r="K27" s="125"/>
      <c r="L27" s="125">
        <v>192375</v>
      </c>
      <c r="M27" s="78">
        <f>+L27+35100000+67500+199073+102600</f>
        <v>35661548</v>
      </c>
      <c r="N27" s="970">
        <f>+E27</f>
        <v>167741357</v>
      </c>
      <c r="O27" s="396"/>
      <c r="P27" s="396"/>
      <c r="Q27" s="396"/>
      <c r="R27" s="396"/>
      <c r="S27" s="78" t="s">
        <v>222</v>
      </c>
    </row>
    <row r="28" spans="1:21" s="10" customFormat="1" ht="30.75" customHeight="1" x14ac:dyDescent="0.2">
      <c r="A28" s="395" t="s">
        <v>1501</v>
      </c>
      <c r="B28" s="401" t="s">
        <v>1502</v>
      </c>
      <c r="C28" s="74" t="s">
        <v>2900</v>
      </c>
      <c r="D28" s="857">
        <f t="shared" ref="D28" si="18">+F28+H28+J28+L28</f>
        <v>0</v>
      </c>
      <c r="E28" s="857">
        <f t="shared" ref="E28" si="19">+G28+I28+K28+M28</f>
        <v>5448300</v>
      </c>
      <c r="F28" s="125"/>
      <c r="G28" s="125">
        <v>4290000</v>
      </c>
      <c r="H28" s="125"/>
      <c r="I28" s="125"/>
      <c r="J28" s="125"/>
      <c r="K28" s="125"/>
      <c r="L28" s="125"/>
      <c r="M28" s="78">
        <v>1158300</v>
      </c>
      <c r="N28" s="970">
        <f>+E28</f>
        <v>5448300</v>
      </c>
      <c r="O28" s="396"/>
      <c r="P28" s="396"/>
      <c r="Q28" s="396"/>
      <c r="R28" s="396"/>
      <c r="S28" s="78" t="s">
        <v>222</v>
      </c>
    </row>
    <row r="29" spans="1:21" s="10" customFormat="1" ht="23.25" customHeight="1" x14ac:dyDescent="0.2">
      <c r="A29" s="735" t="s">
        <v>1305</v>
      </c>
      <c r="B29" s="723" t="s">
        <v>620</v>
      </c>
      <c r="C29" s="170" t="s">
        <v>1485</v>
      </c>
      <c r="D29" s="855">
        <f t="shared" si="6"/>
        <v>0</v>
      </c>
      <c r="E29" s="855">
        <f t="shared" si="7"/>
        <v>0</v>
      </c>
      <c r="F29" s="172"/>
      <c r="G29" s="172"/>
      <c r="H29" s="172"/>
      <c r="I29" s="172"/>
      <c r="J29" s="172"/>
      <c r="K29" s="172"/>
      <c r="L29" s="172"/>
      <c r="M29" s="194"/>
      <c r="N29" s="1528">
        <f t="shared" si="5"/>
        <v>0</v>
      </c>
      <c r="O29" s="372"/>
      <c r="P29" s="372"/>
      <c r="Q29" s="372"/>
      <c r="R29" s="372"/>
      <c r="S29" s="194" t="s">
        <v>222</v>
      </c>
    </row>
    <row r="30" spans="1:21" ht="27" customHeight="1" x14ac:dyDescent="0.2">
      <c r="A30" s="1533" t="s">
        <v>29</v>
      </c>
      <c r="B30" s="711"/>
      <c r="C30" s="711"/>
      <c r="D30" s="408">
        <f t="shared" ref="D30:R30" si="20">+D9+D7</f>
        <v>266068695</v>
      </c>
      <c r="E30" s="408">
        <f t="shared" si="20"/>
        <v>334136454</v>
      </c>
      <c r="F30" s="408">
        <f t="shared" si="20"/>
        <v>209502908</v>
      </c>
      <c r="G30" s="408">
        <f t="shared" si="20"/>
        <v>248952916</v>
      </c>
      <c r="H30" s="408">
        <f t="shared" si="20"/>
        <v>0</v>
      </c>
      <c r="I30" s="408">
        <f t="shared" si="20"/>
        <v>0</v>
      </c>
      <c r="J30" s="408">
        <f t="shared" si="20"/>
        <v>0</v>
      </c>
      <c r="K30" s="408">
        <f t="shared" si="20"/>
        <v>14146653</v>
      </c>
      <c r="L30" s="408">
        <f t="shared" si="20"/>
        <v>56565787</v>
      </c>
      <c r="M30" s="409">
        <f t="shared" si="20"/>
        <v>71036885</v>
      </c>
      <c r="N30" s="410">
        <f>+N9+N7</f>
        <v>334136454</v>
      </c>
      <c r="O30" s="408">
        <f t="shared" si="20"/>
        <v>0</v>
      </c>
      <c r="P30" s="408">
        <f t="shared" si="20"/>
        <v>0</v>
      </c>
      <c r="Q30" s="408">
        <f t="shared" si="20"/>
        <v>0</v>
      </c>
      <c r="R30" s="408">
        <f t="shared" si="20"/>
        <v>0</v>
      </c>
      <c r="S30" s="409"/>
      <c r="T30" s="305" t="e">
        <f>+N30+O30+Q30+#REF!</f>
        <v>#REF!</v>
      </c>
      <c r="U30" s="305" t="e">
        <f>+D30-T30</f>
        <v>#REF!</v>
      </c>
    </row>
    <row r="31" spans="1:21" ht="15.75" customHeight="1" x14ac:dyDescent="0.2"/>
    <row r="33" spans="3:18" ht="15.75" customHeight="1" x14ac:dyDescent="0.2"/>
    <row r="34" spans="3:18" x14ac:dyDescent="0.2">
      <c r="C34" s="721"/>
      <c r="D34" s="316"/>
      <c r="E34" s="316"/>
      <c r="J34" s="316"/>
      <c r="K34" s="316"/>
      <c r="L34" s="316"/>
      <c r="M34" s="316"/>
      <c r="N34" s="317"/>
      <c r="O34" s="318"/>
      <c r="P34" s="318"/>
      <c r="Q34" s="318"/>
      <c r="R34" s="318"/>
    </row>
    <row r="35" spans="3:18" ht="15.75" customHeight="1" x14ac:dyDescent="0.2"/>
    <row r="36" spans="3:18" ht="15.75" customHeight="1" x14ac:dyDescent="0.2"/>
    <row r="37" spans="3:18" ht="15.75" customHeight="1" x14ac:dyDescent="0.2"/>
    <row r="38" spans="3:18" ht="15.75" customHeight="1" x14ac:dyDescent="0.2"/>
    <row r="43" spans="3:18" ht="15.75" customHeight="1" x14ac:dyDescent="0.2"/>
    <row r="44" spans="3:18" ht="24.75" customHeight="1" x14ac:dyDescent="0.2"/>
    <row r="51"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28.15" customHeight="1" x14ac:dyDescent="0.2"/>
    <row r="64" ht="15.75" customHeight="1" x14ac:dyDescent="0.2"/>
    <row r="65" spans="1:14" ht="15.75" customHeight="1" x14ac:dyDescent="0.2"/>
    <row r="67" spans="1:14" ht="15.75" customHeight="1" x14ac:dyDescent="0.2"/>
    <row r="68" spans="1:14" ht="15.75" customHeight="1" x14ac:dyDescent="0.2"/>
    <row r="69" spans="1:14" ht="15.75" customHeight="1" x14ac:dyDescent="0.2"/>
    <row r="70" spans="1:14" ht="15.75" customHeight="1" x14ac:dyDescent="0.2"/>
    <row r="72" spans="1:14" ht="15.75" customHeight="1" x14ac:dyDescent="0.2"/>
    <row r="74" spans="1:14" x14ac:dyDescent="0.2">
      <c r="F74" s="319"/>
      <c r="G74" s="319"/>
      <c r="H74" s="319"/>
      <c r="I74" s="319"/>
    </row>
    <row r="76" spans="1:14" s="319" customFormat="1" ht="24" customHeight="1" x14ac:dyDescent="0.2">
      <c r="A76" s="11"/>
      <c r="B76" s="11"/>
      <c r="C76" s="11"/>
      <c r="F76" s="305"/>
      <c r="G76" s="305"/>
      <c r="H76" s="305"/>
      <c r="I76" s="305"/>
      <c r="N76" s="320"/>
    </row>
    <row r="77" spans="1:14" ht="19.5" customHeight="1" x14ac:dyDescent="0.2"/>
    <row r="78" spans="1:14" ht="18" customHeight="1" x14ac:dyDescent="0.2"/>
    <row r="79" spans="1:14" ht="18" customHeight="1" x14ac:dyDescent="0.2"/>
    <row r="80" spans="1:14" ht="18" customHeight="1" x14ac:dyDescent="0.2"/>
    <row r="81" ht="18" customHeight="1" x14ac:dyDescent="0.2"/>
    <row r="82" ht="18" customHeight="1" x14ac:dyDescent="0.2"/>
    <row r="83" ht="18" customHeight="1" x14ac:dyDescent="0.2"/>
    <row r="84" ht="18" customHeight="1" x14ac:dyDescent="0.2"/>
    <row r="85" ht="18" customHeight="1" x14ac:dyDescent="0.2"/>
    <row r="86" ht="18" customHeight="1" x14ac:dyDescent="0.2"/>
    <row r="98" spans="1:14" x14ac:dyDescent="0.2">
      <c r="F98" s="319"/>
      <c r="G98" s="319"/>
      <c r="H98" s="319"/>
      <c r="I98" s="319"/>
    </row>
    <row r="99" spans="1:14" ht="15.75" x14ac:dyDescent="0.25">
      <c r="F99" s="321"/>
      <c r="G99" s="321"/>
      <c r="H99" s="321"/>
      <c r="I99" s="321"/>
    </row>
    <row r="100" spans="1:14" s="319" customFormat="1" ht="24" customHeight="1" x14ac:dyDescent="0.2">
      <c r="A100" s="11"/>
      <c r="B100" s="11"/>
      <c r="C100" s="11"/>
      <c r="F100" s="305"/>
      <c r="G100" s="305"/>
      <c r="H100" s="305"/>
      <c r="I100" s="305"/>
      <c r="N100" s="320"/>
    </row>
    <row r="101" spans="1:14" s="321" customFormat="1" ht="28.5" customHeight="1" x14ac:dyDescent="0.25">
      <c r="A101" s="12"/>
      <c r="B101" s="12"/>
      <c r="C101" s="12"/>
      <c r="F101" s="305"/>
      <c r="G101" s="305"/>
      <c r="H101" s="305"/>
      <c r="I101" s="305"/>
      <c r="N101" s="322"/>
    </row>
  </sheetData>
  <mergeCells count="24">
    <mergeCell ref="F4:F5"/>
    <mergeCell ref="J4:J5"/>
    <mergeCell ref="E4:E5"/>
    <mergeCell ref="A9:C9"/>
    <mergeCell ref="A6:D6"/>
    <mergeCell ref="A7:C7"/>
    <mergeCell ref="B3:B5"/>
    <mergeCell ref="A3:A5"/>
    <mergeCell ref="A1:M1"/>
    <mergeCell ref="N3:S3"/>
    <mergeCell ref="N4:N5"/>
    <mergeCell ref="O4:O5"/>
    <mergeCell ref="P4:P5"/>
    <mergeCell ref="Q4:Q5"/>
    <mergeCell ref="R4:R5"/>
    <mergeCell ref="S4:S5"/>
    <mergeCell ref="G4:G5"/>
    <mergeCell ref="I4:I5"/>
    <mergeCell ref="K4:K5"/>
    <mergeCell ref="M4:M5"/>
    <mergeCell ref="C3:C5"/>
    <mergeCell ref="D4:D5"/>
    <mergeCell ref="H4:H5"/>
    <mergeCell ref="L4:L5"/>
  </mergeCells>
  <phoneticPr fontId="50" type="noConversion"/>
  <printOptions horizontalCentered="1" verticalCentered="1"/>
  <pageMargins left="0.19685039370078741" right="0.19685039370078741" top="0.59055118110236227" bottom="0.15748031496062992" header="0.31496062992125984" footer="0.31496062992125984"/>
  <pageSetup paperSize="9" scale="56" orientation="landscape" r:id="rId1"/>
  <headerFooter>
    <oddHeader xml:space="preserve">&amp;C2023. évi költségvetés&amp;R&amp;A
</oddHeader>
    <oddFooter>&amp;C&amp;P/&amp;N</oddFooter>
  </headerFooter>
  <rowBreaks count="2" manualBreakCount="2">
    <brk id="31" max="16383" man="1"/>
    <brk id="76" max="14" man="1"/>
  </rowBreaks>
  <colBreaks count="1" manualBreakCount="1">
    <brk id="13" max="20"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K75"/>
  <sheetViews>
    <sheetView tabSelected="1" view="pageBreakPreview" topLeftCell="A4" zoomScale="80" zoomScaleNormal="80" zoomScaleSheetLayoutView="80" workbookViewId="0">
      <selection activeCell="D21" sqref="D21"/>
    </sheetView>
  </sheetViews>
  <sheetFormatPr defaultRowHeight="12.75" x14ac:dyDescent="0.2"/>
  <cols>
    <col min="1" max="1" width="5" style="42" customWidth="1"/>
    <col min="2" max="2" width="57.140625" style="21" customWidth="1"/>
    <col min="3" max="6" width="18.5703125" style="44" customWidth="1"/>
    <col min="7" max="7" width="18.28515625" style="21" customWidth="1"/>
    <col min="8" max="8" width="14.7109375" style="21" customWidth="1"/>
    <col min="9" max="9" width="14.28515625" style="21" customWidth="1"/>
    <col min="10" max="10" width="11.85546875" style="21" bestFit="1" customWidth="1"/>
    <col min="11" max="11" width="12.7109375" style="21" bestFit="1" customWidth="1"/>
    <col min="12" max="16384" width="9.140625" style="21"/>
  </cols>
  <sheetData>
    <row r="1" spans="1:8" ht="20.25" customHeight="1" x14ac:dyDescent="0.2">
      <c r="A1" s="1781" t="s">
        <v>34</v>
      </c>
      <c r="B1" s="1781"/>
      <c r="C1" s="1781"/>
      <c r="D1" s="1781"/>
      <c r="E1" s="1781"/>
      <c r="F1" s="1781"/>
      <c r="G1" s="1781"/>
      <c r="H1" s="1781"/>
    </row>
    <row r="2" spans="1:8" ht="20.25" customHeight="1" x14ac:dyDescent="0.25">
      <c r="A2" s="54"/>
      <c r="B2" s="54"/>
      <c r="C2" s="54"/>
      <c r="D2" s="54"/>
      <c r="E2" s="54"/>
      <c r="F2" s="54"/>
      <c r="G2" s="54"/>
      <c r="H2" s="980" t="s">
        <v>431</v>
      </c>
    </row>
    <row r="3" spans="1:8" ht="37.5" customHeight="1" x14ac:dyDescent="0.2">
      <c r="A3" s="1798" t="s">
        <v>37</v>
      </c>
      <c r="B3" s="1798" t="s">
        <v>2</v>
      </c>
      <c r="C3" s="376" t="s">
        <v>273</v>
      </c>
      <c r="D3" s="959" t="s">
        <v>1561</v>
      </c>
      <c r="E3" s="376" t="s">
        <v>273</v>
      </c>
      <c r="F3" s="959" t="s">
        <v>1561</v>
      </c>
      <c r="G3" s="1855" t="s">
        <v>35</v>
      </c>
      <c r="H3" s="1855" t="s">
        <v>11</v>
      </c>
    </row>
    <row r="4" spans="1:8" ht="50.25" customHeight="1" x14ac:dyDescent="0.2">
      <c r="A4" s="1799"/>
      <c r="B4" s="1799"/>
      <c r="C4" s="1408" t="s">
        <v>820</v>
      </c>
      <c r="D4" s="1408" t="s">
        <v>820</v>
      </c>
      <c r="E4" s="1408" t="s">
        <v>838</v>
      </c>
      <c r="F4" s="1408" t="s">
        <v>838</v>
      </c>
      <c r="G4" s="1855"/>
      <c r="H4" s="1855"/>
    </row>
    <row r="5" spans="1:8" ht="19.149999999999999" customHeight="1" x14ac:dyDescent="0.2">
      <c r="A5" s="1893"/>
      <c r="B5" s="1894"/>
      <c r="C5" s="1894"/>
      <c r="D5" s="1894"/>
      <c r="E5" s="1894"/>
      <c r="F5" s="1894"/>
      <c r="G5" s="1894"/>
      <c r="H5" s="1895"/>
    </row>
    <row r="6" spans="1:8" ht="20.25" customHeight="1" x14ac:dyDescent="0.2">
      <c r="A6" s="1891" t="s">
        <v>36</v>
      </c>
      <c r="B6" s="1892"/>
      <c r="C6" s="119">
        <f>SUM(C7:C11)</f>
        <v>35000000</v>
      </c>
      <c r="D6" s="119">
        <f>SUM(D7:D11)</f>
        <v>14589</v>
      </c>
      <c r="E6" s="119">
        <f>SUM(E7:E11)</f>
        <v>0</v>
      </c>
      <c r="F6" s="119">
        <f>SUM(F7:F11)</f>
        <v>0</v>
      </c>
      <c r="G6" s="181"/>
      <c r="H6" s="182"/>
    </row>
    <row r="7" spans="1:8" ht="23.25" customHeight="1" x14ac:dyDescent="0.2">
      <c r="A7" s="929" t="s">
        <v>188</v>
      </c>
      <c r="B7" s="169" t="s">
        <v>826</v>
      </c>
      <c r="C7" s="315">
        <v>5000000</v>
      </c>
      <c r="D7" s="315">
        <f>+C7-4274261-508000-144920-58230</f>
        <v>14589</v>
      </c>
      <c r="E7" s="126"/>
      <c r="F7" s="126"/>
      <c r="G7" s="930" t="s">
        <v>38</v>
      </c>
      <c r="H7" s="171" t="s">
        <v>222</v>
      </c>
    </row>
    <row r="8" spans="1:8" ht="30" customHeight="1" x14ac:dyDescent="0.2">
      <c r="A8" s="929" t="s">
        <v>189</v>
      </c>
      <c r="B8" s="169" t="s">
        <v>827</v>
      </c>
      <c r="C8" s="315">
        <v>5000000</v>
      </c>
      <c r="D8" s="315">
        <f>+C8-591500-4408500</f>
        <v>0</v>
      </c>
      <c r="E8" s="126"/>
      <c r="F8" s="126"/>
      <c r="G8" s="930" t="s">
        <v>38</v>
      </c>
      <c r="H8" s="171" t="s">
        <v>222</v>
      </c>
    </row>
    <row r="9" spans="1:8" ht="25.5" customHeight="1" x14ac:dyDescent="0.2">
      <c r="A9" s="929" t="s">
        <v>190</v>
      </c>
      <c r="B9" s="169" t="s">
        <v>182</v>
      </c>
      <c r="C9" s="126">
        <v>10000000</v>
      </c>
      <c r="D9" s="126">
        <f>+C9-1172200-4471720-4356080</f>
        <v>0</v>
      </c>
      <c r="E9" s="126"/>
      <c r="F9" s="126"/>
      <c r="G9" s="930" t="s">
        <v>38</v>
      </c>
      <c r="H9" s="171" t="s">
        <v>222</v>
      </c>
    </row>
    <row r="10" spans="1:8" s="10" customFormat="1" ht="20.25" customHeight="1" x14ac:dyDescent="0.2">
      <c r="A10" s="64" t="s">
        <v>191</v>
      </c>
      <c r="B10" s="74" t="s">
        <v>1300</v>
      </c>
      <c r="C10" s="125"/>
      <c r="D10" s="125"/>
      <c r="E10" s="125"/>
      <c r="F10" s="125"/>
      <c r="G10" s="128" t="s">
        <v>38</v>
      </c>
      <c r="H10" s="90" t="s">
        <v>222</v>
      </c>
    </row>
    <row r="11" spans="1:8" s="10" customFormat="1" ht="20.25" customHeight="1" x14ac:dyDescent="0.2">
      <c r="A11" s="929" t="s">
        <v>192</v>
      </c>
      <c r="B11" s="169" t="s">
        <v>1324</v>
      </c>
      <c r="C11" s="126">
        <v>15000000</v>
      </c>
      <c r="D11" s="126">
        <f>+C11-109804-2730500-6062505-1524000-614629-2131953-1826609</f>
        <v>0</v>
      </c>
      <c r="E11" s="126"/>
      <c r="F11" s="126"/>
      <c r="G11" s="930" t="s">
        <v>38</v>
      </c>
      <c r="H11" s="171" t="s">
        <v>222</v>
      </c>
    </row>
    <row r="12" spans="1:8" ht="20.25" customHeight="1" x14ac:dyDescent="0.2">
      <c r="A12" s="984"/>
      <c r="B12" s="985" t="s">
        <v>355</v>
      </c>
      <c r="C12" s="983">
        <f>SUM(C13:C21)</f>
        <v>73076431</v>
      </c>
      <c r="D12" s="983">
        <f>SUM(D13:D21)</f>
        <v>66370509</v>
      </c>
      <c r="E12" s="983">
        <f>SUM(E13:E21)</f>
        <v>0</v>
      </c>
      <c r="F12" s="983">
        <f>SUM(F13:F21)</f>
        <v>0</v>
      </c>
      <c r="G12" s="1624"/>
      <c r="H12" s="1625"/>
    </row>
    <row r="13" spans="1:8" ht="18.75" customHeight="1" x14ac:dyDescent="0.2">
      <c r="A13" s="79" t="s">
        <v>188</v>
      </c>
      <c r="B13" s="369" t="s">
        <v>1486</v>
      </c>
      <c r="C13" s="82">
        <v>2044893</v>
      </c>
      <c r="D13" s="82">
        <f t="shared" ref="D13:D16" si="0">+C13</f>
        <v>2044893</v>
      </c>
      <c r="E13" s="82"/>
      <c r="F13" s="82"/>
      <c r="G13" s="46" t="s">
        <v>38</v>
      </c>
      <c r="H13" s="81" t="s">
        <v>222</v>
      </c>
    </row>
    <row r="14" spans="1:8" ht="18.75" customHeight="1" x14ac:dyDescent="0.2">
      <c r="A14" s="51" t="s">
        <v>189</v>
      </c>
      <c r="B14" s="74" t="s">
        <v>356</v>
      </c>
      <c r="C14" s="73">
        <v>659324</v>
      </c>
      <c r="D14" s="981">
        <f t="shared" si="0"/>
        <v>659324</v>
      </c>
      <c r="E14" s="312"/>
      <c r="F14" s="312"/>
      <c r="G14" s="22" t="s">
        <v>38</v>
      </c>
      <c r="H14" s="81" t="s">
        <v>222</v>
      </c>
    </row>
    <row r="15" spans="1:8" ht="18.75" customHeight="1" x14ac:dyDescent="0.2">
      <c r="A15" s="51" t="s">
        <v>190</v>
      </c>
      <c r="B15" s="74" t="s">
        <v>357</v>
      </c>
      <c r="C15" s="73">
        <v>4074055</v>
      </c>
      <c r="D15" s="73">
        <f>+C15+356421</f>
        <v>4430476</v>
      </c>
      <c r="E15" s="73"/>
      <c r="F15" s="73"/>
      <c r="G15" s="50" t="s">
        <v>38</v>
      </c>
      <c r="H15" s="81" t="s">
        <v>222</v>
      </c>
    </row>
    <row r="16" spans="1:8" ht="18.75" customHeight="1" x14ac:dyDescent="0.2">
      <c r="A16" s="51" t="s">
        <v>191</v>
      </c>
      <c r="B16" s="74" t="s">
        <v>358</v>
      </c>
      <c r="C16" s="73">
        <v>2373132</v>
      </c>
      <c r="D16" s="73">
        <f t="shared" si="0"/>
        <v>2373132</v>
      </c>
      <c r="E16" s="73"/>
      <c r="F16" s="73"/>
      <c r="G16" s="50" t="s">
        <v>38</v>
      </c>
      <c r="H16" s="81" t="s">
        <v>222</v>
      </c>
    </row>
    <row r="17" spans="1:8" ht="18.75" customHeight="1" x14ac:dyDescent="0.2">
      <c r="A17" s="51" t="s">
        <v>192</v>
      </c>
      <c r="B17" s="74" t="s">
        <v>359</v>
      </c>
      <c r="C17" s="73">
        <v>10494228</v>
      </c>
      <c r="D17" s="73">
        <f>+C17+143000</f>
        <v>10637228</v>
      </c>
      <c r="E17" s="73"/>
      <c r="F17" s="73"/>
      <c r="G17" s="50" t="s">
        <v>38</v>
      </c>
      <c r="H17" s="81" t="s">
        <v>222</v>
      </c>
    </row>
    <row r="18" spans="1:8" ht="18.75" customHeight="1" x14ac:dyDescent="0.2">
      <c r="A18" s="52" t="s">
        <v>193</v>
      </c>
      <c r="B18" s="169" t="s">
        <v>1487</v>
      </c>
      <c r="C18" s="315">
        <v>18146313</v>
      </c>
      <c r="D18" s="315">
        <f>+C18+100778446-50697800-17091183-34234880+47144129-47144129</f>
        <v>16900896</v>
      </c>
      <c r="E18" s="315"/>
      <c r="F18" s="315"/>
      <c r="G18" s="345" t="s">
        <v>38</v>
      </c>
      <c r="H18" s="346" t="s">
        <v>222</v>
      </c>
    </row>
    <row r="19" spans="1:8" ht="28.5" customHeight="1" x14ac:dyDescent="0.2">
      <c r="A19" s="52" t="s">
        <v>194</v>
      </c>
      <c r="B19" s="169" t="s">
        <v>852</v>
      </c>
      <c r="C19" s="315"/>
      <c r="D19" s="315"/>
      <c r="E19" s="315"/>
      <c r="F19" s="315"/>
      <c r="G19" s="345" t="s">
        <v>38</v>
      </c>
      <c r="H19" s="346" t="s">
        <v>222</v>
      </c>
    </row>
    <row r="20" spans="1:8" s="10" customFormat="1" ht="26.25" customHeight="1" x14ac:dyDescent="0.2">
      <c r="A20" s="64" t="s">
        <v>195</v>
      </c>
      <c r="B20" s="74" t="s">
        <v>712</v>
      </c>
      <c r="C20" s="125">
        <v>308324</v>
      </c>
      <c r="D20" s="125">
        <f>+C20</f>
        <v>308324</v>
      </c>
      <c r="E20" s="125"/>
      <c r="F20" s="125"/>
      <c r="G20" s="128" t="s">
        <v>38</v>
      </c>
      <c r="H20" s="90" t="s">
        <v>222</v>
      </c>
    </row>
    <row r="21" spans="1:8" s="10" customFormat="1" ht="30" customHeight="1" x14ac:dyDescent="0.2">
      <c r="A21" s="164" t="s">
        <v>196</v>
      </c>
      <c r="B21" s="935" t="s">
        <v>2104</v>
      </c>
      <c r="C21" s="172">
        <v>34976162</v>
      </c>
      <c r="D21" s="172">
        <f>+C21-1942776-2032000-311150-150000-1524000</f>
        <v>29016236</v>
      </c>
      <c r="E21" s="172"/>
      <c r="F21" s="172"/>
      <c r="G21" s="173" t="s">
        <v>38</v>
      </c>
      <c r="H21" s="13" t="s">
        <v>222</v>
      </c>
    </row>
    <row r="22" spans="1:8" s="43" customFormat="1" ht="20.25" customHeight="1" x14ac:dyDescent="0.2">
      <c r="A22" s="1891" t="s">
        <v>1478</v>
      </c>
      <c r="B22" s="1892"/>
      <c r="C22" s="119">
        <f>+C23</f>
        <v>0</v>
      </c>
      <c r="D22" s="119">
        <f>+D23</f>
        <v>0</v>
      </c>
      <c r="E22" s="119">
        <f>+E23</f>
        <v>0</v>
      </c>
      <c r="F22" s="119">
        <f>+F23</f>
        <v>0</v>
      </c>
      <c r="G22" s="120"/>
      <c r="H22" s="121"/>
    </row>
    <row r="23" spans="1:8" ht="20.25" customHeight="1" x14ac:dyDescent="0.2">
      <c r="A23" s="69"/>
      <c r="B23" s="982"/>
      <c r="C23" s="93">
        <v>0</v>
      </c>
      <c r="D23" s="93"/>
      <c r="E23" s="93"/>
      <c r="F23" s="93"/>
      <c r="G23" s="1613"/>
      <c r="H23" s="183"/>
    </row>
    <row r="24" spans="1:8" s="43" customFormat="1" ht="20.25" customHeight="1" x14ac:dyDescent="0.2">
      <c r="A24" s="1891" t="s">
        <v>1479</v>
      </c>
      <c r="B24" s="1892"/>
      <c r="C24" s="119">
        <f>SUM(C25:C41)</f>
        <v>394324354</v>
      </c>
      <c r="D24" s="119">
        <f>SUM(D25:D41)</f>
        <v>119791425</v>
      </c>
      <c r="E24" s="119">
        <f>SUM(E25:E41)</f>
        <v>0</v>
      </c>
      <c r="F24" s="119">
        <f>SUM(F25:F41)</f>
        <v>0</v>
      </c>
      <c r="G24" s="120"/>
      <c r="H24" s="121"/>
    </row>
    <row r="25" spans="1:8" ht="18.75" customHeight="1" x14ac:dyDescent="0.2">
      <c r="A25" s="64" t="s">
        <v>188</v>
      </c>
      <c r="B25" s="74" t="s">
        <v>48</v>
      </c>
      <c r="C25" s="141">
        <v>230000000</v>
      </c>
      <c r="D25" s="141">
        <f>+C25-4445000-1752600-2535300-86995-130000000-228600-79347-491490-197960-226721-129477-179305-98349-144145-6411-21590000-1981200-1739900-1851264-158750-17780000+10500000+4813267-482600-624710-2525822-165000-1299464-154635-1375156-544050-135000-1141561-165630-190500-241300-241300+49000000-127000-79365-6323915-2528221-544050-365760-431800-252603-317500-203200-135000-210000-197549-139294-2495573-1295029-545724-952500-952500-936382-508000-2066798+20000000+34000000-1254125-594360-154305-10996643-5448300-242221-190500-1091278-61601433-1943100-627888-340741-442595-76200-1257300-1103757-406400-190500-482600-1736508-1544320-63500-711200-861060-457200-254000-254000-211040-2095500-482873-457200-2501900-1717265-12552411-51181</f>
        <v>17320558</v>
      </c>
      <c r="E25" s="141"/>
      <c r="F25" s="141"/>
      <c r="G25" s="128" t="s">
        <v>38</v>
      </c>
      <c r="H25" s="90" t="s">
        <v>222</v>
      </c>
    </row>
    <row r="26" spans="1:8" s="10" customFormat="1" ht="18.75" customHeight="1" x14ac:dyDescent="0.2">
      <c r="A26" s="64" t="s">
        <v>189</v>
      </c>
      <c r="B26" s="74" t="s">
        <v>881</v>
      </c>
      <c r="C26" s="141">
        <v>10000000</v>
      </c>
      <c r="D26" s="141">
        <f>+C26-7447280-2552720</f>
        <v>0</v>
      </c>
      <c r="E26" s="141"/>
      <c r="F26" s="141"/>
      <c r="G26" s="128" t="s">
        <v>38</v>
      </c>
      <c r="H26" s="90" t="s">
        <v>222</v>
      </c>
    </row>
    <row r="27" spans="1:8" ht="18.75" customHeight="1" x14ac:dyDescent="0.2">
      <c r="A27" s="64" t="s">
        <v>190</v>
      </c>
      <c r="B27" s="74" t="s">
        <v>878</v>
      </c>
      <c r="C27" s="141"/>
      <c r="D27" s="141"/>
      <c r="E27" s="141"/>
      <c r="F27" s="141"/>
      <c r="G27" s="128" t="s">
        <v>38</v>
      </c>
      <c r="H27" s="90" t="s">
        <v>222</v>
      </c>
    </row>
    <row r="28" spans="1:8" ht="18.75" customHeight="1" x14ac:dyDescent="0.2">
      <c r="A28" s="64" t="s">
        <v>191</v>
      </c>
      <c r="B28" s="83" t="s">
        <v>43</v>
      </c>
      <c r="C28" s="141">
        <v>3000000</v>
      </c>
      <c r="D28" s="141">
        <f>+C28</f>
        <v>3000000</v>
      </c>
      <c r="E28" s="141"/>
      <c r="F28" s="141"/>
      <c r="G28" s="128" t="s">
        <v>38</v>
      </c>
      <c r="H28" s="90" t="s">
        <v>222</v>
      </c>
    </row>
    <row r="29" spans="1:8" ht="18.75" customHeight="1" x14ac:dyDescent="0.2">
      <c r="A29" s="64" t="s">
        <v>192</v>
      </c>
      <c r="B29" s="83" t="s">
        <v>836</v>
      </c>
      <c r="C29" s="141"/>
      <c r="D29" s="141"/>
      <c r="E29" s="141"/>
      <c r="F29" s="141"/>
      <c r="G29" s="128" t="s">
        <v>38</v>
      </c>
      <c r="H29" s="90" t="s">
        <v>222</v>
      </c>
    </row>
    <row r="30" spans="1:8" ht="33" customHeight="1" x14ac:dyDescent="0.2">
      <c r="A30" s="64" t="s">
        <v>193</v>
      </c>
      <c r="B30" s="83" t="s">
        <v>44</v>
      </c>
      <c r="C30" s="141">
        <v>3000000</v>
      </c>
      <c r="D30" s="141">
        <f>+C30-3000000</f>
        <v>0</v>
      </c>
      <c r="E30" s="141"/>
      <c r="F30" s="141"/>
      <c r="G30" s="174" t="s">
        <v>41</v>
      </c>
      <c r="H30" s="90" t="s">
        <v>222</v>
      </c>
    </row>
    <row r="31" spans="1:8" s="10" customFormat="1" ht="33" customHeight="1" x14ac:dyDescent="0.2">
      <c r="A31" s="64" t="s">
        <v>194</v>
      </c>
      <c r="B31" s="83" t="s">
        <v>828</v>
      </c>
      <c r="C31" s="141"/>
      <c r="D31" s="141"/>
      <c r="E31" s="141"/>
      <c r="F31" s="141"/>
      <c r="G31" s="174" t="s">
        <v>38</v>
      </c>
      <c r="H31" s="90" t="s">
        <v>829</v>
      </c>
    </row>
    <row r="32" spans="1:8" s="10" customFormat="1" ht="28.5" customHeight="1" x14ac:dyDescent="0.2">
      <c r="A32" s="64" t="s">
        <v>195</v>
      </c>
      <c r="B32" s="83" t="s">
        <v>45</v>
      </c>
      <c r="C32" s="141">
        <v>2500000</v>
      </c>
      <c r="D32" s="141">
        <f>+C32-320000-320000-320000-1540000</f>
        <v>0</v>
      </c>
      <c r="E32" s="141"/>
      <c r="F32" s="141"/>
      <c r="G32" s="174" t="s">
        <v>41</v>
      </c>
      <c r="H32" s="90" t="s">
        <v>222</v>
      </c>
    </row>
    <row r="33" spans="1:8" s="10" customFormat="1" ht="18.75" customHeight="1" x14ac:dyDescent="0.2">
      <c r="A33" s="64" t="s">
        <v>196</v>
      </c>
      <c r="B33" s="83" t="s">
        <v>46</v>
      </c>
      <c r="C33" s="141">
        <v>3000000</v>
      </c>
      <c r="D33" s="141">
        <f>+C33</f>
        <v>3000000</v>
      </c>
      <c r="E33" s="141"/>
      <c r="F33" s="141"/>
      <c r="G33" s="128" t="s">
        <v>38</v>
      </c>
      <c r="H33" s="90" t="s">
        <v>222</v>
      </c>
    </row>
    <row r="34" spans="1:8" s="10" customFormat="1" ht="18.75" customHeight="1" x14ac:dyDescent="0.2">
      <c r="A34" s="64" t="s">
        <v>197</v>
      </c>
      <c r="B34" s="153" t="s">
        <v>47</v>
      </c>
      <c r="C34" s="154">
        <v>2000000</v>
      </c>
      <c r="D34" s="154">
        <f>+C34</f>
        <v>2000000</v>
      </c>
      <c r="E34" s="154"/>
      <c r="F34" s="154"/>
      <c r="G34" s="930" t="s">
        <v>38</v>
      </c>
      <c r="H34" s="171" t="s">
        <v>222</v>
      </c>
    </row>
    <row r="35" spans="1:8" s="10" customFormat="1" ht="18.75" customHeight="1" x14ac:dyDescent="0.2">
      <c r="A35" s="64" t="s">
        <v>198</v>
      </c>
      <c r="B35" s="74" t="s">
        <v>518</v>
      </c>
      <c r="C35" s="141">
        <v>16564354</v>
      </c>
      <c r="D35" s="154">
        <f>+C35+2341175+2438905+154229795+2415415-83034886+2453191-37007500+2410752-4556704+2428666+2497867-3072000-896000-896000-9024000-5888000-5632000-5568000-1408000-7552000-1760000+2525837+399000-1017000+2549064+2450535+2332695+22759508-4448858+2618056</f>
        <v>51653867</v>
      </c>
      <c r="E35" s="154"/>
      <c r="F35" s="154"/>
      <c r="G35" s="930" t="s">
        <v>38</v>
      </c>
      <c r="H35" s="90" t="s">
        <v>222</v>
      </c>
    </row>
    <row r="36" spans="1:8" ht="18.75" customHeight="1" x14ac:dyDescent="0.2">
      <c r="A36" s="64" t="s">
        <v>225</v>
      </c>
      <c r="B36" s="239" t="s">
        <v>592</v>
      </c>
      <c r="C36" s="154">
        <v>10000000</v>
      </c>
      <c r="D36" s="154">
        <f>+C36</f>
        <v>10000000</v>
      </c>
      <c r="E36" s="154"/>
      <c r="F36" s="154"/>
      <c r="G36" s="930" t="s">
        <v>38</v>
      </c>
      <c r="H36" s="90" t="s">
        <v>222</v>
      </c>
    </row>
    <row r="37" spans="1:8" ht="18.75" customHeight="1" x14ac:dyDescent="0.2">
      <c r="A37" s="64" t="s">
        <v>226</v>
      </c>
      <c r="B37" s="239" t="s">
        <v>888</v>
      </c>
      <c r="C37" s="154"/>
      <c r="D37" s="154"/>
      <c r="E37" s="154"/>
      <c r="F37" s="154"/>
      <c r="G37" s="930"/>
      <c r="H37" s="90"/>
    </row>
    <row r="38" spans="1:8" ht="18.75" customHeight="1" x14ac:dyDescent="0.2">
      <c r="A38" s="64" t="s">
        <v>227</v>
      </c>
      <c r="B38" s="239" t="s">
        <v>824</v>
      </c>
      <c r="C38" s="154">
        <v>35000000</v>
      </c>
      <c r="D38" s="154">
        <f>+C38-35000000</f>
        <v>0</v>
      </c>
      <c r="E38" s="154"/>
      <c r="F38" s="154"/>
      <c r="G38" s="930" t="s">
        <v>38</v>
      </c>
      <c r="H38" s="90" t="s">
        <v>222</v>
      </c>
    </row>
    <row r="39" spans="1:8" ht="18.75" customHeight="1" x14ac:dyDescent="0.2">
      <c r="A39" s="64" t="s">
        <v>228</v>
      </c>
      <c r="B39" s="722" t="s">
        <v>823</v>
      </c>
      <c r="C39" s="141">
        <v>75000000</v>
      </c>
      <c r="D39" s="141">
        <f>+C39-678000-5593500-1356000-1356000-12119250-8136000-8136000-7034250-2034000</f>
        <v>28557000</v>
      </c>
      <c r="E39" s="141"/>
      <c r="F39" s="141"/>
      <c r="G39" s="128" t="s">
        <v>38</v>
      </c>
      <c r="H39" s="90" t="s">
        <v>222</v>
      </c>
    </row>
    <row r="40" spans="1:8" ht="18.75" customHeight="1" x14ac:dyDescent="0.2">
      <c r="A40" s="64" t="s">
        <v>229</v>
      </c>
      <c r="B40" s="74" t="s">
        <v>1290</v>
      </c>
      <c r="C40" s="141">
        <v>2000000</v>
      </c>
      <c r="D40" s="141">
        <f>+C40</f>
        <v>2000000</v>
      </c>
      <c r="E40" s="141"/>
      <c r="F40" s="141"/>
      <c r="G40" s="128" t="s">
        <v>38</v>
      </c>
      <c r="H40" s="90" t="s">
        <v>222</v>
      </c>
    </row>
    <row r="41" spans="1:8" ht="18.75" customHeight="1" x14ac:dyDescent="0.2">
      <c r="A41" s="64" t="s">
        <v>230</v>
      </c>
      <c r="B41" s="926" t="s">
        <v>1455</v>
      </c>
      <c r="C41" s="927">
        <v>2260000</v>
      </c>
      <c r="D41" s="927">
        <f>+C41</f>
        <v>2260000</v>
      </c>
      <c r="E41" s="141"/>
      <c r="F41" s="141"/>
      <c r="G41" s="128" t="s">
        <v>38</v>
      </c>
      <c r="H41" s="90" t="s">
        <v>222</v>
      </c>
    </row>
    <row r="42" spans="1:8" ht="20.25" customHeight="1" x14ac:dyDescent="0.2">
      <c r="A42" s="69"/>
      <c r="B42" s="57"/>
      <c r="C42" s="58"/>
      <c r="D42" s="58"/>
      <c r="E42" s="58"/>
      <c r="F42" s="58"/>
      <c r="G42" s="59"/>
      <c r="H42" s="60"/>
    </row>
    <row r="43" spans="1:8" s="43" customFormat="1" ht="20.25" customHeight="1" x14ac:dyDescent="0.2">
      <c r="A43" s="1889" t="s">
        <v>1480</v>
      </c>
      <c r="B43" s="1890"/>
      <c r="C43" s="116">
        <f>SUM(C44:C45)</f>
        <v>100000000</v>
      </c>
      <c r="D43" s="116">
        <f>SUM(D44:D45)</f>
        <v>51814915</v>
      </c>
      <c r="E43" s="116">
        <f>SUM(E44:E45)</f>
        <v>0</v>
      </c>
      <c r="F43" s="116">
        <f>SUM(F44:F45)</f>
        <v>0</v>
      </c>
      <c r="G43" s="117"/>
      <c r="H43" s="118"/>
    </row>
    <row r="44" spans="1:8" s="43" customFormat="1" ht="28.5" customHeight="1" x14ac:dyDescent="0.2">
      <c r="A44" s="63" t="s">
        <v>188</v>
      </c>
      <c r="B44" s="369" t="s">
        <v>115</v>
      </c>
      <c r="C44" s="371">
        <v>50000000</v>
      </c>
      <c r="D44" s="371">
        <f>+C44</f>
        <v>50000000</v>
      </c>
      <c r="E44" s="371"/>
      <c r="F44" s="371"/>
      <c r="G44" s="358" t="s">
        <v>38</v>
      </c>
      <c r="H44" s="89" t="s">
        <v>222</v>
      </c>
    </row>
    <row r="45" spans="1:8" ht="21" customHeight="1" x14ac:dyDescent="0.2">
      <c r="A45" s="64" t="s">
        <v>189</v>
      </c>
      <c r="B45" s="74" t="s">
        <v>645</v>
      </c>
      <c r="C45" s="141">
        <v>50000000</v>
      </c>
      <c r="D45" s="141">
        <f>+C45-2004484-13154660-749300-6015990-894080-25366571</f>
        <v>1814915</v>
      </c>
      <c r="E45" s="742"/>
      <c r="F45" s="742"/>
      <c r="G45" s="128" t="s">
        <v>38</v>
      </c>
      <c r="H45" s="90" t="s">
        <v>222</v>
      </c>
    </row>
    <row r="46" spans="1:8" ht="20.25" customHeight="1" x14ac:dyDescent="0.2">
      <c r="A46" s="1891" t="s">
        <v>1481</v>
      </c>
      <c r="B46" s="1892"/>
      <c r="C46" s="119">
        <f>SUM(C47:C49)</f>
        <v>18000000</v>
      </c>
      <c r="D46" s="119">
        <f>SUM(D47:D49)</f>
        <v>0</v>
      </c>
      <c r="E46" s="119">
        <f>SUM(E47:E49)</f>
        <v>0</v>
      </c>
      <c r="F46" s="119">
        <f>SUM(F47:F49)</f>
        <v>0</v>
      </c>
      <c r="G46" s="1896"/>
      <c r="H46" s="1897"/>
    </row>
    <row r="47" spans="1:8" ht="34.5" customHeight="1" x14ac:dyDescent="0.2">
      <c r="A47" s="148" t="s">
        <v>188</v>
      </c>
      <c r="B47" s="71" t="s">
        <v>646</v>
      </c>
      <c r="C47" s="107">
        <v>15000000</v>
      </c>
      <c r="D47" s="107">
        <f>+C47-15000000</f>
        <v>0</v>
      </c>
      <c r="E47" s="107"/>
      <c r="F47" s="107"/>
      <c r="G47" s="150" t="s">
        <v>40</v>
      </c>
      <c r="H47" s="180" t="s">
        <v>222</v>
      </c>
    </row>
    <row r="48" spans="1:8" ht="29.25" customHeight="1" x14ac:dyDescent="0.2">
      <c r="A48" s="64" t="s">
        <v>189</v>
      </c>
      <c r="B48" s="74" t="s">
        <v>39</v>
      </c>
      <c r="C48" s="125">
        <v>1000000</v>
      </c>
      <c r="D48" s="125">
        <f>+C48-100000-150000-100000-225000-100000+900000-400000-300000-300000-75000-150000</f>
        <v>0</v>
      </c>
      <c r="E48" s="125"/>
      <c r="F48" s="125"/>
      <c r="G48" s="174" t="s">
        <v>41</v>
      </c>
      <c r="H48" s="90" t="s">
        <v>222</v>
      </c>
    </row>
    <row r="49" spans="1:11" ht="30" customHeight="1" x14ac:dyDescent="0.2">
      <c r="A49" s="164" t="s">
        <v>190</v>
      </c>
      <c r="B49" s="170" t="s">
        <v>641</v>
      </c>
      <c r="C49" s="167">
        <v>2000000</v>
      </c>
      <c r="D49" s="167">
        <f>+C49-150000-100000-100000-300000-200000-250000-900000</f>
        <v>0</v>
      </c>
      <c r="E49" s="167"/>
      <c r="F49" s="167"/>
      <c r="G49" s="176" t="s">
        <v>41</v>
      </c>
      <c r="H49" s="13" t="s">
        <v>222</v>
      </c>
    </row>
    <row r="50" spans="1:11" ht="18.75" customHeight="1" x14ac:dyDescent="0.2">
      <c r="A50" s="65"/>
      <c r="B50" s="66"/>
      <c r="C50" s="61"/>
      <c r="D50" s="61"/>
      <c r="E50" s="61"/>
      <c r="F50" s="61"/>
      <c r="G50" s="67"/>
      <c r="H50" s="62"/>
    </row>
    <row r="51" spans="1:11" s="43" customFormat="1" ht="20.25" customHeight="1" x14ac:dyDescent="0.2">
      <c r="A51" s="1891" t="s">
        <v>1482</v>
      </c>
      <c r="B51" s="1892"/>
      <c r="C51" s="119">
        <f>SUM(C52:C64)</f>
        <v>371774705</v>
      </c>
      <c r="D51" s="119">
        <f>SUM(D52:D65)</f>
        <v>2210751225</v>
      </c>
      <c r="E51" s="119">
        <f>SUM(E52:E60)</f>
        <v>0</v>
      </c>
      <c r="F51" s="119">
        <f>SUM(F52:F60)</f>
        <v>0</v>
      </c>
      <c r="G51" s="120"/>
      <c r="H51" s="121"/>
    </row>
    <row r="52" spans="1:11" s="43" customFormat="1" ht="19.5" customHeight="1" x14ac:dyDescent="0.2">
      <c r="A52" s="148" t="s">
        <v>188</v>
      </c>
      <c r="B52" s="71" t="s">
        <v>390</v>
      </c>
      <c r="C52" s="312">
        <v>10000000</v>
      </c>
      <c r="D52" s="312">
        <f>+C52-5711950-3561547-726503</f>
        <v>0</v>
      </c>
      <c r="E52" s="312"/>
      <c r="F52" s="312"/>
      <c r="G52" s="150" t="s">
        <v>38</v>
      </c>
      <c r="H52" s="180" t="s">
        <v>222</v>
      </c>
    </row>
    <row r="53" spans="1:11" s="43" customFormat="1" ht="19.5" customHeight="1" x14ac:dyDescent="0.2">
      <c r="A53" s="148" t="s">
        <v>189</v>
      </c>
      <c r="B53" s="74" t="s">
        <v>42</v>
      </c>
      <c r="C53" s="741">
        <v>50000000</v>
      </c>
      <c r="D53" s="741">
        <f>+C53-11045040-445156-3000000-500000-500000-7500000+64305542-4871500-2567783+7500000+17091183-3307476-635000-34000000-5500000-5080000-5339400-6287348-1860550-19030950-7594600+47144129-2286000-6350000-4000000-12694920-758952-4445000-1150000-6639395-10000000-10000000-2000000-1270000-1016000-500000-1737487-1249000</f>
        <v>879297</v>
      </c>
      <c r="E53" s="741"/>
      <c r="F53" s="741"/>
      <c r="G53" s="128" t="s">
        <v>38</v>
      </c>
      <c r="H53" s="171" t="s">
        <v>222</v>
      </c>
    </row>
    <row r="54" spans="1:11" s="43" customFormat="1" ht="29.25" customHeight="1" x14ac:dyDescent="0.2">
      <c r="A54" s="148" t="s">
        <v>190</v>
      </c>
      <c r="B54" s="169" t="s">
        <v>858</v>
      </c>
      <c r="C54" s="315">
        <f>55337756+12483125</f>
        <v>67820881</v>
      </c>
      <c r="D54" s="315">
        <f>+C54</f>
        <v>67820881</v>
      </c>
      <c r="E54" s="315"/>
      <c r="F54" s="315"/>
      <c r="G54" s="128" t="s">
        <v>38</v>
      </c>
      <c r="H54" s="171" t="s">
        <v>222</v>
      </c>
    </row>
    <row r="55" spans="1:11" s="43" customFormat="1" ht="28.5" customHeight="1" x14ac:dyDescent="0.2">
      <c r="A55" s="148" t="s">
        <v>191</v>
      </c>
      <c r="B55" s="169" t="s">
        <v>876</v>
      </c>
      <c r="C55" s="315"/>
      <c r="D55" s="315"/>
      <c r="E55" s="315"/>
      <c r="F55" s="315"/>
      <c r="G55" s="128" t="s">
        <v>38</v>
      </c>
      <c r="H55" s="171" t="s">
        <v>222</v>
      </c>
    </row>
    <row r="56" spans="1:11" s="43" customFormat="1" ht="24" customHeight="1" x14ac:dyDescent="0.2">
      <c r="A56" s="148" t="s">
        <v>192</v>
      </c>
      <c r="B56" s="169" t="s">
        <v>1407</v>
      </c>
      <c r="C56" s="315">
        <f>64406269-7752600-2200000+1258155</f>
        <v>55711824</v>
      </c>
      <c r="D56" s="315">
        <f>+C56-40025971+190660000-7987538-2133600-3079750-19045390-123952000-7700010-19025574-5969000-3707366-1506220-6377900-2956052</f>
        <v>2905453</v>
      </c>
      <c r="E56" s="315"/>
      <c r="F56" s="315"/>
      <c r="G56" s="128" t="s">
        <v>38</v>
      </c>
      <c r="H56" s="171" t="s">
        <v>222</v>
      </c>
    </row>
    <row r="57" spans="1:11" s="43" customFormat="1" ht="21" customHeight="1" x14ac:dyDescent="0.2">
      <c r="A57" s="148" t="s">
        <v>193</v>
      </c>
      <c r="B57" s="169" t="s">
        <v>638</v>
      </c>
      <c r="C57" s="315">
        <v>20000000</v>
      </c>
      <c r="D57" s="315">
        <f>+C57-19011900-988100</f>
        <v>0</v>
      </c>
      <c r="E57" s="315"/>
      <c r="F57" s="315"/>
      <c r="G57" s="128" t="s">
        <v>38</v>
      </c>
      <c r="H57" s="171" t="s">
        <v>222</v>
      </c>
    </row>
    <row r="58" spans="1:11" s="43" customFormat="1" ht="21" customHeight="1" x14ac:dyDescent="0.2">
      <c r="A58" s="148" t="s">
        <v>194</v>
      </c>
      <c r="B58" s="74" t="s">
        <v>552</v>
      </c>
      <c r="C58" s="742">
        <v>50000000</v>
      </c>
      <c r="D58" s="742">
        <f>+C58+7749312+2437854+77084029-45641169</f>
        <v>91630026</v>
      </c>
      <c r="E58" s="742"/>
      <c r="F58" s="742"/>
      <c r="G58" s="128" t="s">
        <v>38</v>
      </c>
      <c r="H58" s="171" t="s">
        <v>222</v>
      </c>
    </row>
    <row r="59" spans="1:11" s="43" customFormat="1" ht="19.5" customHeight="1" x14ac:dyDescent="0.2">
      <c r="A59" s="148" t="s">
        <v>195</v>
      </c>
      <c r="B59" s="311" t="s">
        <v>764</v>
      </c>
      <c r="C59" s="370"/>
      <c r="D59" s="370">
        <f>665000+100000+600000-1000000+23878+1484000+60902+308000+800000+2000000+3000000+20000+20000+419341+46000000+35000+1004050-3124200+511412-120000-8636000-457200-740000-285750-165100-44450+550000-762000+100000-109804-522522-430631-7799004</f>
        <v>33504922</v>
      </c>
      <c r="E59" s="370"/>
      <c r="F59" s="370"/>
      <c r="G59" s="128" t="s">
        <v>38</v>
      </c>
      <c r="H59" s="90" t="s">
        <v>222</v>
      </c>
    </row>
    <row r="60" spans="1:11" s="303" customFormat="1" ht="22.5" customHeight="1" x14ac:dyDescent="0.2">
      <c r="A60" s="148" t="s">
        <v>196</v>
      </c>
      <c r="B60" s="239" t="s">
        <v>765</v>
      </c>
      <c r="C60" s="126"/>
      <c r="D60" s="126">
        <f>1083679+17867664+220034305+89000000+126000000+72281839+2023579</f>
        <v>528291066</v>
      </c>
      <c r="E60" s="126"/>
      <c r="F60" s="126"/>
      <c r="G60" s="930" t="s">
        <v>38</v>
      </c>
      <c r="H60" s="171" t="s">
        <v>222</v>
      </c>
      <c r="K60" s="304"/>
    </row>
    <row r="61" spans="1:11" s="303" customFormat="1" ht="22.5" customHeight="1" x14ac:dyDescent="0.2">
      <c r="A61" s="64" t="s">
        <v>197</v>
      </c>
      <c r="B61" s="722" t="s">
        <v>1256</v>
      </c>
      <c r="C61" s="125"/>
      <c r="D61" s="125"/>
      <c r="E61" s="125"/>
      <c r="F61" s="125"/>
      <c r="G61" s="128" t="s">
        <v>38</v>
      </c>
      <c r="H61" s="90" t="s">
        <v>222</v>
      </c>
      <c r="K61" s="304"/>
    </row>
    <row r="62" spans="1:11" s="303" customFormat="1" ht="22.5" customHeight="1" x14ac:dyDescent="0.2">
      <c r="A62" s="64" t="s">
        <v>198</v>
      </c>
      <c r="B62" s="722" t="s">
        <v>1408</v>
      </c>
      <c r="C62" s="125">
        <v>88242000</v>
      </c>
      <c r="D62" s="125">
        <f>+C62-15368553-4874282-540291-1129588+4729641-1270000-3357201-63500-1651000+40000000+27586-8890000-15000000+40280-6350000-254000+80000000-20000000-34000000-7000000-7000000-2540000-4552506-5466080-7620000-12700000-500000+30000000-10160000-1727200-1742440-7514590-6286500-1370100-1555750-12885420-12062800-13000000-1143000-1016000+13820138-12000000-8172450+36950439-4064000-20320000+75768375</f>
        <v>94431208</v>
      </c>
      <c r="E62" s="125"/>
      <c r="F62" s="125"/>
      <c r="G62" s="128" t="s">
        <v>38</v>
      </c>
      <c r="H62" s="90" t="s">
        <v>222</v>
      </c>
      <c r="K62" s="304"/>
    </row>
    <row r="63" spans="1:11" s="303" customFormat="1" ht="22.5" customHeight="1" x14ac:dyDescent="0.2">
      <c r="A63" s="64" t="s">
        <v>225</v>
      </c>
      <c r="B63" s="722" t="s">
        <v>1450</v>
      </c>
      <c r="C63" s="125">
        <v>30000000</v>
      </c>
      <c r="D63" s="125">
        <f>+C63</f>
        <v>30000000</v>
      </c>
      <c r="E63" s="125"/>
      <c r="F63" s="125"/>
      <c r="G63" s="128" t="s">
        <v>38</v>
      </c>
      <c r="H63" s="90" t="s">
        <v>222</v>
      </c>
      <c r="K63" s="304"/>
    </row>
    <row r="64" spans="1:11" s="303" customFormat="1" ht="27.75" customHeight="1" x14ac:dyDescent="0.2">
      <c r="A64" s="64" t="s">
        <v>226</v>
      </c>
      <c r="B64" s="722" t="s">
        <v>3003</v>
      </c>
      <c r="C64" s="125"/>
      <c r="D64" s="125">
        <f>1330512270-16320000-50074200-12570428-6350000-7344880-21659800-150000-3937000-393700-6235700-2926500-3998980</f>
        <v>1198551082</v>
      </c>
      <c r="E64" s="125"/>
      <c r="F64" s="125"/>
      <c r="G64" s="128" t="s">
        <v>38</v>
      </c>
      <c r="H64" s="90" t="s">
        <v>222</v>
      </c>
      <c r="K64" s="304"/>
    </row>
    <row r="65" spans="1:11" s="303" customFormat="1" ht="57.75" customHeight="1" x14ac:dyDescent="0.2">
      <c r="A65" s="164" t="s">
        <v>227</v>
      </c>
      <c r="B65" s="854" t="s">
        <v>3252</v>
      </c>
      <c r="C65" s="172"/>
      <c r="D65" s="172">
        <v>162737290</v>
      </c>
      <c r="E65" s="172"/>
      <c r="F65" s="172"/>
      <c r="G65" s="173" t="s">
        <v>38</v>
      </c>
      <c r="H65" s="13" t="s">
        <v>222</v>
      </c>
      <c r="K65" s="304"/>
    </row>
    <row r="66" spans="1:11" ht="21" customHeight="1" x14ac:dyDescent="0.2">
      <c r="A66" s="65"/>
      <c r="C66" s="61"/>
      <c r="D66" s="61"/>
      <c r="E66" s="61"/>
      <c r="F66" s="61"/>
      <c r="H66" s="241"/>
    </row>
    <row r="67" spans="1:11" s="43" customFormat="1" ht="20.25" customHeight="1" x14ac:dyDescent="0.2">
      <c r="A67" s="1891" t="s">
        <v>1483</v>
      </c>
      <c r="B67" s="1892"/>
      <c r="C67" s="119">
        <f>SUM(C68:C69)</f>
        <v>31000000</v>
      </c>
      <c r="D67" s="119">
        <f>SUM(D68:D69)</f>
        <v>13400000</v>
      </c>
      <c r="E67" s="119">
        <f>SUM(E68:E69)</f>
        <v>0</v>
      </c>
      <c r="F67" s="119">
        <f>SUM(F68:F69)</f>
        <v>0</v>
      </c>
      <c r="G67" s="1627"/>
      <c r="H67" s="121"/>
    </row>
    <row r="68" spans="1:11" ht="19.5" customHeight="1" x14ac:dyDescent="0.2">
      <c r="A68" s="148" t="s">
        <v>188</v>
      </c>
      <c r="B68" s="149" t="s">
        <v>49</v>
      </c>
      <c r="C68" s="108">
        <v>25000000</v>
      </c>
      <c r="D68" s="108">
        <f>+C68-8000000+1200000-350000-500000-5000000-150000</f>
        <v>12200000</v>
      </c>
      <c r="E68" s="108"/>
      <c r="F68" s="108"/>
      <c r="G68" s="150" t="s">
        <v>40</v>
      </c>
      <c r="H68" s="180" t="s">
        <v>222</v>
      </c>
    </row>
    <row r="69" spans="1:11" ht="19.5" customHeight="1" x14ac:dyDescent="0.2">
      <c r="A69" s="64" t="s">
        <v>189</v>
      </c>
      <c r="B69" s="83" t="s">
        <v>50</v>
      </c>
      <c r="C69" s="141">
        <v>6000000</v>
      </c>
      <c r="D69" s="141">
        <f>+C69-150000-1000000-400000-1000000-1500000-250000-500000</f>
        <v>1200000</v>
      </c>
      <c r="E69" s="141"/>
      <c r="F69" s="141"/>
      <c r="G69" s="128" t="s">
        <v>38</v>
      </c>
      <c r="H69" s="90" t="s">
        <v>222</v>
      </c>
    </row>
    <row r="70" spans="1:11" s="3" customFormat="1" ht="24" customHeight="1" x14ac:dyDescent="0.25">
      <c r="A70" s="1852" t="s">
        <v>51</v>
      </c>
      <c r="B70" s="1898"/>
      <c r="C70" s="111">
        <f>+C67+C51+C46+C43+C24+C22+C6+C12</f>
        <v>1023175490</v>
      </c>
      <c r="D70" s="111">
        <f>+D67+D51+D46+D43+D24+D22+D6+D12</f>
        <v>2462142663</v>
      </c>
      <c r="E70" s="111">
        <f>+E67+E51+E46+E43+E24+E22+E6+E12</f>
        <v>0</v>
      </c>
      <c r="F70" s="111">
        <f>+F67+F51+F46+F43+F24+F22+F6+F12</f>
        <v>0</v>
      </c>
      <c r="G70" s="112"/>
      <c r="H70" s="113"/>
    </row>
    <row r="71" spans="1:11" x14ac:dyDescent="0.2">
      <c r="A71" s="96"/>
      <c r="B71" s="114"/>
      <c r="C71" s="115"/>
      <c r="D71" s="115">
        <f>+'12.sz.függ.Tartalékok vált.'!AU366</f>
        <v>2462142663</v>
      </c>
      <c r="E71" s="115"/>
      <c r="F71" s="115"/>
      <c r="G71" s="114"/>
      <c r="H71" s="115"/>
      <c r="I71" s="56"/>
    </row>
    <row r="72" spans="1:11" ht="74.25" customHeight="1" x14ac:dyDescent="0.2">
      <c r="A72" s="1343"/>
      <c r="B72" s="1343"/>
      <c r="C72" s="1344"/>
      <c r="D72" s="1344">
        <f>+D71-D70</f>
        <v>0</v>
      </c>
      <c r="E72" s="1343"/>
      <c r="F72" s="1343"/>
      <c r="G72" s="1343"/>
      <c r="H72" s="1343"/>
    </row>
    <row r="73" spans="1:11" ht="30.75" customHeight="1" x14ac:dyDescent="0.2">
      <c r="A73" s="1343"/>
      <c r="B73" s="1343"/>
      <c r="C73" s="1343"/>
      <c r="D73" s="1461">
        <f>+D70-D67</f>
        <v>2448742663</v>
      </c>
      <c r="E73" s="1343"/>
      <c r="F73" s="1343"/>
      <c r="G73" s="1343"/>
      <c r="H73" s="1343"/>
    </row>
    <row r="74" spans="1:11" ht="23.25" customHeight="1" x14ac:dyDescent="0.2">
      <c r="A74" s="1343"/>
      <c r="B74" s="1343"/>
      <c r="C74" s="1343"/>
      <c r="D74" s="1343"/>
      <c r="E74" s="1343"/>
      <c r="F74" s="1343"/>
      <c r="G74" s="1343"/>
      <c r="H74" s="1343"/>
    </row>
    <row r="75" spans="1:11" ht="12.75" customHeight="1" x14ac:dyDescent="0.2">
      <c r="A75" s="1343"/>
      <c r="B75" s="1343"/>
      <c r="C75" s="1343"/>
      <c r="D75" s="1343"/>
      <c r="E75" s="1343"/>
      <c r="F75" s="1343"/>
      <c r="G75" s="1343"/>
      <c r="H75" s="1343"/>
    </row>
  </sheetData>
  <mergeCells count="15">
    <mergeCell ref="G46:H46"/>
    <mergeCell ref="A70:B70"/>
    <mergeCell ref="A46:B46"/>
    <mergeCell ref="A51:B51"/>
    <mergeCell ref="A67:B67"/>
    <mergeCell ref="A3:A4"/>
    <mergeCell ref="A43:B43"/>
    <mergeCell ref="B3:B4"/>
    <mergeCell ref="A1:H1"/>
    <mergeCell ref="A6:B6"/>
    <mergeCell ref="A22:B22"/>
    <mergeCell ref="A24:B24"/>
    <mergeCell ref="A5:H5"/>
    <mergeCell ref="G3:G4"/>
    <mergeCell ref="H3:H4"/>
  </mergeCells>
  <phoneticPr fontId="50" type="noConversion"/>
  <printOptions horizontalCentered="1"/>
  <pageMargins left="0.51181102362204722" right="0.51181102362204722" top="0.74803149606299213" bottom="0.35433070866141736" header="0.51181102362204722" footer="0.31496062992125984"/>
  <pageSetup paperSize="9" scale="55" orientation="portrait" r:id="rId1"/>
  <headerFooter>
    <oddHeader>&amp;C2023. évi költségvetés&amp;R&amp;A</oddHeader>
    <oddFooter>&amp;C
&amp;P/&amp;N</oddFooter>
  </headerFooter>
  <rowBreaks count="2" manualBreakCount="2">
    <brk id="49" max="5" man="1"/>
    <brk id="70"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F21"/>
  <sheetViews>
    <sheetView view="pageBreakPreview" zoomScaleNormal="100" zoomScaleSheetLayoutView="100" workbookViewId="0">
      <selection activeCell="D18" sqref="D18"/>
    </sheetView>
  </sheetViews>
  <sheetFormatPr defaultColWidth="10.42578125" defaultRowHeight="12.75" x14ac:dyDescent="0.2"/>
  <cols>
    <col min="1" max="1" width="4.42578125" style="10" customWidth="1"/>
    <col min="2" max="2" width="4.5703125" style="10" customWidth="1"/>
    <col min="3" max="3" width="10.42578125" style="10" customWidth="1"/>
    <col min="4" max="4" width="65.42578125" style="10" customWidth="1"/>
    <col min="5" max="5" width="19.42578125" style="10" customWidth="1"/>
    <col min="6" max="6" width="18" style="10" customWidth="1"/>
    <col min="7" max="16384" width="10.42578125" style="10"/>
  </cols>
  <sheetData>
    <row r="1" spans="1:6" ht="27" customHeight="1" x14ac:dyDescent="0.2">
      <c r="A1" s="1872" t="s">
        <v>331</v>
      </c>
      <c r="B1" s="1872"/>
      <c r="C1" s="1872"/>
      <c r="D1" s="1872"/>
      <c r="E1" s="1872"/>
      <c r="F1" s="1872"/>
    </row>
    <row r="2" spans="1:6" ht="22.5" customHeight="1" x14ac:dyDescent="0.2">
      <c r="A2" s="1901"/>
      <c r="B2" s="1901"/>
      <c r="C2" s="1901"/>
      <c r="D2" s="1901"/>
      <c r="E2" s="1901"/>
      <c r="F2" s="308" t="s">
        <v>431</v>
      </c>
    </row>
    <row r="3" spans="1:6" ht="27.75" customHeight="1" x14ac:dyDescent="0.2">
      <c r="A3" s="1857" t="s">
        <v>53</v>
      </c>
      <c r="B3" s="1857" t="s">
        <v>714</v>
      </c>
      <c r="C3" s="1871" t="s">
        <v>83</v>
      </c>
      <c r="D3" s="1868" t="s">
        <v>2</v>
      </c>
      <c r="E3" s="376" t="s">
        <v>273</v>
      </c>
      <c r="F3" s="959" t="s">
        <v>1561</v>
      </c>
    </row>
    <row r="4" spans="1:6" ht="23.25" customHeight="1" x14ac:dyDescent="0.2">
      <c r="A4" s="1857"/>
      <c r="B4" s="1857"/>
      <c r="C4" s="1871"/>
      <c r="D4" s="1870"/>
      <c r="E4" s="1865" t="s">
        <v>541</v>
      </c>
      <c r="F4" s="1868" t="s">
        <v>541</v>
      </c>
    </row>
    <row r="5" spans="1:6" ht="31.5" customHeight="1" x14ac:dyDescent="0.2">
      <c r="A5" s="1857"/>
      <c r="B5" s="1857"/>
      <c r="C5" s="1871"/>
      <c r="D5" s="931" t="s">
        <v>117</v>
      </c>
      <c r="E5" s="1869"/>
      <c r="F5" s="1869"/>
    </row>
    <row r="6" spans="1:6" ht="29.25" customHeight="1" x14ac:dyDescent="0.2">
      <c r="A6" s="1857"/>
      <c r="B6" s="1857"/>
      <c r="C6" s="1871"/>
      <c r="D6" s="931" t="s">
        <v>118</v>
      </c>
      <c r="E6" s="1870"/>
      <c r="F6" s="1870"/>
    </row>
    <row r="7" spans="1:6" s="11" customFormat="1" ht="27.75" customHeight="1" x14ac:dyDescent="0.2">
      <c r="A7" s="1900" t="s">
        <v>124</v>
      </c>
      <c r="B7" s="1900"/>
      <c r="C7" s="1900"/>
      <c r="D7" s="1900"/>
      <c r="E7" s="687">
        <f>SUM(E8:E19)</f>
        <v>46000000</v>
      </c>
      <c r="F7" s="687">
        <f>SUM(F8:F19)</f>
        <v>46000000</v>
      </c>
    </row>
    <row r="8" spans="1:6" ht="24" customHeight="1" x14ac:dyDescent="0.2">
      <c r="A8" s="64" t="s">
        <v>188</v>
      </c>
      <c r="B8" s="688">
        <v>202</v>
      </c>
      <c r="C8" s="128" t="s">
        <v>1270</v>
      </c>
      <c r="D8" s="74" t="s">
        <v>524</v>
      </c>
      <c r="E8" s="155">
        <v>18000000</v>
      </c>
      <c r="F8" s="356">
        <f>+E8-700000-200000</f>
        <v>17100000</v>
      </c>
    </row>
    <row r="9" spans="1:6" ht="22.5" customHeight="1" x14ac:dyDescent="0.2">
      <c r="A9" s="64" t="s">
        <v>189</v>
      </c>
      <c r="B9" s="688">
        <v>207</v>
      </c>
      <c r="C9" s="128" t="s">
        <v>1270</v>
      </c>
      <c r="D9" s="74" t="s">
        <v>120</v>
      </c>
      <c r="E9" s="156">
        <v>4000000</v>
      </c>
      <c r="F9" s="356">
        <f>+E9+2000000</f>
        <v>6000000</v>
      </c>
    </row>
    <row r="10" spans="1:6" ht="24" customHeight="1" x14ac:dyDescent="0.2">
      <c r="A10" s="64" t="s">
        <v>190</v>
      </c>
      <c r="B10" s="688">
        <v>208</v>
      </c>
      <c r="C10" s="128" t="s">
        <v>1270</v>
      </c>
      <c r="D10" s="74" t="s">
        <v>361</v>
      </c>
      <c r="E10" s="156">
        <v>500000</v>
      </c>
      <c r="F10" s="356">
        <f t="shared" ref="F10:F16" si="0">+E10</f>
        <v>500000</v>
      </c>
    </row>
    <row r="11" spans="1:6" ht="24" customHeight="1" x14ac:dyDescent="0.2">
      <c r="A11" s="64" t="s">
        <v>191</v>
      </c>
      <c r="B11" s="688">
        <v>203</v>
      </c>
      <c r="C11" s="128" t="s">
        <v>1270</v>
      </c>
      <c r="D11" s="74" t="s">
        <v>121</v>
      </c>
      <c r="E11" s="156">
        <v>1500000</v>
      </c>
      <c r="F11" s="356">
        <f t="shared" si="0"/>
        <v>1500000</v>
      </c>
    </row>
    <row r="12" spans="1:6" ht="24" customHeight="1" x14ac:dyDescent="0.2">
      <c r="A12" s="64" t="s">
        <v>192</v>
      </c>
      <c r="B12" s="688">
        <v>204</v>
      </c>
      <c r="C12" s="128" t="s">
        <v>1270</v>
      </c>
      <c r="D12" s="74" t="s">
        <v>525</v>
      </c>
      <c r="E12" s="156">
        <v>2300000</v>
      </c>
      <c r="F12" s="356">
        <f t="shared" si="0"/>
        <v>2300000</v>
      </c>
    </row>
    <row r="13" spans="1:6" ht="31.5" customHeight="1" x14ac:dyDescent="0.2">
      <c r="A13" s="64" t="s">
        <v>193</v>
      </c>
      <c r="B13" s="688">
        <v>205</v>
      </c>
      <c r="C13" s="128" t="s">
        <v>1270</v>
      </c>
      <c r="D13" s="74" t="s">
        <v>606</v>
      </c>
      <c r="E13" s="156">
        <v>2000000</v>
      </c>
      <c r="F13" s="356">
        <f t="shared" si="0"/>
        <v>2000000</v>
      </c>
    </row>
    <row r="14" spans="1:6" ht="24.75" customHeight="1" x14ac:dyDescent="0.2">
      <c r="A14" s="64" t="s">
        <v>194</v>
      </c>
      <c r="B14" s="688">
        <v>206</v>
      </c>
      <c r="C14" s="128" t="s">
        <v>1270</v>
      </c>
      <c r="D14" s="74" t="s">
        <v>123</v>
      </c>
      <c r="E14" s="156">
        <v>3000000</v>
      </c>
      <c r="F14" s="356">
        <f t="shared" si="0"/>
        <v>3000000</v>
      </c>
    </row>
    <row r="15" spans="1:6" ht="24.75" customHeight="1" x14ac:dyDescent="0.2">
      <c r="A15" s="64" t="s">
        <v>195</v>
      </c>
      <c r="B15" s="689">
        <v>211</v>
      </c>
      <c r="C15" s="128" t="s">
        <v>1270</v>
      </c>
      <c r="D15" s="74" t="s">
        <v>122</v>
      </c>
      <c r="E15" s="156">
        <v>500000</v>
      </c>
      <c r="F15" s="356">
        <f t="shared" si="0"/>
        <v>500000</v>
      </c>
    </row>
    <row r="16" spans="1:6" ht="30" customHeight="1" x14ac:dyDescent="0.2">
      <c r="A16" s="64" t="s">
        <v>196</v>
      </c>
      <c r="B16" s="690">
        <v>212</v>
      </c>
      <c r="C16" s="128" t="s">
        <v>1270</v>
      </c>
      <c r="D16" s="169" t="s">
        <v>385</v>
      </c>
      <c r="E16" s="156">
        <v>200000</v>
      </c>
      <c r="F16" s="356">
        <f t="shared" si="0"/>
        <v>200000</v>
      </c>
    </row>
    <row r="17" spans="1:6" ht="30" customHeight="1" x14ac:dyDescent="0.2">
      <c r="A17" s="64" t="s">
        <v>197</v>
      </c>
      <c r="B17" s="690">
        <v>213</v>
      </c>
      <c r="C17" s="128" t="s">
        <v>1270</v>
      </c>
      <c r="D17" s="169" t="s">
        <v>1336</v>
      </c>
      <c r="E17" s="156"/>
      <c r="F17" s="356"/>
    </row>
    <row r="18" spans="1:6" ht="30" customHeight="1" x14ac:dyDescent="0.2">
      <c r="A18" s="64" t="s">
        <v>198</v>
      </c>
      <c r="B18" s="151">
        <v>215</v>
      </c>
      <c r="C18" s="174" t="s">
        <v>1270</v>
      </c>
      <c r="D18" s="74" t="s">
        <v>389</v>
      </c>
      <c r="E18" s="156">
        <v>7000000</v>
      </c>
      <c r="F18" s="356">
        <f>+E18-2000000</f>
        <v>5000000</v>
      </c>
    </row>
    <row r="19" spans="1:6" ht="30" customHeight="1" x14ac:dyDescent="0.2">
      <c r="A19" s="164" t="s">
        <v>225</v>
      </c>
      <c r="B19" s="728">
        <v>217</v>
      </c>
      <c r="C19" s="176" t="s">
        <v>1270</v>
      </c>
      <c r="D19" s="170" t="s">
        <v>1401</v>
      </c>
      <c r="E19" s="367">
        <v>7000000</v>
      </c>
      <c r="F19" s="356">
        <f>+E19+700000+200000</f>
        <v>7900000</v>
      </c>
    </row>
    <row r="20" spans="1:6" x14ac:dyDescent="0.2">
      <c r="A20" s="1902"/>
      <c r="B20" s="1903"/>
      <c r="C20" s="1903"/>
      <c r="D20" s="1903"/>
      <c r="E20" s="1903"/>
      <c r="F20" s="986"/>
    </row>
    <row r="21" spans="1:6" ht="23.25" customHeight="1" x14ac:dyDescent="0.2">
      <c r="A21" s="1899" t="s">
        <v>551</v>
      </c>
      <c r="B21" s="1899"/>
      <c r="C21" s="1899"/>
      <c r="D21" s="1899"/>
      <c r="E21" s="987">
        <f>E7</f>
        <v>46000000</v>
      </c>
      <c r="F21" s="1527">
        <f>F7</f>
        <v>46000000</v>
      </c>
    </row>
  </sheetData>
  <mergeCells count="11">
    <mergeCell ref="A1:F1"/>
    <mergeCell ref="A21:D21"/>
    <mergeCell ref="A7:D7"/>
    <mergeCell ref="E4:E6"/>
    <mergeCell ref="B3:B6"/>
    <mergeCell ref="A3:A6"/>
    <mergeCell ref="F4:F6"/>
    <mergeCell ref="D3:D4"/>
    <mergeCell ref="C3:C6"/>
    <mergeCell ref="A2:E2"/>
    <mergeCell ref="A20:E20"/>
  </mergeCells>
  <phoneticPr fontId="50" type="noConversion"/>
  <printOptions horizontalCentered="1"/>
  <pageMargins left="0.70866141732283472" right="0.70866141732283472" top="0.74803149606299213" bottom="0.74803149606299213" header="0.31496062992125984" footer="0.31496062992125984"/>
  <pageSetup paperSize="9" scale="71" orientation="portrait" r:id="rId1"/>
  <headerFooter>
    <oddHeader>&amp;C2023. évi költségvetés&amp;R&amp;A</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CK61"/>
  <sheetViews>
    <sheetView view="pageBreakPreview" zoomScale="70" zoomScaleNormal="80" zoomScaleSheetLayoutView="70" workbookViewId="0">
      <pane xSplit="3" ySplit="7" topLeftCell="BW8" activePane="bottomRight" state="frozen"/>
      <selection pane="topRight" activeCell="D1" sqref="D1"/>
      <selection pane="bottomLeft" activeCell="A8" sqref="A8"/>
      <selection pane="bottomRight" activeCell="CF1" sqref="CF1:CG1048576"/>
    </sheetView>
  </sheetViews>
  <sheetFormatPr defaultColWidth="16.5703125" defaultRowHeight="15.75" x14ac:dyDescent="0.25"/>
  <cols>
    <col min="1" max="1" width="7" style="273" customWidth="1"/>
    <col min="2" max="2" width="69.5703125" style="248" customWidth="1"/>
    <col min="3" max="3" width="7.42578125" style="270" customWidth="1"/>
    <col min="4" max="5" width="18.85546875" style="248" customWidth="1"/>
    <col min="6" max="7" width="19.140625" style="248" customWidth="1"/>
    <col min="8" max="9" width="19" style="246" customWidth="1"/>
    <col min="10" max="11" width="18.85546875" style="246" customWidth="1"/>
    <col min="12" max="13" width="18.28515625" style="246" customWidth="1"/>
    <col min="14" max="17" width="18.42578125" style="246" customWidth="1"/>
    <col min="18" max="19" width="19.28515625" style="246" customWidth="1"/>
    <col min="20" max="23" width="19" style="246" customWidth="1"/>
    <col min="24" max="25" width="18.85546875" style="246" customWidth="1"/>
    <col min="26" max="27" width="19.140625" style="246" customWidth="1"/>
    <col min="28" max="29" width="19.42578125" style="248" customWidth="1"/>
    <col min="30" max="31" width="19" style="248" customWidth="1"/>
    <col min="32" max="33" width="20.85546875" style="248" customWidth="1"/>
    <col min="34" max="35" width="19.28515625" style="248" customWidth="1"/>
    <col min="36" max="37" width="19" style="248" customWidth="1"/>
    <col min="38" max="41" width="18.5703125" style="248" customWidth="1"/>
    <col min="42" max="47" width="18.28515625" style="248" customWidth="1"/>
    <col min="48" max="49" width="18.7109375" style="248" customWidth="1"/>
    <col min="50" max="51" width="19" style="248" customWidth="1"/>
    <col min="52" max="53" width="18.7109375" style="248" customWidth="1"/>
    <col min="54" max="55" width="18.28515625" style="248" customWidth="1"/>
    <col min="56" max="57" width="18.85546875" style="248" customWidth="1"/>
    <col min="58" max="59" width="19.42578125" style="248" customWidth="1"/>
    <col min="60" max="61" width="18.85546875" style="283" customWidth="1"/>
    <col min="62" max="65" width="19" style="283" customWidth="1"/>
    <col min="66" max="67" width="22.140625" style="246" customWidth="1"/>
    <col min="68" max="69" width="18.85546875" style="248" customWidth="1"/>
    <col min="70" max="71" width="18.42578125" style="248" customWidth="1"/>
    <col min="72" max="74" width="19" style="248" customWidth="1"/>
    <col min="75" max="75" width="19.85546875" style="248" customWidth="1"/>
    <col min="76" max="76" width="22" style="248" customWidth="1"/>
    <col min="77" max="77" width="21.28515625" style="248" customWidth="1"/>
    <col min="78" max="79" width="20.140625" style="248" customWidth="1"/>
    <col min="80" max="81" width="19.85546875" style="248" customWidth="1"/>
    <col min="82" max="84" width="20.5703125" style="248" customWidth="1"/>
    <col min="85" max="85" width="20.85546875" style="248" customWidth="1"/>
    <col min="86" max="86" width="20.7109375" style="248" customWidth="1"/>
    <col min="87" max="87" width="18.42578125" style="248" bestFit="1" customWidth="1"/>
    <col min="88" max="16384" width="16.5703125" style="248"/>
  </cols>
  <sheetData>
    <row r="1" spans="1:89" ht="22.5" customHeight="1" x14ac:dyDescent="0.25">
      <c r="A1" s="246"/>
      <c r="B1" s="246"/>
      <c r="C1" s="247"/>
      <c r="G1" s="744" t="s">
        <v>431</v>
      </c>
      <c r="J1" s="744"/>
      <c r="K1" s="744" t="s">
        <v>431</v>
      </c>
      <c r="L1" s="248"/>
      <c r="M1" s="248"/>
      <c r="N1" s="248"/>
      <c r="O1" s="744" t="s">
        <v>431</v>
      </c>
      <c r="R1" s="744"/>
      <c r="S1" s="744" t="s">
        <v>431</v>
      </c>
      <c r="T1" s="248"/>
      <c r="U1" s="248"/>
      <c r="V1" s="248"/>
      <c r="W1" s="744" t="s">
        <v>431</v>
      </c>
      <c r="Z1" s="744"/>
      <c r="AA1" s="744" t="s">
        <v>431</v>
      </c>
      <c r="AE1" s="744" t="s">
        <v>431</v>
      </c>
      <c r="AF1" s="246"/>
      <c r="AG1" s="246"/>
      <c r="AH1" s="744"/>
      <c r="AI1" s="744" t="s">
        <v>431</v>
      </c>
      <c r="AM1" s="744" t="s">
        <v>431</v>
      </c>
      <c r="AN1" s="246"/>
      <c r="AO1" s="246"/>
      <c r="AP1" s="744"/>
      <c r="AQ1" s="744" t="s">
        <v>431</v>
      </c>
      <c r="AU1" s="744" t="s">
        <v>431</v>
      </c>
      <c r="AV1" s="246"/>
      <c r="AW1" s="246"/>
      <c r="AX1" s="744"/>
      <c r="AY1" s="744" t="s">
        <v>431</v>
      </c>
      <c r="BC1" s="744" t="s">
        <v>431</v>
      </c>
      <c r="BD1" s="246"/>
      <c r="BE1" s="246"/>
      <c r="BF1" s="744"/>
      <c r="BG1" s="744" t="s">
        <v>431</v>
      </c>
      <c r="BH1" s="248"/>
      <c r="BI1" s="248"/>
      <c r="BJ1" s="248"/>
      <c r="BK1" s="744" t="s">
        <v>431</v>
      </c>
      <c r="BL1" s="246"/>
      <c r="BM1" s="246"/>
      <c r="BN1" s="744"/>
      <c r="BO1" s="744" t="s">
        <v>431</v>
      </c>
      <c r="BS1" s="744" t="s">
        <v>431</v>
      </c>
      <c r="BV1" s="744"/>
      <c r="BW1" s="744" t="s">
        <v>431</v>
      </c>
      <c r="BZ1" s="246"/>
      <c r="CA1" s="744" t="s">
        <v>431</v>
      </c>
      <c r="CB1" s="744"/>
      <c r="CC1" s="744"/>
      <c r="CD1" s="744"/>
      <c r="CE1" s="744" t="s">
        <v>431</v>
      </c>
      <c r="CF1" s="744"/>
      <c r="CG1" s="744" t="s">
        <v>431</v>
      </c>
    </row>
    <row r="2" spans="1:89" ht="36" customHeight="1" x14ac:dyDescent="0.25">
      <c r="A2" s="1719" t="s">
        <v>252</v>
      </c>
      <c r="B2" s="1719"/>
      <c r="C2" s="1719"/>
      <c r="D2" s="1600" t="s">
        <v>273</v>
      </c>
      <c r="E2" s="1600" t="s">
        <v>1561</v>
      </c>
      <c r="F2" s="1600" t="s">
        <v>273</v>
      </c>
      <c r="G2" s="1600" t="s">
        <v>1561</v>
      </c>
      <c r="H2" s="1600" t="s">
        <v>273</v>
      </c>
      <c r="I2" s="1600" t="s">
        <v>1561</v>
      </c>
      <c r="J2" s="1600" t="s">
        <v>273</v>
      </c>
      <c r="K2" s="1600" t="s">
        <v>1561</v>
      </c>
      <c r="L2" s="1600" t="s">
        <v>273</v>
      </c>
      <c r="M2" s="1600" t="s">
        <v>1561</v>
      </c>
      <c r="N2" s="1600" t="s">
        <v>273</v>
      </c>
      <c r="O2" s="1600" t="s">
        <v>1561</v>
      </c>
      <c r="P2" s="1600" t="s">
        <v>273</v>
      </c>
      <c r="Q2" s="1600" t="s">
        <v>1561</v>
      </c>
      <c r="R2" s="1600" t="s">
        <v>273</v>
      </c>
      <c r="S2" s="1600" t="s">
        <v>1561</v>
      </c>
      <c r="T2" s="1600" t="s">
        <v>273</v>
      </c>
      <c r="U2" s="1600" t="s">
        <v>1561</v>
      </c>
      <c r="V2" s="1600" t="s">
        <v>273</v>
      </c>
      <c r="W2" s="1600" t="s">
        <v>1561</v>
      </c>
      <c r="X2" s="1600" t="s">
        <v>273</v>
      </c>
      <c r="Y2" s="1600" t="s">
        <v>1561</v>
      </c>
      <c r="Z2" s="1600" t="s">
        <v>273</v>
      </c>
      <c r="AA2" s="1600" t="s">
        <v>1561</v>
      </c>
      <c r="AB2" s="1600" t="s">
        <v>273</v>
      </c>
      <c r="AC2" s="1600" t="s">
        <v>1561</v>
      </c>
      <c r="AD2" s="1600" t="s">
        <v>273</v>
      </c>
      <c r="AE2" s="1600" t="s">
        <v>1561</v>
      </c>
      <c r="AF2" s="1600" t="s">
        <v>273</v>
      </c>
      <c r="AG2" s="1600" t="s">
        <v>1561</v>
      </c>
      <c r="AH2" s="1600" t="s">
        <v>273</v>
      </c>
      <c r="AI2" s="1600" t="s">
        <v>1561</v>
      </c>
      <c r="AJ2" s="1600" t="s">
        <v>273</v>
      </c>
      <c r="AK2" s="1600" t="s">
        <v>1561</v>
      </c>
      <c r="AL2" s="1600" t="s">
        <v>273</v>
      </c>
      <c r="AM2" s="1600" t="s">
        <v>1561</v>
      </c>
      <c r="AN2" s="1600" t="s">
        <v>273</v>
      </c>
      <c r="AO2" s="1600" t="s">
        <v>1561</v>
      </c>
      <c r="AP2" s="1600" t="s">
        <v>273</v>
      </c>
      <c r="AQ2" s="1600" t="s">
        <v>1561</v>
      </c>
      <c r="AR2" s="1600" t="s">
        <v>273</v>
      </c>
      <c r="AS2" s="1600" t="s">
        <v>1561</v>
      </c>
      <c r="AT2" s="1600" t="s">
        <v>273</v>
      </c>
      <c r="AU2" s="1600" t="s">
        <v>1561</v>
      </c>
      <c r="AV2" s="1600" t="s">
        <v>273</v>
      </c>
      <c r="AW2" s="1600" t="s">
        <v>1561</v>
      </c>
      <c r="AX2" s="1600" t="s">
        <v>273</v>
      </c>
      <c r="AY2" s="1600" t="s">
        <v>1561</v>
      </c>
      <c r="AZ2" s="1600" t="s">
        <v>273</v>
      </c>
      <c r="BA2" s="1600" t="s">
        <v>1561</v>
      </c>
      <c r="BB2" s="1600" t="s">
        <v>273</v>
      </c>
      <c r="BC2" s="1600" t="s">
        <v>1561</v>
      </c>
      <c r="BD2" s="1600" t="s">
        <v>273</v>
      </c>
      <c r="BE2" s="1600" t="s">
        <v>1561</v>
      </c>
      <c r="BF2" s="1600" t="s">
        <v>273</v>
      </c>
      <c r="BG2" s="1600" t="s">
        <v>1561</v>
      </c>
      <c r="BH2" s="1600" t="s">
        <v>273</v>
      </c>
      <c r="BI2" s="1600" t="s">
        <v>1561</v>
      </c>
      <c r="BJ2" s="1600" t="s">
        <v>273</v>
      </c>
      <c r="BK2" s="1600" t="s">
        <v>1561</v>
      </c>
      <c r="BL2" s="1600" t="s">
        <v>273</v>
      </c>
      <c r="BM2" s="1600" t="s">
        <v>1561</v>
      </c>
      <c r="BN2" s="1600" t="s">
        <v>273</v>
      </c>
      <c r="BO2" s="1600" t="s">
        <v>1561</v>
      </c>
      <c r="BP2" s="1600" t="s">
        <v>273</v>
      </c>
      <c r="BQ2" s="1600" t="s">
        <v>1561</v>
      </c>
      <c r="BR2" s="1600" t="s">
        <v>273</v>
      </c>
      <c r="BS2" s="1600" t="s">
        <v>1561</v>
      </c>
      <c r="BT2" s="1600" t="s">
        <v>273</v>
      </c>
      <c r="BU2" s="1600" t="s">
        <v>1561</v>
      </c>
      <c r="BV2" s="1600" t="s">
        <v>273</v>
      </c>
      <c r="BW2" s="1600" t="s">
        <v>1561</v>
      </c>
      <c r="BX2" s="1600" t="s">
        <v>273</v>
      </c>
      <c r="BY2" s="1600" t="s">
        <v>1561</v>
      </c>
      <c r="BZ2" s="1600" t="s">
        <v>273</v>
      </c>
      <c r="CA2" s="1600" t="s">
        <v>1561</v>
      </c>
      <c r="CB2" s="1600" t="s">
        <v>273</v>
      </c>
      <c r="CC2" s="1600" t="s">
        <v>1561</v>
      </c>
      <c r="CD2" s="1600" t="s">
        <v>273</v>
      </c>
      <c r="CE2" s="1600" t="s">
        <v>1561</v>
      </c>
      <c r="CF2" s="1600" t="s">
        <v>273</v>
      </c>
      <c r="CG2" s="1600" t="s">
        <v>1561</v>
      </c>
      <c r="CH2" s="249"/>
    </row>
    <row r="3" spans="1:89" ht="152.25" customHeight="1" x14ac:dyDescent="0.25">
      <c r="A3" s="1720" t="s">
        <v>186</v>
      </c>
      <c r="B3" s="1719" t="s">
        <v>244</v>
      </c>
      <c r="C3" s="1719"/>
      <c r="D3" s="70" t="s">
        <v>382</v>
      </c>
      <c r="E3" s="70" t="s">
        <v>382</v>
      </c>
      <c r="F3" s="70" t="s">
        <v>360</v>
      </c>
      <c r="G3" s="70" t="s">
        <v>360</v>
      </c>
      <c r="H3" s="70" t="s">
        <v>382</v>
      </c>
      <c r="I3" s="70" t="s">
        <v>382</v>
      </c>
      <c r="J3" s="70" t="s">
        <v>360</v>
      </c>
      <c r="K3" s="70" t="s">
        <v>360</v>
      </c>
      <c r="L3" s="70" t="s">
        <v>360</v>
      </c>
      <c r="M3" s="70" t="s">
        <v>360</v>
      </c>
      <c r="N3" s="70" t="s">
        <v>382</v>
      </c>
      <c r="O3" s="70" t="s">
        <v>382</v>
      </c>
      <c r="P3" s="70" t="s">
        <v>382</v>
      </c>
      <c r="Q3" s="70" t="s">
        <v>382</v>
      </c>
      <c r="R3" s="70" t="s">
        <v>386</v>
      </c>
      <c r="S3" s="70" t="s">
        <v>386</v>
      </c>
      <c r="T3" s="70" t="s">
        <v>386</v>
      </c>
      <c r="U3" s="70" t="s">
        <v>386</v>
      </c>
      <c r="V3" s="70" t="s">
        <v>386</v>
      </c>
      <c r="W3" s="70" t="s">
        <v>386</v>
      </c>
      <c r="X3" s="70" t="s">
        <v>386</v>
      </c>
      <c r="Y3" s="70" t="s">
        <v>386</v>
      </c>
      <c r="Z3" s="70" t="s">
        <v>386</v>
      </c>
      <c r="AA3" s="70" t="s">
        <v>386</v>
      </c>
      <c r="AB3" s="70" t="s">
        <v>619</v>
      </c>
      <c r="AC3" s="70" t="s">
        <v>619</v>
      </c>
      <c r="AD3" s="70" t="s">
        <v>484</v>
      </c>
      <c r="AE3" s="70" t="s">
        <v>484</v>
      </c>
      <c r="AF3" s="70" t="s">
        <v>422</v>
      </c>
      <c r="AG3" s="70" t="s">
        <v>422</v>
      </c>
      <c r="AH3" s="70" t="s">
        <v>250</v>
      </c>
      <c r="AI3" s="70" t="s">
        <v>250</v>
      </c>
      <c r="AJ3" s="70" t="s">
        <v>251</v>
      </c>
      <c r="AK3" s="70" t="s">
        <v>251</v>
      </c>
      <c r="AL3" s="70" t="s">
        <v>384</v>
      </c>
      <c r="AM3" s="70" t="s">
        <v>384</v>
      </c>
      <c r="AN3" s="70" t="s">
        <v>275</v>
      </c>
      <c r="AO3" s="70" t="s">
        <v>275</v>
      </c>
      <c r="AP3" s="70" t="s">
        <v>867</v>
      </c>
      <c r="AQ3" s="70" t="s">
        <v>867</v>
      </c>
      <c r="AR3" s="70" t="s">
        <v>428</v>
      </c>
      <c r="AS3" s="70" t="s">
        <v>428</v>
      </c>
      <c r="AT3" s="70" t="s">
        <v>365</v>
      </c>
      <c r="AU3" s="70" t="s">
        <v>365</v>
      </c>
      <c r="AV3" s="70" t="s">
        <v>364</v>
      </c>
      <c r="AW3" s="70" t="s">
        <v>364</v>
      </c>
      <c r="AX3" s="70" t="s">
        <v>619</v>
      </c>
      <c r="AY3" s="70" t="s">
        <v>619</v>
      </c>
      <c r="AZ3" s="70" t="s">
        <v>363</v>
      </c>
      <c r="BA3" s="70" t="s">
        <v>363</v>
      </c>
      <c r="BB3" s="1610" t="s">
        <v>480</v>
      </c>
      <c r="BC3" s="1610" t="s">
        <v>480</v>
      </c>
      <c r="BD3" s="1610" t="s">
        <v>480</v>
      </c>
      <c r="BE3" s="1610" t="s">
        <v>480</v>
      </c>
      <c r="BF3" s="70" t="s">
        <v>414</v>
      </c>
      <c r="BG3" s="70" t="s">
        <v>414</v>
      </c>
      <c r="BH3" s="70" t="s">
        <v>412</v>
      </c>
      <c r="BI3" s="70" t="s">
        <v>412</v>
      </c>
      <c r="BJ3" s="225" t="s">
        <v>338</v>
      </c>
      <c r="BK3" s="225" t="s">
        <v>338</v>
      </c>
      <c r="BL3" s="70" t="s">
        <v>1405</v>
      </c>
      <c r="BM3" s="70" t="s">
        <v>1405</v>
      </c>
      <c r="BN3" s="70" t="s">
        <v>1440</v>
      </c>
      <c r="BO3" s="70" t="s">
        <v>1440</v>
      </c>
      <c r="BP3" s="70" t="s">
        <v>869</v>
      </c>
      <c r="BQ3" s="70" t="s">
        <v>869</v>
      </c>
      <c r="BR3" s="1600" t="s">
        <v>246</v>
      </c>
      <c r="BS3" s="1600" t="s">
        <v>246</v>
      </c>
      <c r="BT3" s="70" t="s">
        <v>619</v>
      </c>
      <c r="BU3" s="70" t="s">
        <v>619</v>
      </c>
      <c r="BV3" s="1592" t="s">
        <v>3078</v>
      </c>
      <c r="BW3" s="1592" t="s">
        <v>3078</v>
      </c>
      <c r="BX3" s="1727" t="s">
        <v>157</v>
      </c>
      <c r="BY3" s="1728"/>
      <c r="BZ3" s="1728"/>
      <c r="CA3" s="1729"/>
      <c r="CB3" s="1727" t="s">
        <v>157</v>
      </c>
      <c r="CC3" s="1728"/>
      <c r="CD3" s="1728"/>
      <c r="CE3" s="1729"/>
      <c r="CF3" s="1735" t="s">
        <v>1976</v>
      </c>
      <c r="CG3" s="1735" t="s">
        <v>1976</v>
      </c>
      <c r="CH3" s="249"/>
    </row>
    <row r="4" spans="1:89" ht="28.5" customHeight="1" x14ac:dyDescent="0.25">
      <c r="A4" s="1720"/>
      <c r="B4" s="1719" t="s">
        <v>11</v>
      </c>
      <c r="C4" s="1719"/>
      <c r="D4" s="70" t="s">
        <v>222</v>
      </c>
      <c r="E4" s="70" t="s">
        <v>222</v>
      </c>
      <c r="F4" s="70" t="s">
        <v>222</v>
      </c>
      <c r="G4" s="70" t="s">
        <v>222</v>
      </c>
      <c r="H4" s="70" t="s">
        <v>222</v>
      </c>
      <c r="I4" s="70" t="s">
        <v>222</v>
      </c>
      <c r="J4" s="70" t="s">
        <v>222</v>
      </c>
      <c r="K4" s="70" t="s">
        <v>222</v>
      </c>
      <c r="L4" s="70" t="s">
        <v>222</v>
      </c>
      <c r="M4" s="70" t="s">
        <v>222</v>
      </c>
      <c r="N4" s="70" t="s">
        <v>222</v>
      </c>
      <c r="O4" s="70" t="s">
        <v>222</v>
      </c>
      <c r="P4" s="70" t="s">
        <v>222</v>
      </c>
      <c r="Q4" s="70" t="s">
        <v>222</v>
      </c>
      <c r="R4" s="70" t="s">
        <v>222</v>
      </c>
      <c r="S4" s="70" t="s">
        <v>222</v>
      </c>
      <c r="T4" s="70" t="s">
        <v>222</v>
      </c>
      <c r="U4" s="70" t="s">
        <v>222</v>
      </c>
      <c r="V4" s="70" t="s">
        <v>222</v>
      </c>
      <c r="W4" s="70" t="s">
        <v>222</v>
      </c>
      <c r="X4" s="70" t="s">
        <v>222</v>
      </c>
      <c r="Y4" s="70" t="s">
        <v>222</v>
      </c>
      <c r="Z4" s="70" t="s">
        <v>222</v>
      </c>
      <c r="AA4" s="70" t="s">
        <v>222</v>
      </c>
      <c r="AB4" s="70" t="s">
        <v>223</v>
      </c>
      <c r="AC4" s="70" t="s">
        <v>223</v>
      </c>
      <c r="AD4" s="70" t="s">
        <v>223</v>
      </c>
      <c r="AE4" s="70" t="s">
        <v>223</v>
      </c>
      <c r="AF4" s="70" t="s">
        <v>223</v>
      </c>
      <c r="AG4" s="70" t="s">
        <v>223</v>
      </c>
      <c r="AH4" s="70" t="s">
        <v>223</v>
      </c>
      <c r="AI4" s="70" t="s">
        <v>223</v>
      </c>
      <c r="AJ4" s="70" t="s">
        <v>223</v>
      </c>
      <c r="AK4" s="70" t="s">
        <v>223</v>
      </c>
      <c r="AL4" s="70" t="s">
        <v>223</v>
      </c>
      <c r="AM4" s="70" t="s">
        <v>223</v>
      </c>
      <c r="AN4" s="70" t="s">
        <v>223</v>
      </c>
      <c r="AO4" s="70" t="s">
        <v>223</v>
      </c>
      <c r="AP4" s="70" t="s">
        <v>223</v>
      </c>
      <c r="AQ4" s="70" t="s">
        <v>223</v>
      </c>
      <c r="AR4" s="70" t="s">
        <v>223</v>
      </c>
      <c r="AS4" s="70" t="s">
        <v>223</v>
      </c>
      <c r="AT4" s="70" t="s">
        <v>223</v>
      </c>
      <c r="AU4" s="70" t="s">
        <v>223</v>
      </c>
      <c r="AV4" s="70" t="s">
        <v>223</v>
      </c>
      <c r="AW4" s="70" t="s">
        <v>223</v>
      </c>
      <c r="AX4" s="70" t="s">
        <v>223</v>
      </c>
      <c r="AY4" s="70" t="s">
        <v>223</v>
      </c>
      <c r="AZ4" s="70" t="s">
        <v>222</v>
      </c>
      <c r="BA4" s="70" t="s">
        <v>222</v>
      </c>
      <c r="BB4" s="70" t="s">
        <v>223</v>
      </c>
      <c r="BC4" s="70" t="s">
        <v>223</v>
      </c>
      <c r="BD4" s="70" t="s">
        <v>223</v>
      </c>
      <c r="BE4" s="70" t="s">
        <v>223</v>
      </c>
      <c r="BF4" s="70" t="s">
        <v>223</v>
      </c>
      <c r="BG4" s="70" t="s">
        <v>223</v>
      </c>
      <c r="BH4" s="70" t="s">
        <v>222</v>
      </c>
      <c r="BI4" s="70" t="s">
        <v>222</v>
      </c>
      <c r="BJ4" s="70" t="s">
        <v>223</v>
      </c>
      <c r="BK4" s="70" t="s">
        <v>223</v>
      </c>
      <c r="BL4" s="70" t="s">
        <v>223</v>
      </c>
      <c r="BM4" s="70" t="s">
        <v>223</v>
      </c>
      <c r="BN4" s="70" t="s">
        <v>223</v>
      </c>
      <c r="BO4" s="70" t="s">
        <v>223</v>
      </c>
      <c r="BP4" s="1600" t="s">
        <v>222</v>
      </c>
      <c r="BQ4" s="1600" t="s">
        <v>222</v>
      </c>
      <c r="BR4" s="1600" t="s">
        <v>222</v>
      </c>
      <c r="BS4" s="1600" t="s">
        <v>222</v>
      </c>
      <c r="BT4" s="1600" t="s">
        <v>222</v>
      </c>
      <c r="BU4" s="1600" t="s">
        <v>222</v>
      </c>
      <c r="BV4" s="70" t="s">
        <v>223</v>
      </c>
      <c r="BW4" s="1600" t="s">
        <v>223</v>
      </c>
      <c r="BX4" s="1718" t="s">
        <v>222</v>
      </c>
      <c r="BY4" s="1718" t="s">
        <v>222</v>
      </c>
      <c r="BZ4" s="1718" t="s">
        <v>326</v>
      </c>
      <c r="CA4" s="1718" t="s">
        <v>326</v>
      </c>
      <c r="CB4" s="1718" t="s">
        <v>224</v>
      </c>
      <c r="CC4" s="1718" t="s">
        <v>224</v>
      </c>
      <c r="CD4" s="1718" t="s">
        <v>243</v>
      </c>
      <c r="CE4" s="1718" t="s">
        <v>243</v>
      </c>
      <c r="CF4" s="1736"/>
      <c r="CG4" s="1736"/>
      <c r="CH4" s="428"/>
    </row>
    <row r="5" spans="1:89" ht="30" customHeight="1" x14ac:dyDescent="0.25">
      <c r="A5" s="1720"/>
      <c r="B5" s="1719" t="s">
        <v>713</v>
      </c>
      <c r="C5" s="1719"/>
      <c r="D5" s="1721" t="s">
        <v>1415</v>
      </c>
      <c r="E5" s="1721" t="s">
        <v>1415</v>
      </c>
      <c r="F5" s="1721" t="s">
        <v>672</v>
      </c>
      <c r="G5" s="1721" t="s">
        <v>672</v>
      </c>
      <c r="H5" s="1734" t="s">
        <v>756</v>
      </c>
      <c r="I5" s="1734" t="s">
        <v>756</v>
      </c>
      <c r="J5" s="1721" t="s">
        <v>673</v>
      </c>
      <c r="K5" s="1721" t="s">
        <v>673</v>
      </c>
      <c r="L5" s="1721" t="s">
        <v>674</v>
      </c>
      <c r="M5" s="1721" t="s">
        <v>674</v>
      </c>
      <c r="N5" s="1721" t="s">
        <v>1271</v>
      </c>
      <c r="O5" s="1721" t="s">
        <v>1271</v>
      </c>
      <c r="P5" s="1721" t="s">
        <v>1272</v>
      </c>
      <c r="Q5" s="1721" t="s">
        <v>1272</v>
      </c>
      <c r="R5" s="1721" t="s">
        <v>675</v>
      </c>
      <c r="S5" s="1721" t="s">
        <v>675</v>
      </c>
      <c r="T5" s="1721" t="s">
        <v>388</v>
      </c>
      <c r="U5" s="1721" t="s">
        <v>388</v>
      </c>
      <c r="V5" s="1721" t="s">
        <v>387</v>
      </c>
      <c r="W5" s="1721" t="s">
        <v>387</v>
      </c>
      <c r="X5" s="1721" t="s">
        <v>530</v>
      </c>
      <c r="Y5" s="1721" t="s">
        <v>530</v>
      </c>
      <c r="Z5" s="1721" t="s">
        <v>1402</v>
      </c>
      <c r="AA5" s="1721" t="s">
        <v>1402</v>
      </c>
      <c r="AB5" s="1721" t="s">
        <v>1337</v>
      </c>
      <c r="AC5" s="1721" t="s">
        <v>1337</v>
      </c>
      <c r="AD5" s="1721" t="s">
        <v>676</v>
      </c>
      <c r="AE5" s="1721" t="s">
        <v>676</v>
      </c>
      <c r="AF5" s="1721" t="s">
        <v>677</v>
      </c>
      <c r="AG5" s="1721" t="s">
        <v>677</v>
      </c>
      <c r="AH5" s="1722" t="s">
        <v>678</v>
      </c>
      <c r="AI5" s="1722" t="s">
        <v>678</v>
      </c>
      <c r="AJ5" s="1722" t="s">
        <v>679</v>
      </c>
      <c r="AK5" s="1722" t="s">
        <v>679</v>
      </c>
      <c r="AL5" s="1730" t="s">
        <v>757</v>
      </c>
      <c r="AM5" s="1732" t="s">
        <v>757</v>
      </c>
      <c r="AN5" s="1730" t="s">
        <v>757</v>
      </c>
      <c r="AO5" s="1730" t="s">
        <v>757</v>
      </c>
      <c r="AP5" s="1730" t="s">
        <v>757</v>
      </c>
      <c r="AQ5" s="1732" t="s">
        <v>757</v>
      </c>
      <c r="AR5" s="1730" t="s">
        <v>757</v>
      </c>
      <c r="AS5" s="1730" t="s">
        <v>757</v>
      </c>
      <c r="AT5" s="1722" t="s">
        <v>758</v>
      </c>
      <c r="AU5" s="1722" t="s">
        <v>758</v>
      </c>
      <c r="AV5" s="1721" t="s">
        <v>680</v>
      </c>
      <c r="AW5" s="1721" t="s">
        <v>680</v>
      </c>
      <c r="AX5" s="1721" t="s">
        <v>1338</v>
      </c>
      <c r="AY5" s="1721" t="s">
        <v>1338</v>
      </c>
      <c r="AZ5" s="1721" t="s">
        <v>681</v>
      </c>
      <c r="BA5" s="1721" t="s">
        <v>681</v>
      </c>
      <c r="BB5" s="1721" t="s">
        <v>682</v>
      </c>
      <c r="BC5" s="1721" t="s">
        <v>682</v>
      </c>
      <c r="BD5" s="1721" t="s">
        <v>683</v>
      </c>
      <c r="BE5" s="1721" t="s">
        <v>683</v>
      </c>
      <c r="BF5" s="1718" t="s">
        <v>759</v>
      </c>
      <c r="BG5" s="1718" t="s">
        <v>759</v>
      </c>
      <c r="BH5" s="1724" t="s">
        <v>684</v>
      </c>
      <c r="BI5" s="1724" t="s">
        <v>684</v>
      </c>
      <c r="BJ5" s="1718" t="s">
        <v>751</v>
      </c>
      <c r="BK5" s="1718" t="s">
        <v>751</v>
      </c>
      <c r="BL5" s="1718" t="s">
        <v>1406</v>
      </c>
      <c r="BM5" s="1718" t="s">
        <v>1406</v>
      </c>
      <c r="BN5" s="1718" t="s">
        <v>1409</v>
      </c>
      <c r="BO5" s="1718" t="s">
        <v>1409</v>
      </c>
      <c r="BP5" s="1718" t="s">
        <v>1356</v>
      </c>
      <c r="BQ5" s="1718" t="s">
        <v>1356</v>
      </c>
      <c r="BR5" s="1724" t="s">
        <v>1410</v>
      </c>
      <c r="BS5" s="1724" t="s">
        <v>1410</v>
      </c>
      <c r="BT5" s="1718" t="s">
        <v>819</v>
      </c>
      <c r="BU5" s="1718" t="s">
        <v>819</v>
      </c>
      <c r="BV5" s="1718" t="s">
        <v>3077</v>
      </c>
      <c r="BW5" s="1718" t="s">
        <v>3077</v>
      </c>
      <c r="BX5" s="1718"/>
      <c r="BY5" s="1718"/>
      <c r="BZ5" s="1718"/>
      <c r="CA5" s="1718"/>
      <c r="CB5" s="1718"/>
      <c r="CC5" s="1718"/>
      <c r="CD5" s="1718"/>
      <c r="CE5" s="1718"/>
      <c r="CF5" s="1736"/>
      <c r="CG5" s="1736"/>
      <c r="CH5" s="428"/>
      <c r="CI5" s="258"/>
    </row>
    <row r="6" spans="1:89" ht="130.5" customHeight="1" x14ac:dyDescent="0.25">
      <c r="A6" s="1720"/>
      <c r="B6" s="1603" t="s">
        <v>187</v>
      </c>
      <c r="C6" s="250" t="s">
        <v>245</v>
      </c>
      <c r="D6" s="1721"/>
      <c r="E6" s="1721"/>
      <c r="F6" s="1721"/>
      <c r="G6" s="1721"/>
      <c r="H6" s="1721"/>
      <c r="I6" s="1721"/>
      <c r="J6" s="1721"/>
      <c r="K6" s="1721"/>
      <c r="L6" s="1721"/>
      <c r="M6" s="1721"/>
      <c r="N6" s="1721"/>
      <c r="O6" s="1721"/>
      <c r="P6" s="1721"/>
      <c r="Q6" s="1721"/>
      <c r="R6" s="1721"/>
      <c r="S6" s="1721"/>
      <c r="T6" s="1721"/>
      <c r="U6" s="1721"/>
      <c r="V6" s="1721"/>
      <c r="W6" s="1721"/>
      <c r="X6" s="1721"/>
      <c r="Y6" s="1721"/>
      <c r="Z6" s="1721"/>
      <c r="AA6" s="1721"/>
      <c r="AB6" s="1721"/>
      <c r="AC6" s="1721"/>
      <c r="AD6" s="1721"/>
      <c r="AE6" s="1721"/>
      <c r="AF6" s="1721"/>
      <c r="AG6" s="1721"/>
      <c r="AH6" s="1722"/>
      <c r="AI6" s="1722"/>
      <c r="AJ6" s="1722"/>
      <c r="AK6" s="1722"/>
      <c r="AL6" s="1731"/>
      <c r="AM6" s="1733"/>
      <c r="AN6" s="1731"/>
      <c r="AO6" s="1731"/>
      <c r="AP6" s="1731"/>
      <c r="AQ6" s="1733"/>
      <c r="AR6" s="1731"/>
      <c r="AS6" s="1731"/>
      <c r="AT6" s="1722"/>
      <c r="AU6" s="1722"/>
      <c r="AV6" s="1721"/>
      <c r="AW6" s="1721"/>
      <c r="AX6" s="1721"/>
      <c r="AY6" s="1721"/>
      <c r="AZ6" s="1721"/>
      <c r="BA6" s="1721"/>
      <c r="BB6" s="1721"/>
      <c r="BC6" s="1721"/>
      <c r="BD6" s="1721"/>
      <c r="BE6" s="1721"/>
      <c r="BF6" s="1718"/>
      <c r="BG6" s="1718"/>
      <c r="BH6" s="1724"/>
      <c r="BI6" s="1724"/>
      <c r="BJ6" s="1718"/>
      <c r="BK6" s="1718"/>
      <c r="BL6" s="1718"/>
      <c r="BM6" s="1718"/>
      <c r="BN6" s="1718"/>
      <c r="BO6" s="1718"/>
      <c r="BP6" s="1718"/>
      <c r="BQ6" s="1718"/>
      <c r="BR6" s="1724"/>
      <c r="BS6" s="1724"/>
      <c r="BT6" s="1718"/>
      <c r="BU6" s="1718"/>
      <c r="BV6" s="1718"/>
      <c r="BW6" s="1718"/>
      <c r="BX6" s="1718"/>
      <c r="BY6" s="1718"/>
      <c r="BZ6" s="1718"/>
      <c r="CA6" s="1718"/>
      <c r="CB6" s="1718"/>
      <c r="CC6" s="1718"/>
      <c r="CD6" s="1718"/>
      <c r="CE6" s="1718"/>
      <c r="CF6" s="1737"/>
      <c r="CG6" s="1737"/>
      <c r="CH6" s="428"/>
      <c r="CJ6" s="258"/>
    </row>
    <row r="7" spans="1:89" ht="16.5" customHeight="1" x14ac:dyDescent="0.25">
      <c r="A7" s="251" t="s">
        <v>188</v>
      </c>
      <c r="B7" s="252" t="s">
        <v>189</v>
      </c>
      <c r="C7" s="252" t="s">
        <v>190</v>
      </c>
      <c r="D7" s="417" t="s">
        <v>1645</v>
      </c>
      <c r="E7" s="417" t="s">
        <v>1646</v>
      </c>
      <c r="F7" s="417" t="s">
        <v>1647</v>
      </c>
      <c r="G7" s="417" t="s">
        <v>1648</v>
      </c>
      <c r="H7" s="417" t="s">
        <v>1649</v>
      </c>
      <c r="I7" s="417" t="s">
        <v>1650</v>
      </c>
      <c r="J7" s="417" t="s">
        <v>1651</v>
      </c>
      <c r="K7" s="417" t="s">
        <v>1652</v>
      </c>
      <c r="L7" s="417" t="s">
        <v>1653</v>
      </c>
      <c r="M7" s="417" t="s">
        <v>1654</v>
      </c>
      <c r="N7" s="417" t="s">
        <v>1655</v>
      </c>
      <c r="O7" s="417" t="s">
        <v>1656</v>
      </c>
      <c r="P7" s="417" t="s">
        <v>1657</v>
      </c>
      <c r="Q7" s="417" t="s">
        <v>1658</v>
      </c>
      <c r="R7" s="417" t="s">
        <v>1659</v>
      </c>
      <c r="S7" s="417" t="s">
        <v>1660</v>
      </c>
      <c r="T7" s="417" t="s">
        <v>1661</v>
      </c>
      <c r="U7" s="417" t="s">
        <v>1662</v>
      </c>
      <c r="V7" s="417" t="s">
        <v>1663</v>
      </c>
      <c r="W7" s="417" t="s">
        <v>1664</v>
      </c>
      <c r="X7" s="417" t="s">
        <v>1665</v>
      </c>
      <c r="Y7" s="417" t="s">
        <v>1666</v>
      </c>
      <c r="Z7" s="417" t="s">
        <v>1667</v>
      </c>
      <c r="AA7" s="417" t="s">
        <v>1668</v>
      </c>
      <c r="AB7" s="417" t="s">
        <v>1669</v>
      </c>
      <c r="AC7" s="417" t="s">
        <v>1670</v>
      </c>
      <c r="AD7" s="417" t="s">
        <v>1671</v>
      </c>
      <c r="AE7" s="417" t="s">
        <v>1672</v>
      </c>
      <c r="AF7" s="417" t="s">
        <v>1673</v>
      </c>
      <c r="AG7" s="417" t="s">
        <v>1674</v>
      </c>
      <c r="AH7" s="417" t="s">
        <v>1675</v>
      </c>
      <c r="AI7" s="417" t="s">
        <v>1676</v>
      </c>
      <c r="AJ7" s="417" t="s">
        <v>1677</v>
      </c>
      <c r="AK7" s="417" t="s">
        <v>1678</v>
      </c>
      <c r="AL7" s="417" t="s">
        <v>1679</v>
      </c>
      <c r="AM7" s="417" t="s">
        <v>1680</v>
      </c>
      <c r="AN7" s="417" t="s">
        <v>1681</v>
      </c>
      <c r="AO7" s="417" t="s">
        <v>1682</v>
      </c>
      <c r="AP7" s="417" t="s">
        <v>1683</v>
      </c>
      <c r="AQ7" s="417" t="s">
        <v>1684</v>
      </c>
      <c r="AR7" s="417" t="s">
        <v>1685</v>
      </c>
      <c r="AS7" s="417" t="s">
        <v>1686</v>
      </c>
      <c r="AT7" s="417" t="s">
        <v>1687</v>
      </c>
      <c r="AU7" s="417" t="s">
        <v>1688</v>
      </c>
      <c r="AV7" s="417" t="s">
        <v>1689</v>
      </c>
      <c r="AW7" s="417" t="s">
        <v>1690</v>
      </c>
      <c r="AX7" s="417" t="s">
        <v>1691</v>
      </c>
      <c r="AY7" s="417" t="s">
        <v>1692</v>
      </c>
      <c r="AZ7" s="417" t="s">
        <v>1693</v>
      </c>
      <c r="BA7" s="417" t="s">
        <v>1694</v>
      </c>
      <c r="BB7" s="417" t="s">
        <v>1695</v>
      </c>
      <c r="BC7" s="417" t="s">
        <v>1696</v>
      </c>
      <c r="BD7" s="417" t="s">
        <v>1697</v>
      </c>
      <c r="BE7" s="417" t="s">
        <v>1698</v>
      </c>
      <c r="BF7" s="417" t="s">
        <v>1699</v>
      </c>
      <c r="BG7" s="417" t="s">
        <v>1700</v>
      </c>
      <c r="BH7" s="417" t="s">
        <v>1701</v>
      </c>
      <c r="BI7" s="417" t="s">
        <v>1702</v>
      </c>
      <c r="BJ7" s="417" t="s">
        <v>1703</v>
      </c>
      <c r="BK7" s="417" t="s">
        <v>1704</v>
      </c>
      <c r="BL7" s="417" t="s">
        <v>1705</v>
      </c>
      <c r="BM7" s="417" t="s">
        <v>1706</v>
      </c>
      <c r="BN7" s="417" t="s">
        <v>1707</v>
      </c>
      <c r="BO7" s="417" t="s">
        <v>1708</v>
      </c>
      <c r="BP7" s="417" t="s">
        <v>1709</v>
      </c>
      <c r="BQ7" s="417" t="s">
        <v>1710</v>
      </c>
      <c r="BR7" s="417" t="s">
        <v>1711</v>
      </c>
      <c r="BS7" s="417" t="s">
        <v>1712</v>
      </c>
      <c r="BT7" s="417" t="s">
        <v>1713</v>
      </c>
      <c r="BU7" s="417" t="s">
        <v>2015</v>
      </c>
      <c r="BV7" s="417" t="s">
        <v>2016</v>
      </c>
      <c r="BW7" s="417" t="s">
        <v>2017</v>
      </c>
      <c r="BX7" s="417" t="s">
        <v>2018</v>
      </c>
      <c r="BY7" s="417" t="s">
        <v>2019</v>
      </c>
      <c r="BZ7" s="417" t="s">
        <v>2020</v>
      </c>
      <c r="CA7" s="417" t="s">
        <v>2323</v>
      </c>
      <c r="CB7" s="417" t="s">
        <v>2324</v>
      </c>
      <c r="CC7" s="417" t="s">
        <v>2446</v>
      </c>
      <c r="CD7" s="417" t="s">
        <v>2449</v>
      </c>
      <c r="CE7" s="417" t="s">
        <v>2451</v>
      </c>
      <c r="CF7" s="417" t="s">
        <v>2453</v>
      </c>
      <c r="CG7" s="417" t="s">
        <v>2455</v>
      </c>
      <c r="CH7" s="1423" t="s">
        <v>2274</v>
      </c>
      <c r="CJ7" s="1422" t="s">
        <v>2275</v>
      </c>
    </row>
    <row r="8" spans="1:89" ht="21.75" customHeight="1" x14ac:dyDescent="0.25">
      <c r="A8" s="253" t="s">
        <v>188</v>
      </c>
      <c r="B8" s="254" t="s">
        <v>329</v>
      </c>
      <c r="C8" s="255" t="s">
        <v>199</v>
      </c>
      <c r="D8" s="274"/>
      <c r="E8" s="274"/>
      <c r="F8" s="274"/>
      <c r="G8" s="274"/>
      <c r="H8" s="274"/>
      <c r="I8" s="274"/>
      <c r="J8" s="274"/>
      <c r="K8" s="274"/>
      <c r="L8" s="274"/>
      <c r="M8" s="274"/>
      <c r="N8" s="274"/>
      <c r="O8" s="274"/>
      <c r="P8" s="274"/>
      <c r="Q8" s="274"/>
      <c r="R8" s="306"/>
      <c r="S8" s="306"/>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86"/>
      <c r="BQ8" s="286"/>
      <c r="BR8" s="286"/>
      <c r="BS8" s="286"/>
      <c r="BT8" s="286"/>
      <c r="BU8" s="286"/>
      <c r="BV8" s="286"/>
      <c r="BW8" s="286"/>
      <c r="BX8" s="286">
        <f>+'1.a sz. Önkormányzat  '!ID8+'1.b sz. Önkormányzat  '!CH8</f>
        <v>203454815</v>
      </c>
      <c r="BY8" s="286">
        <f>+'1.a sz. Önkormányzat  '!IE8+'1.b sz. Önkormányzat  '!CI8</f>
        <v>234953987</v>
      </c>
      <c r="BZ8" s="286">
        <f>+'1.a sz. Önkormányzat  '!IF8+'1.b sz. Önkormányzat  '!CJ8</f>
        <v>83261863</v>
      </c>
      <c r="CA8" s="286">
        <f>+'1.a sz. Önkormányzat  '!IG8+'1.b sz. Önkormányzat  '!CK8</f>
        <v>90811084</v>
      </c>
      <c r="CB8" s="286">
        <f>SUMIFS(D8:BT8,$D$4:$BT$4,"államigazgatási")</f>
        <v>0</v>
      </c>
      <c r="CC8" s="286">
        <v>0</v>
      </c>
      <c r="CD8" s="286">
        <f>+BX8+BZ8</f>
        <v>286716678</v>
      </c>
      <c r="CE8" s="286">
        <f>+BY8+CA8</f>
        <v>325765071</v>
      </c>
      <c r="CF8" s="286">
        <f>+'1.a sz. Önkormányzat  '!HD8+'1.a sz. Önkormányzat  '!HX8</f>
        <v>0</v>
      </c>
      <c r="CG8" s="286">
        <f>+'1.a sz. Önkormányzat  '!HE8+'1.a sz. Önkormányzat  '!HY8</f>
        <v>1739280</v>
      </c>
      <c r="CH8" s="257">
        <f>+D8+F8+H8+J8+L8+N8+P8+R8+T8+V8+X8+Z8+AZ8+BH8+BP8+BR8+BT8</f>
        <v>0</v>
      </c>
      <c r="CI8" s="257">
        <f>+E8+G8+I8+K8+M8+O8+Q8+S8+U8+W8+Y8+AA8+BA8+BI8+BQ8+BS8+BU8</f>
        <v>0</v>
      </c>
      <c r="CJ8" s="258">
        <f>+AB8+AD8+AF8+AH8+AJ8+AL8+AN8+AP8+AR8+AT8+AV8+AX8+BB8+BD8+BF8+BJ8+BL8+BN8</f>
        <v>0</v>
      </c>
      <c r="CK8" s="258">
        <f>+AC8+AE8+AG8+AI8+AK8+AM8+AO8+AQ8+AS8+AU8+AW8+AY8+BC8+BE8+BG8+BK8+BM8+BO8+BW8</f>
        <v>0</v>
      </c>
    </row>
    <row r="9" spans="1:89" s="260" customFormat="1" ht="21.75" customHeight="1" x14ac:dyDescent="0.25">
      <c r="A9" s="253" t="s">
        <v>189</v>
      </c>
      <c r="B9" s="259" t="s">
        <v>200</v>
      </c>
      <c r="C9" s="255" t="s">
        <v>201</v>
      </c>
      <c r="D9" s="274"/>
      <c r="E9" s="274"/>
      <c r="F9" s="274"/>
      <c r="G9" s="274"/>
      <c r="H9" s="274"/>
      <c r="I9" s="274"/>
      <c r="J9" s="274"/>
      <c r="K9" s="274"/>
      <c r="L9" s="274"/>
      <c r="M9" s="274"/>
      <c r="N9" s="274"/>
      <c r="O9" s="274"/>
      <c r="P9" s="274"/>
      <c r="Q9" s="274"/>
      <c r="R9" s="306"/>
      <c r="S9" s="306"/>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274"/>
      <c r="BN9" s="274"/>
      <c r="BO9" s="274"/>
      <c r="BP9" s="285"/>
      <c r="BQ9" s="285"/>
      <c r="BR9" s="285"/>
      <c r="BS9" s="285"/>
      <c r="BT9" s="285"/>
      <c r="BU9" s="285"/>
      <c r="BV9" s="285"/>
      <c r="BW9" s="285"/>
      <c r="BX9" s="286">
        <f>+'1.a sz. Önkormányzat  '!ID9+'1.b sz. Önkormányzat  '!CH9</f>
        <v>29108903</v>
      </c>
      <c r="BY9" s="286">
        <f>+'1.a sz. Önkormányzat  '!IE9+'1.b sz. Önkormányzat  '!CI9</f>
        <v>30020493</v>
      </c>
      <c r="BZ9" s="286">
        <f>+'1.a sz. Önkormányzat  '!IF9+'1.b sz. Önkormányzat  '!CJ9</f>
        <v>10602782</v>
      </c>
      <c r="CA9" s="286">
        <f>+'1.a sz. Önkormányzat  '!IG9+'1.b sz. Önkormányzat  '!CK9</f>
        <v>14554237</v>
      </c>
      <c r="CB9" s="286">
        <f t="shared" ref="CB9:CB50" si="0">SUMIFS(D9:BT9,$D$4:$BT$4,"államigazgatási")</f>
        <v>0</v>
      </c>
      <c r="CC9" s="286">
        <v>0</v>
      </c>
      <c r="CD9" s="286">
        <f>+BX9+BZ9</f>
        <v>39711685</v>
      </c>
      <c r="CE9" s="286">
        <f>+BY9+CA9</f>
        <v>44574730</v>
      </c>
      <c r="CF9" s="286">
        <f>+'1.a sz. Önkormányzat  '!HD9+'1.a sz. Önkormányzat  '!HX9</f>
        <v>0</v>
      </c>
      <c r="CG9" s="286">
        <f>+'1.a sz. Önkormányzat  '!HE9+'1.a sz. Önkormányzat  '!HY9</f>
        <v>203496</v>
      </c>
      <c r="CH9" s="257">
        <f t="shared" ref="CH9:CH50" si="1">+D9+F9+H9+J9+L9+N9+P9+R9+T9+V9+X9+Z9+AZ9+BH9+BP9+BR9+BT9</f>
        <v>0</v>
      </c>
      <c r="CI9" s="257">
        <f t="shared" ref="CI9:CI50" si="2">+E9+G9+I9+K9+M9+O9+Q9+S9+U9+W9+Y9+AA9+BA9+BI9+BQ9+BS9+BU9</f>
        <v>0</v>
      </c>
      <c r="CJ9" s="258">
        <f t="shared" ref="CJ9:CJ50" si="3">+AB9+AD9+AF9+AH9+AJ9+AL9+AN9+AP9+AR9+AT9+AV9+AX9+BB9+BD9+BF9+BJ9+BL9+BN9</f>
        <v>0</v>
      </c>
      <c r="CK9" s="258">
        <f t="shared" ref="CK9:CK50" si="4">+AC9+AE9+AG9+AI9+AK9+AM9+AO9+AQ9+AS9+AU9+AW9+AY9+BC9+BE9+BG9+BK9+BM9+BO9+BW9</f>
        <v>0</v>
      </c>
    </row>
    <row r="10" spans="1:89" ht="21.75" customHeight="1" x14ac:dyDescent="0.25">
      <c r="A10" s="253" t="s">
        <v>190</v>
      </c>
      <c r="B10" s="259" t="s">
        <v>330</v>
      </c>
      <c r="C10" s="255" t="s">
        <v>202</v>
      </c>
      <c r="D10" s="306"/>
      <c r="E10" s="306"/>
      <c r="F10" s="306"/>
      <c r="G10" s="306"/>
      <c r="H10" s="306"/>
      <c r="I10" s="306"/>
      <c r="J10" s="306"/>
      <c r="K10" s="306"/>
      <c r="L10" s="306"/>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6"/>
      <c r="AL10" s="306"/>
      <c r="AM10" s="306"/>
      <c r="AN10" s="306"/>
      <c r="AO10" s="306"/>
      <c r="AP10" s="306"/>
      <c r="AQ10" s="306"/>
      <c r="AR10" s="306"/>
      <c r="AS10" s="306"/>
      <c r="AT10" s="306"/>
      <c r="AU10" s="306"/>
      <c r="AV10" s="306"/>
      <c r="AW10" s="306"/>
      <c r="AX10" s="306"/>
      <c r="AY10" s="306"/>
      <c r="AZ10" s="274">
        <f>(1500000+4740000)+31500+6360+1717+263785+71226</f>
        <v>6614588</v>
      </c>
      <c r="BA10" s="274">
        <f>+AZ10+500000+135000+4330709+1169291+393701+106299</f>
        <v>13249588</v>
      </c>
      <c r="BB10" s="306"/>
      <c r="BC10" s="306"/>
      <c r="BD10" s="306"/>
      <c r="BE10" s="306"/>
      <c r="BF10" s="306">
        <f>+(17912080)+1175333+317340</f>
        <v>19404753</v>
      </c>
      <c r="BG10" s="306">
        <f>+BF10</f>
        <v>19404753</v>
      </c>
      <c r="BH10" s="306">
        <f>+(16700000)+1000000</f>
        <v>17700000</v>
      </c>
      <c r="BI10" s="306">
        <f>+BH10</f>
        <v>17700000</v>
      </c>
      <c r="BJ10" s="274"/>
      <c r="BK10" s="274">
        <v>1150000</v>
      </c>
      <c r="BL10" s="274"/>
      <c r="BM10" s="274"/>
      <c r="BN10" s="306">
        <v>80000000</v>
      </c>
      <c r="BO10" s="306">
        <f>+BN10</f>
        <v>80000000</v>
      </c>
      <c r="BP10" s="256"/>
      <c r="BQ10" s="256"/>
      <c r="BR10" s="256"/>
      <c r="BS10" s="256"/>
      <c r="BT10" s="256"/>
      <c r="BU10" s="256"/>
      <c r="BV10" s="256"/>
      <c r="BW10" s="256">
        <f>1574803+425197+393701+106299</f>
        <v>2500000</v>
      </c>
      <c r="BX10" s="286">
        <f>+'1.a sz. Önkormányzat  '!ID10+'1.b sz. Önkormányzat  '!CH10</f>
        <v>1364552311</v>
      </c>
      <c r="BY10" s="286">
        <f>+'1.a sz. Önkormányzat  '!IE10+'1.b sz. Önkormányzat  '!CI10</f>
        <v>1998559111</v>
      </c>
      <c r="BZ10" s="286">
        <f>+'1.a sz. Önkormányzat  '!IF10+'1.b sz. Önkormányzat  '!CJ10</f>
        <v>376028615</v>
      </c>
      <c r="CA10" s="286">
        <f>+'1.a sz. Önkormányzat  '!IG10+'1.b sz. Önkormányzat  '!CK10</f>
        <v>525159973</v>
      </c>
      <c r="CB10" s="286">
        <f t="shared" si="0"/>
        <v>0</v>
      </c>
      <c r="CC10" s="286">
        <v>0</v>
      </c>
      <c r="CD10" s="286">
        <f t="shared" ref="CD10:CD49" si="5">+BX10+BZ10</f>
        <v>1740580926</v>
      </c>
      <c r="CE10" s="286">
        <f t="shared" ref="CE10:CE49" si="6">+BY10+CA10</f>
        <v>2523719084</v>
      </c>
      <c r="CF10" s="286">
        <f>+'1.a sz. Önkormányzat  '!HD10+'1.a sz. Önkormányzat  '!HX10</f>
        <v>0</v>
      </c>
      <c r="CG10" s="286">
        <f>+'1.a sz. Önkormányzat  '!HE10+'1.a sz. Önkormányzat  '!HY10</f>
        <v>48755700</v>
      </c>
      <c r="CH10" s="257">
        <f>+D10+F10+H10+J10+L10+N10+P10+R10+T10+V10+X10+Z10+AZ10+BH10+BP10+BR10+BT10</f>
        <v>24314588</v>
      </c>
      <c r="CI10" s="257">
        <f t="shared" si="2"/>
        <v>30949588</v>
      </c>
      <c r="CJ10" s="258">
        <f>+AB10+AD10+AF10+AH10+AJ10+AL10+AN10+AP10+AR10+AT10+AV10+AX10+BB10+BD10+BF10+BJ10+BL10+BN10</f>
        <v>99404753</v>
      </c>
      <c r="CK10" s="258">
        <f>+AC10+AE10+AG10+AI10+AK10+AM10+AO10+AQ10+AS10+AU10+AW10+AY10+BC10+BE10+BG10+BK10+BM10+BO10+BW10</f>
        <v>103054753</v>
      </c>
    </row>
    <row r="11" spans="1:89" ht="21.75" customHeight="1" x14ac:dyDescent="0.25">
      <c r="A11" s="253" t="s">
        <v>191</v>
      </c>
      <c r="B11" s="262" t="s">
        <v>331</v>
      </c>
      <c r="C11" s="255" t="s">
        <v>203</v>
      </c>
      <c r="D11" s="274">
        <f>+'[1]9.sz. Szociális'!E8</f>
        <v>18000000</v>
      </c>
      <c r="E11" s="274">
        <f>+D11-700000-200000</f>
        <v>17100000</v>
      </c>
      <c r="F11" s="274">
        <f>+'[1]9.sz. Szociális'!E11</f>
        <v>1500000</v>
      </c>
      <c r="G11" s="274">
        <f>+F11</f>
        <v>1500000</v>
      </c>
      <c r="H11" s="274">
        <f>+'[1]9.sz. Szociális'!E12</f>
        <v>2300000</v>
      </c>
      <c r="I11" s="274">
        <f>+H11</f>
        <v>2300000</v>
      </c>
      <c r="J11" s="274">
        <f>+'[1]9.sz. Szociális'!E13</f>
        <v>2000000</v>
      </c>
      <c r="K11" s="274">
        <f>+J11</f>
        <v>2000000</v>
      </c>
      <c r="L11" s="274">
        <f>+'[1]9.sz. Szociális'!E14</f>
        <v>3000000</v>
      </c>
      <c r="M11" s="274">
        <f>+L11</f>
        <v>3000000</v>
      </c>
      <c r="N11" s="274">
        <f>+'[1]9.sz. Szociális'!E9</f>
        <v>4000000</v>
      </c>
      <c r="O11" s="274">
        <f>+N11+2000000</f>
        <v>6000000</v>
      </c>
      <c r="P11" s="274">
        <f>+'[1]9.sz. Szociális'!E10</f>
        <v>500000</v>
      </c>
      <c r="Q11" s="274">
        <f>+P11</f>
        <v>500000</v>
      </c>
      <c r="R11" s="306"/>
      <c r="S11" s="306"/>
      <c r="T11" s="274">
        <f>+'[1]9.sz. Szociális'!E15</f>
        <v>500000</v>
      </c>
      <c r="U11" s="274">
        <f>+T11</f>
        <v>500000</v>
      </c>
      <c r="V11" s="274">
        <f>+'[1]9.sz. Szociális'!E16</f>
        <v>200000</v>
      </c>
      <c r="W11" s="274">
        <f>+V11</f>
        <v>200000</v>
      </c>
      <c r="X11" s="274">
        <f>+'[1]9.sz. Szociális'!E18</f>
        <v>7000000</v>
      </c>
      <c r="Y11" s="274">
        <f>+X11-2000000</f>
        <v>5000000</v>
      </c>
      <c r="Z11" s="274">
        <f>+'[1]9.sz. Szociális'!E19</f>
        <v>7000000</v>
      </c>
      <c r="AA11" s="274">
        <f>+Z11+700000+200000</f>
        <v>7900000</v>
      </c>
      <c r="AB11" s="274"/>
      <c r="AC11" s="274"/>
      <c r="AD11" s="274"/>
      <c r="AE11" s="274"/>
      <c r="AF11" s="274"/>
      <c r="AG11" s="274"/>
      <c r="AH11" s="274"/>
      <c r="AI11" s="274"/>
      <c r="AJ11" s="274"/>
      <c r="AK11" s="274"/>
      <c r="AL11" s="274"/>
      <c r="AM11" s="274"/>
      <c r="AN11" s="274"/>
      <c r="AO11" s="274"/>
      <c r="AP11" s="274"/>
      <c r="AQ11" s="274"/>
      <c r="AR11" s="274"/>
      <c r="AS11" s="274"/>
      <c r="AT11" s="274"/>
      <c r="AU11" s="274"/>
      <c r="AV11" s="274"/>
      <c r="AW11" s="274"/>
      <c r="AX11" s="274"/>
      <c r="AY11" s="274"/>
      <c r="AZ11" s="274"/>
      <c r="BA11" s="274"/>
      <c r="BB11" s="274"/>
      <c r="BC11" s="274"/>
      <c r="BD11" s="274"/>
      <c r="BE11" s="274"/>
      <c r="BF11" s="274"/>
      <c r="BG11" s="274"/>
      <c r="BH11" s="274"/>
      <c r="BI11" s="274"/>
      <c r="BJ11" s="274"/>
      <c r="BK11" s="274"/>
      <c r="BL11" s="274"/>
      <c r="BM11" s="274"/>
      <c r="BN11" s="274"/>
      <c r="BO11" s="274"/>
      <c r="BP11" s="286"/>
      <c r="BQ11" s="286"/>
      <c r="BR11" s="286"/>
      <c r="BS11" s="286"/>
      <c r="BT11" s="286"/>
      <c r="BU11" s="286"/>
      <c r="BV11" s="286"/>
      <c r="BW11" s="286"/>
      <c r="BX11" s="286">
        <f>+'1.a sz. Önkormányzat  '!ID11+'1.b sz. Önkormányzat  '!CH11</f>
        <v>46000000</v>
      </c>
      <c r="BY11" s="286">
        <f>+'1.a sz. Önkormányzat  '!IE11+'1.b sz. Önkormányzat  '!CI11</f>
        <v>46000000</v>
      </c>
      <c r="BZ11" s="286">
        <f>+'1.a sz. Önkormányzat  '!IF11+'1.b sz. Önkormányzat  '!CJ11</f>
        <v>0</v>
      </c>
      <c r="CA11" s="286">
        <f>+'1.a sz. Önkormányzat  '!IG11+'1.b sz. Önkormányzat  '!CK11</f>
        <v>0</v>
      </c>
      <c r="CB11" s="286">
        <f t="shared" si="0"/>
        <v>0</v>
      </c>
      <c r="CC11" s="286">
        <v>0</v>
      </c>
      <c r="CD11" s="286">
        <f t="shared" si="5"/>
        <v>46000000</v>
      </c>
      <c r="CE11" s="286">
        <f t="shared" si="6"/>
        <v>46000000</v>
      </c>
      <c r="CF11" s="286">
        <f>+'1.a sz. Önkormányzat  '!HD11+'1.a sz. Önkormányzat  '!HX11</f>
        <v>0</v>
      </c>
      <c r="CG11" s="286">
        <f>+'1.a sz. Önkormányzat  '!HE11+'1.a sz. Önkormányzat  '!HY11</f>
        <v>0</v>
      </c>
      <c r="CH11" s="257">
        <f t="shared" si="1"/>
        <v>46000000</v>
      </c>
      <c r="CI11" s="257">
        <f t="shared" si="2"/>
        <v>46000000</v>
      </c>
      <c r="CJ11" s="258">
        <f t="shared" si="3"/>
        <v>0</v>
      </c>
      <c r="CK11" s="258">
        <f t="shared" si="4"/>
        <v>0</v>
      </c>
    </row>
    <row r="12" spans="1:89" ht="21.75" customHeight="1" x14ac:dyDescent="0.25">
      <c r="A12" s="253" t="s">
        <v>192</v>
      </c>
      <c r="B12" s="262" t="s">
        <v>234</v>
      </c>
      <c r="C12" s="255" t="s">
        <v>204</v>
      </c>
      <c r="D12" s="274">
        <f t="shared" ref="D12:BC12" si="7">+D13+D14+D15</f>
        <v>0</v>
      </c>
      <c r="E12" s="274">
        <f t="shared" si="7"/>
        <v>0</v>
      </c>
      <c r="F12" s="274">
        <f t="shared" si="7"/>
        <v>0</v>
      </c>
      <c r="G12" s="274">
        <f t="shared" si="7"/>
        <v>0</v>
      </c>
      <c r="H12" s="274">
        <f t="shared" si="7"/>
        <v>0</v>
      </c>
      <c r="I12" s="274">
        <f t="shared" si="7"/>
        <v>0</v>
      </c>
      <c r="J12" s="274">
        <f t="shared" si="7"/>
        <v>0</v>
      </c>
      <c r="K12" s="274">
        <f t="shared" si="7"/>
        <v>0</v>
      </c>
      <c r="L12" s="274">
        <f t="shared" si="7"/>
        <v>0</v>
      </c>
      <c r="M12" s="274">
        <f t="shared" si="7"/>
        <v>0</v>
      </c>
      <c r="N12" s="274">
        <f t="shared" si="7"/>
        <v>0</v>
      </c>
      <c r="O12" s="274">
        <f t="shared" si="7"/>
        <v>0</v>
      </c>
      <c r="P12" s="274">
        <f t="shared" si="7"/>
        <v>0</v>
      </c>
      <c r="Q12" s="274">
        <f t="shared" si="7"/>
        <v>0</v>
      </c>
      <c r="R12" s="274">
        <f t="shared" si="7"/>
        <v>0</v>
      </c>
      <c r="S12" s="274">
        <f t="shared" si="7"/>
        <v>0</v>
      </c>
      <c r="T12" s="274">
        <f t="shared" si="7"/>
        <v>0</v>
      </c>
      <c r="U12" s="274">
        <f t="shared" si="7"/>
        <v>0</v>
      </c>
      <c r="V12" s="274">
        <f t="shared" si="7"/>
        <v>0</v>
      </c>
      <c r="W12" s="274">
        <f t="shared" si="7"/>
        <v>0</v>
      </c>
      <c r="X12" s="274">
        <f t="shared" si="7"/>
        <v>0</v>
      </c>
      <c r="Y12" s="274">
        <f t="shared" si="7"/>
        <v>0</v>
      </c>
      <c r="Z12" s="274">
        <f t="shared" si="7"/>
        <v>0</v>
      </c>
      <c r="AA12" s="274">
        <f t="shared" si="7"/>
        <v>0</v>
      </c>
      <c r="AB12" s="274">
        <f t="shared" si="7"/>
        <v>0</v>
      </c>
      <c r="AC12" s="274">
        <f t="shared" si="7"/>
        <v>0</v>
      </c>
      <c r="AD12" s="274">
        <f t="shared" si="7"/>
        <v>0</v>
      </c>
      <c r="AE12" s="274">
        <f t="shared" si="7"/>
        <v>0</v>
      </c>
      <c r="AF12" s="274">
        <f t="shared" si="7"/>
        <v>0</v>
      </c>
      <c r="AG12" s="274">
        <f t="shared" si="7"/>
        <v>150000</v>
      </c>
      <c r="AH12" s="274">
        <f t="shared" si="7"/>
        <v>12000000</v>
      </c>
      <c r="AI12" s="274">
        <f t="shared" si="7"/>
        <v>12000000</v>
      </c>
      <c r="AJ12" s="274">
        <f t="shared" si="7"/>
        <v>88000000</v>
      </c>
      <c r="AK12" s="274">
        <f t="shared" si="7"/>
        <v>108000000</v>
      </c>
      <c r="AL12" s="274">
        <f t="shared" si="7"/>
        <v>3000000</v>
      </c>
      <c r="AM12" s="274">
        <f t="shared" si="7"/>
        <v>5885000</v>
      </c>
      <c r="AN12" s="274">
        <f t="shared" si="7"/>
        <v>0</v>
      </c>
      <c r="AO12" s="274">
        <f t="shared" si="7"/>
        <v>5645505</v>
      </c>
      <c r="AP12" s="274">
        <f t="shared" si="7"/>
        <v>0</v>
      </c>
      <c r="AQ12" s="274">
        <f t="shared" si="7"/>
        <v>0</v>
      </c>
      <c r="AR12" s="274">
        <f t="shared" si="7"/>
        <v>3940000</v>
      </c>
      <c r="AS12" s="274">
        <f t="shared" si="7"/>
        <v>16206000</v>
      </c>
      <c r="AT12" s="274">
        <f t="shared" si="7"/>
        <v>0</v>
      </c>
      <c r="AU12" s="274">
        <f t="shared" si="7"/>
        <v>2070000</v>
      </c>
      <c r="AV12" s="274">
        <f t="shared" si="7"/>
        <v>3080000</v>
      </c>
      <c r="AW12" s="274">
        <f t="shared" si="7"/>
        <v>4100000</v>
      </c>
      <c r="AX12" s="274">
        <f t="shared" si="7"/>
        <v>0</v>
      </c>
      <c r="AY12" s="274">
        <f t="shared" si="7"/>
        <v>0</v>
      </c>
      <c r="AZ12" s="274">
        <f t="shared" si="7"/>
        <v>159260600</v>
      </c>
      <c r="BA12" s="274">
        <f t="shared" si="7"/>
        <v>159260600</v>
      </c>
      <c r="BB12" s="274">
        <f t="shared" si="7"/>
        <v>4000000</v>
      </c>
      <c r="BC12" s="274">
        <f t="shared" si="7"/>
        <v>4000000</v>
      </c>
      <c r="BD12" s="274">
        <f>+BD13+BD14+BD15</f>
        <v>26600000</v>
      </c>
      <c r="BE12" s="274">
        <f>+BE13+BE14+BE15</f>
        <v>26600000</v>
      </c>
      <c r="BF12" s="274">
        <f>+BF13+BF14+BF15</f>
        <v>33616800</v>
      </c>
      <c r="BG12" s="274">
        <f>+BG13+BG14+BG15</f>
        <v>33616800</v>
      </c>
      <c r="BH12" s="274">
        <f t="shared" ref="BH12:BW12" si="8">+BH13+BH14+BH15</f>
        <v>14856000</v>
      </c>
      <c r="BI12" s="274">
        <f t="shared" si="8"/>
        <v>14856000</v>
      </c>
      <c r="BJ12" s="274">
        <f t="shared" si="8"/>
        <v>0</v>
      </c>
      <c r="BK12" s="274">
        <f t="shared" si="8"/>
        <v>0</v>
      </c>
      <c r="BL12" s="274">
        <f t="shared" si="8"/>
        <v>7850000</v>
      </c>
      <c r="BM12" s="274">
        <f t="shared" si="8"/>
        <v>12490000</v>
      </c>
      <c r="BN12" s="274">
        <f t="shared" si="8"/>
        <v>0</v>
      </c>
      <c r="BO12" s="274">
        <f t="shared" si="8"/>
        <v>0</v>
      </c>
      <c r="BP12" s="274">
        <f t="shared" si="8"/>
        <v>0</v>
      </c>
      <c r="BQ12" s="274">
        <f t="shared" si="8"/>
        <v>0</v>
      </c>
      <c r="BR12" s="274">
        <f t="shared" si="8"/>
        <v>0</v>
      </c>
      <c r="BS12" s="274">
        <f t="shared" si="8"/>
        <v>0</v>
      </c>
      <c r="BT12" s="274">
        <f t="shared" si="8"/>
        <v>0</v>
      </c>
      <c r="BU12" s="274">
        <f t="shared" si="8"/>
        <v>0</v>
      </c>
      <c r="BV12" s="274">
        <f t="shared" si="8"/>
        <v>0</v>
      </c>
      <c r="BW12" s="274">
        <f t="shared" si="8"/>
        <v>0</v>
      </c>
      <c r="BX12" s="286">
        <f>+'1.a sz. Önkormányzat  '!ID12+'1.b sz. Önkormányzat  '!CH12</f>
        <v>2456759698</v>
      </c>
      <c r="BY12" s="286">
        <f>+'1.a sz. Önkormányzat  '!IE12+'1.b sz. Önkormányzat  '!CI12</f>
        <v>3895726871</v>
      </c>
      <c r="BZ12" s="286">
        <f>+'1.a sz. Önkormányzat  '!IF12+'1.b sz. Önkormányzat  '!CJ12</f>
        <v>182086800</v>
      </c>
      <c r="CA12" s="286">
        <f>+'1.a sz. Önkormányzat  '!IG12+'1.b sz. Önkormányzat  '!CK12</f>
        <v>230763305</v>
      </c>
      <c r="CB12" s="286">
        <f t="shared" si="0"/>
        <v>0</v>
      </c>
      <c r="CC12" s="286"/>
      <c r="CD12" s="286">
        <f t="shared" si="5"/>
        <v>2638846498</v>
      </c>
      <c r="CE12" s="286">
        <f>+BY12+CA12</f>
        <v>4126490176</v>
      </c>
      <c r="CF12" s="286">
        <f>+CF14</f>
        <v>34976162</v>
      </c>
      <c r="CG12" s="286">
        <f>+CG14</f>
        <v>29016236</v>
      </c>
      <c r="CH12" s="257">
        <f>+D12+F12+H12+J12+L12+N12+P12+R12+T12+V12+X12+Z12+AZ12+BH12+BP12+BR12+BT12</f>
        <v>174116600</v>
      </c>
      <c r="CI12" s="257">
        <f>+E12+G12+I12+K12+M12+O12+Q12+S12+U12+W12+Y12+AA12+BA12+BI12+BQ12+BS12+BU12</f>
        <v>174116600</v>
      </c>
      <c r="CJ12" s="258">
        <f>+AB12+AD12+AF12+AH12+AJ12+AL12+AN12+AP12+AR12+AT12+AV12+AX12+BB12+BD12+BF12+BJ12+BL12+BN12</f>
        <v>182086800</v>
      </c>
      <c r="CK12" s="258">
        <f t="shared" si="4"/>
        <v>230763305</v>
      </c>
    </row>
    <row r="13" spans="1:89" ht="21.75" customHeight="1" x14ac:dyDescent="0.25">
      <c r="A13" s="253" t="s">
        <v>193</v>
      </c>
      <c r="B13" s="263" t="s">
        <v>562</v>
      </c>
      <c r="C13" s="255"/>
      <c r="D13" s="274"/>
      <c r="E13" s="274"/>
      <c r="F13" s="274"/>
      <c r="G13" s="274"/>
      <c r="H13" s="274"/>
      <c r="I13" s="274"/>
      <c r="J13" s="274"/>
      <c r="K13" s="274"/>
      <c r="L13" s="274"/>
      <c r="M13" s="274"/>
      <c r="N13" s="274"/>
      <c r="O13" s="274"/>
      <c r="P13" s="274"/>
      <c r="Q13" s="274"/>
      <c r="R13" s="306"/>
      <c r="S13" s="306"/>
      <c r="T13" s="274"/>
      <c r="U13" s="274"/>
      <c r="V13" s="274"/>
      <c r="W13" s="274"/>
      <c r="X13" s="274"/>
      <c r="Y13" s="274"/>
      <c r="Z13" s="274"/>
      <c r="AA13" s="274"/>
      <c r="AB13" s="274"/>
      <c r="AC13" s="274"/>
      <c r="AD13" s="274"/>
      <c r="AE13" s="274"/>
      <c r="AF13" s="274"/>
      <c r="AG13" s="274">
        <v>150000</v>
      </c>
      <c r="AH13" s="274">
        <f>+'[1]5.sz.Műk.c.pe.átadás'!G33</f>
        <v>12000000</v>
      </c>
      <c r="AI13" s="274">
        <f>+AH13</f>
        <v>12000000</v>
      </c>
      <c r="AJ13" s="274">
        <f>+'[1]5.sz.Műk.c.pe.átadás'!G35</f>
        <v>88000000</v>
      </c>
      <c r="AK13" s="274">
        <f>+AJ13+20000000</f>
        <v>108000000</v>
      </c>
      <c r="AL13" s="274">
        <f>+'[1]5.sz.Műk.c.pe.átadás'!G10</f>
        <v>3000000</v>
      </c>
      <c r="AM13" s="274">
        <f>+AL13+500000+1435000+350000+500000+100000-150000+150000</f>
        <v>5885000</v>
      </c>
      <c r="AN13" s="274"/>
      <c r="AO13" s="274">
        <f>1000000+2000000+150000+400000+100000+1500000+300000+200000+250000-254495</f>
        <v>5645505</v>
      </c>
      <c r="AP13" s="274"/>
      <c r="AQ13" s="274"/>
      <c r="AR13" s="274">
        <f>+'[1]5.sz.Műk.c.pe.átadás'!G26</f>
        <v>3940000</v>
      </c>
      <c r="AS13" s="274">
        <f>+AR13+150000+9495000+150000+2000000+100000+225000+250000+150000-254000</f>
        <v>16206000</v>
      </c>
      <c r="AT13" s="274"/>
      <c r="AU13" s="274">
        <v>2070000</v>
      </c>
      <c r="AV13" s="274">
        <f>+'[1]5.sz.Műk.c.pe.átadás'!G16</f>
        <v>3080000</v>
      </c>
      <c r="AW13" s="274">
        <f>+AV13+1020000</f>
        <v>4100000</v>
      </c>
      <c r="AX13" s="274"/>
      <c r="AY13" s="274"/>
      <c r="AZ13" s="274">
        <f>+'[1]5.sz.Műk.c.pe.átadás'!G18</f>
        <v>159260600</v>
      </c>
      <c r="BA13" s="274">
        <f>+AZ13</f>
        <v>159260600</v>
      </c>
      <c r="BB13" s="274">
        <f>+'[1]5.sz.Műk.c.pe.átadás'!E23</f>
        <v>4000000</v>
      </c>
      <c r="BC13" s="274">
        <f>+BB13</f>
        <v>4000000</v>
      </c>
      <c r="BD13" s="274">
        <f>+'[1]5.sz.Műk.c.pe.átadás'!E43+'[1]5.sz.Műk.c.pe.átadás'!E45+'[1]5.sz.Műk.c.pe.átadás'!E44</f>
        <v>26600000</v>
      </c>
      <c r="BE13" s="274">
        <f>+BD13</f>
        <v>26600000</v>
      </c>
      <c r="BF13" s="274">
        <f>+'[1]5.sz.Műk.c.pe.átadás'!G8</f>
        <v>33616800</v>
      </c>
      <c r="BG13" s="274">
        <f>+BF13</f>
        <v>33616800</v>
      </c>
      <c r="BH13" s="274">
        <f>+'[1]5.sz.Műk.c.pe.átadás'!G7</f>
        <v>14856000</v>
      </c>
      <c r="BI13" s="274">
        <f>+BH13</f>
        <v>14856000</v>
      </c>
      <c r="BJ13" s="274"/>
      <c r="BK13" s="274"/>
      <c r="BL13" s="274">
        <f>+'[1]5.sz.Műk.c.pe.átadás'!E24+'[1]5.sz.Műk.c.pe.átadás'!E25</f>
        <v>7850000</v>
      </c>
      <c r="BM13" s="274">
        <f>+BL13+1540000-2200000+5000000+300000</f>
        <v>12490000</v>
      </c>
      <c r="BN13" s="274"/>
      <c r="BO13" s="274"/>
      <c r="BP13" s="286"/>
      <c r="BQ13" s="286"/>
      <c r="BR13" s="286"/>
      <c r="BS13" s="286"/>
      <c r="BT13" s="286"/>
      <c r="BU13" s="286"/>
      <c r="BV13" s="286"/>
      <c r="BW13" s="286"/>
      <c r="BX13" s="286">
        <f>+'1.a sz. Önkormányzat  '!ID13+'1.b sz. Önkormányzat  '!CH13</f>
        <v>174116600</v>
      </c>
      <c r="BY13" s="286">
        <f>+'1.a sz. Önkormányzat  '!IE13+'1.b sz. Önkormányzat  '!CI13</f>
        <v>174116600</v>
      </c>
      <c r="BZ13" s="286">
        <f>+'1.a sz. Önkormányzat  '!IF13+'1.b sz. Önkormányzat  '!CJ13</f>
        <v>182086800</v>
      </c>
      <c r="CA13" s="286">
        <f>+'1.a sz. Önkormányzat  '!IG13+'1.b sz. Önkormányzat  '!CK13</f>
        <v>230763305</v>
      </c>
      <c r="CB13" s="286">
        <f t="shared" si="0"/>
        <v>0</v>
      </c>
      <c r="CC13" s="286"/>
      <c r="CD13" s="286">
        <f>+BX13+BZ13</f>
        <v>356203400</v>
      </c>
      <c r="CE13" s="286">
        <f>+BY13+CA13+CC13</f>
        <v>404879905</v>
      </c>
      <c r="CF13" s="286">
        <f>+'1.a sz. Önkormányzat  '!HD13+'1.a sz. Önkormányzat  '!HX13</f>
        <v>0</v>
      </c>
      <c r="CG13" s="286">
        <f>+'1.a sz. Önkormányzat  '!HE13+'1.a sz. Önkormányzat  '!HY13</f>
        <v>0</v>
      </c>
      <c r="CH13" s="257">
        <f t="shared" si="1"/>
        <v>174116600</v>
      </c>
      <c r="CI13" s="257">
        <f t="shared" si="2"/>
        <v>174116600</v>
      </c>
      <c r="CJ13" s="258">
        <f t="shared" si="3"/>
        <v>182086800</v>
      </c>
      <c r="CK13" s="258">
        <f t="shared" si="4"/>
        <v>230763305</v>
      </c>
    </row>
    <row r="14" spans="1:89" s="265" customFormat="1" ht="21.75" customHeight="1" x14ac:dyDescent="0.25">
      <c r="A14" s="253" t="s">
        <v>194</v>
      </c>
      <c r="B14" s="263" t="s">
        <v>563</v>
      </c>
      <c r="C14" s="264"/>
      <c r="D14" s="284"/>
      <c r="E14" s="284"/>
      <c r="F14" s="284"/>
      <c r="G14" s="284"/>
      <c r="H14" s="284"/>
      <c r="I14" s="284"/>
      <c r="J14" s="284"/>
      <c r="K14" s="284"/>
      <c r="L14" s="284"/>
      <c r="M14" s="284"/>
      <c r="N14" s="284"/>
      <c r="O14" s="284"/>
      <c r="P14" s="284"/>
      <c r="Q14" s="284"/>
      <c r="R14" s="323"/>
      <c r="S14" s="323"/>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4"/>
      <c r="BG14" s="284"/>
      <c r="BH14" s="284"/>
      <c r="BI14" s="284"/>
      <c r="BJ14" s="284"/>
      <c r="BK14" s="284"/>
      <c r="BL14" s="284"/>
      <c r="BM14" s="284"/>
      <c r="BN14" s="284"/>
      <c r="BO14" s="284"/>
      <c r="BP14" s="293"/>
      <c r="BQ14" s="293"/>
      <c r="BR14" s="293"/>
      <c r="BS14" s="293"/>
      <c r="BT14" s="293"/>
      <c r="BU14" s="293"/>
      <c r="BV14" s="293"/>
      <c r="BW14" s="293"/>
      <c r="BX14" s="286">
        <f>+'1.a sz. Önkormányzat  '!ID14+'1.b sz. Önkormányzat  '!CH14</f>
        <v>1023175490</v>
      </c>
      <c r="BY14" s="286">
        <f>+'1.a sz. Önkormányzat  '!IE14+'1.b sz. Önkormányzat  '!CI14</f>
        <v>2462142663</v>
      </c>
      <c r="BZ14" s="286">
        <f>+'1.a sz. Önkormányzat  '!IF14+'1.b sz. Önkormányzat  '!CJ14</f>
        <v>0</v>
      </c>
      <c r="CA14" s="286">
        <f>+'1.a sz. Önkormányzat  '!IG14+'1.b sz. Önkormányzat  '!CK14</f>
        <v>0</v>
      </c>
      <c r="CB14" s="286">
        <f t="shared" si="0"/>
        <v>0</v>
      </c>
      <c r="CC14" s="286">
        <v>0</v>
      </c>
      <c r="CD14" s="286">
        <f t="shared" si="5"/>
        <v>1023175490</v>
      </c>
      <c r="CE14" s="286">
        <f t="shared" si="6"/>
        <v>2462142663</v>
      </c>
      <c r="CF14" s="286">
        <f>+'8.sz.Tartalékok'!C21</f>
        <v>34976162</v>
      </c>
      <c r="CG14" s="286">
        <f>+'8.sz.Tartalékok'!D21</f>
        <v>29016236</v>
      </c>
      <c r="CH14" s="257">
        <f t="shared" si="1"/>
        <v>0</v>
      </c>
      <c r="CI14" s="257">
        <f t="shared" si="2"/>
        <v>0</v>
      </c>
      <c r="CJ14" s="258">
        <f t="shared" si="3"/>
        <v>0</v>
      </c>
      <c r="CK14" s="258">
        <f t="shared" si="4"/>
        <v>0</v>
      </c>
    </row>
    <row r="15" spans="1:89" s="265" customFormat="1" ht="21.75" customHeight="1" x14ac:dyDescent="0.25">
      <c r="A15" s="253" t="s">
        <v>195</v>
      </c>
      <c r="B15" s="263" t="s">
        <v>564</v>
      </c>
      <c r="C15" s="264"/>
      <c r="D15" s="284"/>
      <c r="E15" s="284"/>
      <c r="F15" s="284"/>
      <c r="G15" s="284"/>
      <c r="H15" s="284"/>
      <c r="I15" s="284"/>
      <c r="J15" s="284"/>
      <c r="K15" s="284"/>
      <c r="L15" s="284"/>
      <c r="M15" s="284"/>
      <c r="N15" s="284"/>
      <c r="O15" s="284"/>
      <c r="P15" s="284"/>
      <c r="Q15" s="284"/>
      <c r="R15" s="323"/>
      <c r="S15" s="323"/>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93"/>
      <c r="BQ15" s="293"/>
      <c r="BR15" s="285"/>
      <c r="BS15" s="285"/>
      <c r="BT15" s="285"/>
      <c r="BU15" s="285"/>
      <c r="BV15" s="285"/>
      <c r="BW15" s="285"/>
      <c r="BX15" s="286">
        <f>+'1.a sz. Önkormányzat  '!ID15+'1.b sz. Önkormányzat  '!CH15</f>
        <v>1259467608</v>
      </c>
      <c r="BY15" s="286">
        <f>+'1.a sz. Önkormányzat  '!IE15+'1.b sz. Önkormányzat  '!CI15</f>
        <v>1259467608</v>
      </c>
      <c r="BZ15" s="286">
        <f>+'1.a sz. Önkormányzat  '!IF15+'1.b sz. Önkormányzat  '!CJ15</f>
        <v>0</v>
      </c>
      <c r="CA15" s="286">
        <f>+'1.a sz. Önkormányzat  '!IG15+'1.b sz. Önkormányzat  '!CK15</f>
        <v>0</v>
      </c>
      <c r="CB15" s="286">
        <f t="shared" si="0"/>
        <v>0</v>
      </c>
      <c r="CC15" s="286">
        <v>0</v>
      </c>
      <c r="CD15" s="286">
        <f t="shared" si="5"/>
        <v>1259467608</v>
      </c>
      <c r="CE15" s="286">
        <f t="shared" si="6"/>
        <v>1259467608</v>
      </c>
      <c r="CF15" s="286">
        <f>+'1.a sz. Önkormányzat  '!HD15+'1.a sz. Önkormányzat  '!HX15</f>
        <v>0</v>
      </c>
      <c r="CG15" s="286">
        <f>+'1.a sz. Önkormányzat  '!HE15+'1.a sz. Önkormányzat  '!HY15</f>
        <v>0</v>
      </c>
      <c r="CH15" s="257">
        <f t="shared" si="1"/>
        <v>0</v>
      </c>
      <c r="CI15" s="257">
        <f t="shared" si="2"/>
        <v>0</v>
      </c>
      <c r="CJ15" s="258">
        <f t="shared" si="3"/>
        <v>0</v>
      </c>
      <c r="CK15" s="258">
        <f t="shared" si="4"/>
        <v>0</v>
      </c>
    </row>
    <row r="16" spans="1:89" s="260" customFormat="1" ht="21.75" customHeight="1" x14ac:dyDescent="0.25">
      <c r="A16" s="253" t="s">
        <v>196</v>
      </c>
      <c r="B16" s="266" t="s">
        <v>241</v>
      </c>
      <c r="C16" s="255" t="s">
        <v>205</v>
      </c>
      <c r="D16" s="274"/>
      <c r="E16" s="274"/>
      <c r="F16" s="274"/>
      <c r="G16" s="274"/>
      <c r="H16" s="274"/>
      <c r="I16" s="274"/>
      <c r="J16" s="274"/>
      <c r="K16" s="274"/>
      <c r="L16" s="274"/>
      <c r="M16" s="274"/>
      <c r="N16" s="274"/>
      <c r="O16" s="274"/>
      <c r="P16" s="274"/>
      <c r="Q16" s="274"/>
      <c r="R16" s="306"/>
      <c r="S16" s="306"/>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f>5511811+1488189-5511811-1488189</f>
        <v>0</v>
      </c>
      <c r="AX16" s="274"/>
      <c r="AY16" s="274"/>
      <c r="AZ16" s="274"/>
      <c r="BA16" s="274"/>
      <c r="BB16" s="274"/>
      <c r="BC16" s="274"/>
      <c r="BD16" s="274"/>
      <c r="BE16" s="274"/>
      <c r="BF16" s="274"/>
      <c r="BG16" s="274"/>
      <c r="BH16" s="274"/>
      <c r="BI16" s="274"/>
      <c r="BJ16" s="274"/>
      <c r="BK16" s="274"/>
      <c r="BL16" s="274"/>
      <c r="BM16" s="274"/>
      <c r="BN16" s="274"/>
      <c r="BO16" s="274"/>
      <c r="BP16" s="285"/>
      <c r="BQ16" s="285"/>
      <c r="BR16" s="285"/>
      <c r="BS16" s="285"/>
      <c r="BT16" s="285"/>
      <c r="BU16" s="285"/>
      <c r="BV16" s="285"/>
      <c r="BW16" s="285"/>
      <c r="BX16" s="286">
        <f>+'1.a sz. Önkormányzat  '!ID16+'1.b sz. Önkormányzat  '!CH16</f>
        <v>1274282264</v>
      </c>
      <c r="BY16" s="286">
        <f>+'1.a sz. Önkormányzat  '!IE16+'1.b sz. Önkormányzat  '!CI16</f>
        <v>1825910901</v>
      </c>
      <c r="BZ16" s="286">
        <f>+'1.a sz. Önkormányzat  '!IF16+'1.b sz. Önkormányzat  '!CJ16</f>
        <v>134624350</v>
      </c>
      <c r="CA16" s="286">
        <f>+'1.a sz. Önkormányzat  '!IG16+'1.b sz. Önkormányzat  '!CK16</f>
        <v>462548624</v>
      </c>
      <c r="CB16" s="286">
        <f t="shared" si="0"/>
        <v>0</v>
      </c>
      <c r="CC16" s="286">
        <v>0</v>
      </c>
      <c r="CD16" s="286">
        <f t="shared" si="5"/>
        <v>1408906614</v>
      </c>
      <c r="CE16" s="286">
        <f t="shared" si="6"/>
        <v>2288459525</v>
      </c>
      <c r="CF16" s="286">
        <f>+'1.a sz. Önkormányzat  '!HD16+'1.a sz. Önkormányzat  '!HX16</f>
        <v>50000000</v>
      </c>
      <c r="CG16" s="286">
        <f>+'1.a sz. Önkormányzat  '!HE16+'1.a sz. Önkormányzat  '!HY16</f>
        <v>365921397</v>
      </c>
      <c r="CH16" s="257">
        <f t="shared" si="1"/>
        <v>0</v>
      </c>
      <c r="CI16" s="257">
        <f t="shared" si="2"/>
        <v>0</v>
      </c>
      <c r="CJ16" s="258">
        <f t="shared" si="3"/>
        <v>0</v>
      </c>
      <c r="CK16" s="258">
        <f t="shared" si="4"/>
        <v>0</v>
      </c>
    </row>
    <row r="17" spans="1:89" s="260" customFormat="1" ht="21.75" customHeight="1" x14ac:dyDescent="0.25">
      <c r="A17" s="253" t="s">
        <v>197</v>
      </c>
      <c r="B17" s="262" t="s">
        <v>332</v>
      </c>
      <c r="C17" s="255" t="s">
        <v>206</v>
      </c>
      <c r="D17" s="274"/>
      <c r="E17" s="274"/>
      <c r="F17" s="274"/>
      <c r="G17" s="274"/>
      <c r="H17" s="274"/>
      <c r="I17" s="274"/>
      <c r="J17" s="274"/>
      <c r="K17" s="274"/>
      <c r="L17" s="274"/>
      <c r="M17" s="274"/>
      <c r="N17" s="274"/>
      <c r="O17" s="274"/>
      <c r="P17" s="274"/>
      <c r="Q17" s="274"/>
      <c r="R17" s="306"/>
      <c r="S17" s="306"/>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85"/>
      <c r="BQ17" s="285"/>
      <c r="BR17" s="285"/>
      <c r="BS17" s="285"/>
      <c r="BT17" s="285"/>
      <c r="BU17" s="285"/>
      <c r="BV17" s="285"/>
      <c r="BW17" s="285"/>
      <c r="BX17" s="286">
        <f>+'1.a sz. Önkormányzat  '!ID17+'1.b sz. Önkormányzat  '!CH17</f>
        <v>266068695</v>
      </c>
      <c r="BY17" s="286">
        <f>+'1.a sz. Önkormányzat  '!IE17+'1.b sz. Önkormányzat  '!CI17</f>
        <v>333818954</v>
      </c>
      <c r="BZ17" s="286">
        <f>+'1.a sz. Önkormányzat  '!IF17+'1.b sz. Önkormányzat  '!CJ17</f>
        <v>0</v>
      </c>
      <c r="CA17" s="286">
        <f>+'1.a sz. Önkormányzat  '!IG17+'1.b sz. Önkormányzat  '!CK17</f>
        <v>317500</v>
      </c>
      <c r="CB17" s="286">
        <f t="shared" si="0"/>
        <v>0</v>
      </c>
      <c r="CC17" s="286">
        <v>0</v>
      </c>
      <c r="CD17" s="286">
        <f t="shared" si="5"/>
        <v>266068695</v>
      </c>
      <c r="CE17" s="286">
        <f t="shared" si="6"/>
        <v>334136454</v>
      </c>
      <c r="CF17" s="286">
        <f>+'1.a sz. Önkormányzat  '!HD17+'1.a sz. Önkormányzat  '!HX17</f>
        <v>0</v>
      </c>
      <c r="CG17" s="286">
        <f>+'1.a sz. Önkormányzat  '!HE17+'1.a sz. Önkormányzat  '!HY17</f>
        <v>0</v>
      </c>
      <c r="CH17" s="257">
        <f t="shared" si="1"/>
        <v>0</v>
      </c>
      <c r="CI17" s="257">
        <f t="shared" si="2"/>
        <v>0</v>
      </c>
      <c r="CJ17" s="258">
        <f t="shared" si="3"/>
        <v>0</v>
      </c>
      <c r="CK17" s="258">
        <f t="shared" si="4"/>
        <v>0</v>
      </c>
    </row>
    <row r="18" spans="1:89" ht="21.75" customHeight="1" x14ac:dyDescent="0.25">
      <c r="A18" s="253" t="s">
        <v>198</v>
      </c>
      <c r="B18" s="262" t="s">
        <v>235</v>
      </c>
      <c r="C18" s="255" t="s">
        <v>207</v>
      </c>
      <c r="D18" s="274">
        <f t="shared" ref="D18:BG18" si="9">+D19</f>
        <v>0</v>
      </c>
      <c r="E18" s="274">
        <f t="shared" si="9"/>
        <v>0</v>
      </c>
      <c r="F18" s="274">
        <f t="shared" si="9"/>
        <v>0</v>
      </c>
      <c r="G18" s="274">
        <f t="shared" si="9"/>
        <v>0</v>
      </c>
      <c r="H18" s="274">
        <f t="shared" si="9"/>
        <v>0</v>
      </c>
      <c r="I18" s="274">
        <f t="shared" si="9"/>
        <v>0</v>
      </c>
      <c r="J18" s="274">
        <f t="shared" si="9"/>
        <v>0</v>
      </c>
      <c r="K18" s="274">
        <f t="shared" si="9"/>
        <v>0</v>
      </c>
      <c r="L18" s="274">
        <f t="shared" si="9"/>
        <v>0</v>
      </c>
      <c r="M18" s="274">
        <f t="shared" si="9"/>
        <v>0</v>
      </c>
      <c r="N18" s="274">
        <f t="shared" si="9"/>
        <v>0</v>
      </c>
      <c r="O18" s="274">
        <f t="shared" si="9"/>
        <v>0</v>
      </c>
      <c r="P18" s="274">
        <f t="shared" si="9"/>
        <v>0</v>
      </c>
      <c r="Q18" s="274">
        <f t="shared" si="9"/>
        <v>0</v>
      </c>
      <c r="R18" s="274">
        <f t="shared" si="9"/>
        <v>0</v>
      </c>
      <c r="S18" s="274">
        <f t="shared" si="9"/>
        <v>0</v>
      </c>
      <c r="T18" s="274">
        <f t="shared" si="9"/>
        <v>0</v>
      </c>
      <c r="U18" s="274">
        <f t="shared" si="9"/>
        <v>0</v>
      </c>
      <c r="V18" s="274">
        <f t="shared" si="9"/>
        <v>0</v>
      </c>
      <c r="W18" s="274">
        <f t="shared" si="9"/>
        <v>0</v>
      </c>
      <c r="X18" s="274">
        <f t="shared" si="9"/>
        <v>0</v>
      </c>
      <c r="Y18" s="274">
        <f t="shared" si="9"/>
        <v>0</v>
      </c>
      <c r="Z18" s="274">
        <f t="shared" si="9"/>
        <v>0</v>
      </c>
      <c r="AA18" s="274">
        <f t="shared" si="9"/>
        <v>0</v>
      </c>
      <c r="AB18" s="274">
        <f t="shared" si="9"/>
        <v>4000000</v>
      </c>
      <c r="AC18" s="274">
        <f t="shared" si="9"/>
        <v>4000000</v>
      </c>
      <c r="AD18" s="274">
        <f t="shared" si="9"/>
        <v>4000000</v>
      </c>
      <c r="AE18" s="274">
        <f t="shared" si="9"/>
        <v>4000000</v>
      </c>
      <c r="AF18" s="274">
        <f t="shared" si="9"/>
        <v>0</v>
      </c>
      <c r="AG18" s="274">
        <f t="shared" si="9"/>
        <v>0</v>
      </c>
      <c r="AH18" s="274">
        <f t="shared" si="9"/>
        <v>0</v>
      </c>
      <c r="AI18" s="274">
        <f t="shared" si="9"/>
        <v>0</v>
      </c>
      <c r="AJ18" s="274">
        <f t="shared" si="9"/>
        <v>0</v>
      </c>
      <c r="AK18" s="274">
        <f t="shared" si="9"/>
        <v>0</v>
      </c>
      <c r="AL18" s="274">
        <f t="shared" si="9"/>
        <v>6000000</v>
      </c>
      <c r="AM18" s="274">
        <f t="shared" si="9"/>
        <v>8254000</v>
      </c>
      <c r="AN18" s="274">
        <f t="shared" si="9"/>
        <v>0</v>
      </c>
      <c r="AO18" s="274">
        <f t="shared" si="9"/>
        <v>254495</v>
      </c>
      <c r="AP18" s="274">
        <f t="shared" si="9"/>
        <v>0</v>
      </c>
      <c r="AQ18" s="274">
        <f t="shared" si="9"/>
        <v>0</v>
      </c>
      <c r="AR18" s="274">
        <f t="shared" si="9"/>
        <v>0</v>
      </c>
      <c r="AS18" s="274">
        <f t="shared" si="9"/>
        <v>0</v>
      </c>
      <c r="AT18" s="274">
        <f t="shared" si="9"/>
        <v>0</v>
      </c>
      <c r="AU18" s="274">
        <f t="shared" si="9"/>
        <v>0</v>
      </c>
      <c r="AV18" s="274">
        <f t="shared" si="9"/>
        <v>1320000</v>
      </c>
      <c r="AW18" s="274">
        <f t="shared" si="9"/>
        <v>300000</v>
      </c>
      <c r="AX18" s="274">
        <f t="shared" si="9"/>
        <v>0</v>
      </c>
      <c r="AY18" s="274"/>
      <c r="AZ18" s="274">
        <f t="shared" si="9"/>
        <v>0</v>
      </c>
      <c r="BA18" s="274">
        <f t="shared" si="9"/>
        <v>0</v>
      </c>
      <c r="BB18" s="274">
        <f t="shared" si="9"/>
        <v>0</v>
      </c>
      <c r="BC18" s="274">
        <f t="shared" si="9"/>
        <v>0</v>
      </c>
      <c r="BD18" s="274">
        <f t="shared" si="9"/>
        <v>0</v>
      </c>
      <c r="BE18" s="274">
        <f t="shared" si="9"/>
        <v>0</v>
      </c>
      <c r="BF18" s="274">
        <f t="shared" si="9"/>
        <v>0</v>
      </c>
      <c r="BG18" s="274">
        <f t="shared" si="9"/>
        <v>0</v>
      </c>
      <c r="BH18" s="274">
        <f t="shared" ref="BH18:BW18" si="10">+BH19</f>
        <v>0</v>
      </c>
      <c r="BI18" s="274">
        <f t="shared" si="10"/>
        <v>0</v>
      </c>
      <c r="BJ18" s="274">
        <f t="shared" si="10"/>
        <v>0</v>
      </c>
      <c r="BK18" s="274">
        <f t="shared" si="10"/>
        <v>0</v>
      </c>
      <c r="BL18" s="274">
        <f t="shared" si="10"/>
        <v>1500000</v>
      </c>
      <c r="BM18" s="274">
        <f t="shared" si="10"/>
        <v>9700000</v>
      </c>
      <c r="BN18" s="274">
        <f t="shared" si="10"/>
        <v>0</v>
      </c>
      <c r="BO18" s="274">
        <f t="shared" si="10"/>
        <v>0</v>
      </c>
      <c r="BP18" s="274">
        <f t="shared" si="10"/>
        <v>0</v>
      </c>
      <c r="BQ18" s="274">
        <f t="shared" si="10"/>
        <v>0</v>
      </c>
      <c r="BR18" s="274">
        <f t="shared" si="10"/>
        <v>0</v>
      </c>
      <c r="BS18" s="274">
        <f t="shared" si="10"/>
        <v>0</v>
      </c>
      <c r="BT18" s="274">
        <f t="shared" si="10"/>
        <v>0</v>
      </c>
      <c r="BU18" s="274">
        <f t="shared" si="10"/>
        <v>0</v>
      </c>
      <c r="BV18" s="274">
        <f t="shared" si="10"/>
        <v>0</v>
      </c>
      <c r="BW18" s="274">
        <f t="shared" si="10"/>
        <v>0</v>
      </c>
      <c r="BX18" s="286">
        <f>+'1.a sz. Önkormányzat  '!ID18+'1.b sz. Önkormányzat  '!CH18</f>
        <v>0</v>
      </c>
      <c r="BY18" s="286">
        <f>+'1.a sz. Önkormányzat  '!IE18+'1.b sz. Önkormányzat  '!CI18</f>
        <v>0</v>
      </c>
      <c r="BZ18" s="286">
        <f>+'1.a sz. Önkormányzat  '!IF18+'1.b sz. Önkormányzat  '!CJ18</f>
        <v>18820000</v>
      </c>
      <c r="CA18" s="286">
        <f>+'1.a sz. Önkormányzat  '!IG18+'1.b sz. Önkormányzat  '!CK18</f>
        <v>29477245</v>
      </c>
      <c r="CB18" s="286">
        <f t="shared" si="0"/>
        <v>0</v>
      </c>
      <c r="CC18" s="286">
        <v>0</v>
      </c>
      <c r="CD18" s="286">
        <f t="shared" si="5"/>
        <v>18820000</v>
      </c>
      <c r="CE18" s="286">
        <f t="shared" si="6"/>
        <v>29477245</v>
      </c>
      <c r="CF18" s="286">
        <f>+'1.a sz. Önkormányzat  '!HD18+'1.a sz. Önkormányzat  '!HX18</f>
        <v>0</v>
      </c>
      <c r="CG18" s="286">
        <f>+'1.a sz. Önkormányzat  '!HE18+'1.a sz. Önkormányzat  '!HY18</f>
        <v>0</v>
      </c>
      <c r="CH18" s="257">
        <f t="shared" si="1"/>
        <v>0</v>
      </c>
      <c r="CI18" s="257">
        <f t="shared" si="2"/>
        <v>0</v>
      </c>
      <c r="CJ18" s="258">
        <f t="shared" si="3"/>
        <v>16820000</v>
      </c>
      <c r="CK18" s="258">
        <f t="shared" si="4"/>
        <v>26508495</v>
      </c>
    </row>
    <row r="19" spans="1:89" ht="21.75" customHeight="1" x14ac:dyDescent="0.25">
      <c r="A19" s="253" t="s">
        <v>225</v>
      </c>
      <c r="B19" s="263" t="s">
        <v>573</v>
      </c>
      <c r="C19" s="255"/>
      <c r="D19" s="274"/>
      <c r="E19" s="274"/>
      <c r="F19" s="274"/>
      <c r="G19" s="274"/>
      <c r="H19" s="274"/>
      <c r="I19" s="274"/>
      <c r="J19" s="274"/>
      <c r="K19" s="274"/>
      <c r="L19" s="274"/>
      <c r="M19" s="274"/>
      <c r="N19" s="274"/>
      <c r="O19" s="274"/>
      <c r="P19" s="274"/>
      <c r="Q19" s="274"/>
      <c r="R19" s="306"/>
      <c r="S19" s="306"/>
      <c r="T19" s="274"/>
      <c r="U19" s="274"/>
      <c r="V19" s="274"/>
      <c r="W19" s="274"/>
      <c r="X19" s="274"/>
      <c r="Y19" s="274"/>
      <c r="Z19" s="274"/>
      <c r="AA19" s="274"/>
      <c r="AB19" s="274">
        <f>+'[1]4.sz.Felhalm.c.pe.átadás'!G8</f>
        <v>4000000</v>
      </c>
      <c r="AC19" s="274">
        <f>+AB19</f>
        <v>4000000</v>
      </c>
      <c r="AD19" s="274">
        <f>+'[1]4.sz.Felhalm.c.pe.átadás'!G9</f>
        <v>4000000</v>
      </c>
      <c r="AE19" s="274">
        <f>+AD19</f>
        <v>4000000</v>
      </c>
      <c r="AF19" s="274"/>
      <c r="AG19" s="274"/>
      <c r="AH19" s="274"/>
      <c r="AI19" s="274"/>
      <c r="AJ19" s="274"/>
      <c r="AK19" s="274"/>
      <c r="AL19" s="274">
        <f>+'[1]4.sz.Felhalm.c.pe.átadás'!G12</f>
        <v>6000000</v>
      </c>
      <c r="AM19" s="274">
        <f>+AL19+1000000+1000000+254000</f>
        <v>8254000</v>
      </c>
      <c r="AN19" s="274"/>
      <c r="AO19" s="274">
        <v>254495</v>
      </c>
      <c r="AP19" s="274"/>
      <c r="AQ19" s="274"/>
      <c r="AR19" s="274"/>
      <c r="AS19" s="274"/>
      <c r="AT19" s="274"/>
      <c r="AU19" s="274"/>
      <c r="AV19" s="274">
        <f>+'[1]4.sz.Felhalm.c.pe.átadás'!G14</f>
        <v>1320000</v>
      </c>
      <c r="AW19" s="274">
        <f>+AV19-1020000</f>
        <v>300000</v>
      </c>
      <c r="AX19" s="274"/>
      <c r="AY19" s="274"/>
      <c r="AZ19" s="274"/>
      <c r="BA19" s="274"/>
      <c r="BB19" s="274"/>
      <c r="BC19" s="274"/>
      <c r="BD19" s="274"/>
      <c r="BE19" s="274"/>
      <c r="BF19" s="274"/>
      <c r="BG19" s="274"/>
      <c r="BH19" s="274"/>
      <c r="BI19" s="274"/>
      <c r="BJ19" s="274"/>
      <c r="BK19" s="274"/>
      <c r="BL19" s="274">
        <f>+'[1]4.sz.Felhalm.c.pe.átadás'!E10+'[1]4.sz.Felhalm.c.pe.átadás'!E11</f>
        <v>1500000</v>
      </c>
      <c r="BM19" s="274">
        <f>+BL19+8000000+200000</f>
        <v>9700000</v>
      </c>
      <c r="BN19" s="274"/>
      <c r="BO19" s="274"/>
      <c r="BP19" s="286"/>
      <c r="BQ19" s="286"/>
      <c r="BR19" s="286"/>
      <c r="BS19" s="286"/>
      <c r="BT19" s="286"/>
      <c r="BU19" s="286"/>
      <c r="BV19" s="286"/>
      <c r="BW19" s="286"/>
      <c r="BX19" s="286">
        <f>+'1.a sz. Önkormányzat  '!ID19+'1.b sz. Önkormányzat  '!CH19</f>
        <v>0</v>
      </c>
      <c r="BY19" s="286">
        <f>+'1.a sz. Önkormányzat  '!IE19+'1.b sz. Önkormányzat  '!CI19</f>
        <v>0</v>
      </c>
      <c r="BZ19" s="286">
        <f>+'1.a sz. Önkormányzat  '!IF19+'1.b sz. Önkormányzat  '!CJ19</f>
        <v>18820000</v>
      </c>
      <c r="CA19" s="286">
        <f>+'1.a sz. Önkormányzat  '!IG19+'1.b sz. Önkormányzat  '!CK19</f>
        <v>29477245</v>
      </c>
      <c r="CB19" s="286">
        <f t="shared" si="0"/>
        <v>0</v>
      </c>
      <c r="CC19" s="286">
        <v>0</v>
      </c>
      <c r="CD19" s="286">
        <f t="shared" si="5"/>
        <v>18820000</v>
      </c>
      <c r="CE19" s="286">
        <f t="shared" si="6"/>
        <v>29477245</v>
      </c>
      <c r="CF19" s="286">
        <f>+'1.a sz. Önkormányzat  '!HD19+'1.a sz. Önkormányzat  '!HX19</f>
        <v>0</v>
      </c>
      <c r="CG19" s="286">
        <f>+'1.a sz. Önkormányzat  '!HE19+'1.a sz. Önkormányzat  '!HY19</f>
        <v>0</v>
      </c>
      <c r="CH19" s="257">
        <f t="shared" si="1"/>
        <v>0</v>
      </c>
      <c r="CI19" s="257">
        <f t="shared" si="2"/>
        <v>0</v>
      </c>
      <c r="CJ19" s="258">
        <f t="shared" si="3"/>
        <v>16820000</v>
      </c>
      <c r="CK19" s="258">
        <f t="shared" si="4"/>
        <v>26508495</v>
      </c>
    </row>
    <row r="20" spans="1:89" s="260" customFormat="1" ht="21.75" customHeight="1" x14ac:dyDescent="0.25">
      <c r="A20" s="253" t="s">
        <v>226</v>
      </c>
      <c r="B20" s="266" t="s">
        <v>236</v>
      </c>
      <c r="C20" s="255" t="s">
        <v>208</v>
      </c>
      <c r="D20" s="285">
        <f t="shared" ref="D20:AI20" si="11">+D18+D17+D16+D12+D11+D10+D9+D8</f>
        <v>18000000</v>
      </c>
      <c r="E20" s="285">
        <f t="shared" si="11"/>
        <v>17100000</v>
      </c>
      <c r="F20" s="285">
        <f t="shared" si="11"/>
        <v>1500000</v>
      </c>
      <c r="G20" s="285">
        <f t="shared" si="11"/>
        <v>1500000</v>
      </c>
      <c r="H20" s="285">
        <f t="shared" si="11"/>
        <v>2300000</v>
      </c>
      <c r="I20" s="285">
        <f t="shared" si="11"/>
        <v>2300000</v>
      </c>
      <c r="J20" s="285">
        <f t="shared" si="11"/>
        <v>2000000</v>
      </c>
      <c r="K20" s="285">
        <f t="shared" si="11"/>
        <v>2000000</v>
      </c>
      <c r="L20" s="285">
        <f t="shared" si="11"/>
        <v>3000000</v>
      </c>
      <c r="M20" s="285">
        <f t="shared" si="11"/>
        <v>3000000</v>
      </c>
      <c r="N20" s="285">
        <f t="shared" si="11"/>
        <v>4000000</v>
      </c>
      <c r="O20" s="285">
        <f t="shared" si="11"/>
        <v>6000000</v>
      </c>
      <c r="P20" s="285">
        <f t="shared" si="11"/>
        <v>500000</v>
      </c>
      <c r="Q20" s="285">
        <f t="shared" si="11"/>
        <v>500000</v>
      </c>
      <c r="R20" s="285">
        <f t="shared" si="11"/>
        <v>0</v>
      </c>
      <c r="S20" s="285">
        <f t="shared" si="11"/>
        <v>0</v>
      </c>
      <c r="T20" s="285">
        <f t="shared" si="11"/>
        <v>500000</v>
      </c>
      <c r="U20" s="285">
        <f t="shared" si="11"/>
        <v>500000</v>
      </c>
      <c r="V20" s="285">
        <f t="shared" si="11"/>
        <v>200000</v>
      </c>
      <c r="W20" s="285">
        <f t="shared" si="11"/>
        <v>200000</v>
      </c>
      <c r="X20" s="285">
        <f t="shared" si="11"/>
        <v>7000000</v>
      </c>
      <c r="Y20" s="285">
        <f t="shared" si="11"/>
        <v>5000000</v>
      </c>
      <c r="Z20" s="285">
        <f t="shared" si="11"/>
        <v>7000000</v>
      </c>
      <c r="AA20" s="285">
        <f t="shared" si="11"/>
        <v>7900000</v>
      </c>
      <c r="AB20" s="285">
        <f t="shared" si="11"/>
        <v>4000000</v>
      </c>
      <c r="AC20" s="285">
        <f t="shared" si="11"/>
        <v>4000000</v>
      </c>
      <c r="AD20" s="285">
        <f t="shared" si="11"/>
        <v>4000000</v>
      </c>
      <c r="AE20" s="285">
        <f t="shared" si="11"/>
        <v>4000000</v>
      </c>
      <c r="AF20" s="285">
        <f t="shared" si="11"/>
        <v>0</v>
      </c>
      <c r="AG20" s="285">
        <f t="shared" si="11"/>
        <v>150000</v>
      </c>
      <c r="AH20" s="285">
        <f t="shared" si="11"/>
        <v>12000000</v>
      </c>
      <c r="AI20" s="285">
        <f t="shared" si="11"/>
        <v>12000000</v>
      </c>
      <c r="AJ20" s="285">
        <f t="shared" ref="AJ20:BG20" si="12">+AJ18+AJ17+AJ16+AJ12+AJ11+AJ10+AJ9+AJ8</f>
        <v>88000000</v>
      </c>
      <c r="AK20" s="285">
        <f t="shared" si="12"/>
        <v>108000000</v>
      </c>
      <c r="AL20" s="285">
        <f t="shared" si="12"/>
        <v>9000000</v>
      </c>
      <c r="AM20" s="285">
        <f t="shared" si="12"/>
        <v>14139000</v>
      </c>
      <c r="AN20" s="285">
        <f t="shared" si="12"/>
        <v>0</v>
      </c>
      <c r="AO20" s="285">
        <f t="shared" si="12"/>
        <v>5900000</v>
      </c>
      <c r="AP20" s="285">
        <f t="shared" si="12"/>
        <v>0</v>
      </c>
      <c r="AQ20" s="285">
        <f t="shared" si="12"/>
        <v>0</v>
      </c>
      <c r="AR20" s="285">
        <f t="shared" si="12"/>
        <v>3940000</v>
      </c>
      <c r="AS20" s="285">
        <f t="shared" si="12"/>
        <v>16206000</v>
      </c>
      <c r="AT20" s="285">
        <f t="shared" si="12"/>
        <v>0</v>
      </c>
      <c r="AU20" s="285">
        <f t="shared" si="12"/>
        <v>2070000</v>
      </c>
      <c r="AV20" s="285">
        <f t="shared" si="12"/>
        <v>4400000</v>
      </c>
      <c r="AW20" s="285">
        <f t="shared" si="12"/>
        <v>4400000</v>
      </c>
      <c r="AX20" s="285">
        <f t="shared" si="12"/>
        <v>0</v>
      </c>
      <c r="AY20" s="285">
        <f t="shared" si="12"/>
        <v>0</v>
      </c>
      <c r="AZ20" s="285">
        <f t="shared" si="12"/>
        <v>165875188</v>
      </c>
      <c r="BA20" s="285">
        <f t="shared" si="12"/>
        <v>172510188</v>
      </c>
      <c r="BB20" s="285">
        <f t="shared" si="12"/>
        <v>4000000</v>
      </c>
      <c r="BC20" s="285">
        <f t="shared" si="12"/>
        <v>4000000</v>
      </c>
      <c r="BD20" s="285">
        <f t="shared" si="12"/>
        <v>26600000</v>
      </c>
      <c r="BE20" s="285">
        <f t="shared" si="12"/>
        <v>26600000</v>
      </c>
      <c r="BF20" s="285">
        <f t="shared" si="12"/>
        <v>53021553</v>
      </c>
      <c r="BG20" s="285">
        <f t="shared" si="12"/>
        <v>53021553</v>
      </c>
      <c r="BH20" s="285">
        <f t="shared" ref="BH20:BT20" si="13">+BH18+BH17+BH16+BH12+BH11+BH10+BH9+BH8</f>
        <v>32556000</v>
      </c>
      <c r="BI20" s="285">
        <f>+BI18+BI17+BI16+BI12+BI11+BI10+BI9+BI8</f>
        <v>32556000</v>
      </c>
      <c r="BJ20" s="285">
        <f t="shared" si="13"/>
        <v>0</v>
      </c>
      <c r="BK20" s="285">
        <f>+BK18+BK17+BK16+BK12+BK11+BK10+BK9+BK8</f>
        <v>1150000</v>
      </c>
      <c r="BL20" s="285">
        <f>+BL18+BL17+BL16+BL12+BL11+BL10+BL9+BL8</f>
        <v>9350000</v>
      </c>
      <c r="BM20" s="285">
        <f>+BM18+BM17+BM16+BM12+BM11+BM10+BM9+BM8</f>
        <v>22190000</v>
      </c>
      <c r="BN20" s="285">
        <f t="shared" si="13"/>
        <v>80000000</v>
      </c>
      <c r="BO20" s="285">
        <f>+BO18+BO17+BO16+BO12+BO11+BO10+BO9+BO8</f>
        <v>80000000</v>
      </c>
      <c r="BP20" s="285">
        <f t="shared" si="13"/>
        <v>0</v>
      </c>
      <c r="BQ20" s="285">
        <f>+BQ18+BQ17+BQ16+BQ12+BQ11+BQ10+BQ9+BQ8</f>
        <v>0</v>
      </c>
      <c r="BR20" s="285">
        <f t="shared" si="13"/>
        <v>0</v>
      </c>
      <c r="BS20" s="285">
        <f>+BS18+BS17+BS16+BS12+BS11+BS10+BS9+BS8</f>
        <v>0</v>
      </c>
      <c r="BT20" s="285">
        <f t="shared" si="13"/>
        <v>0</v>
      </c>
      <c r="BU20" s="285">
        <f>+BU18+BU17+BU16+BU12+BU11+BU10+BU9+BU8</f>
        <v>0</v>
      </c>
      <c r="BV20" s="285">
        <f t="shared" ref="BV20:BW20" si="14">+BV18+BV17+BV16+BV12+BV11+BV10+BV9+BV8</f>
        <v>0</v>
      </c>
      <c r="BW20" s="285">
        <f t="shared" si="14"/>
        <v>2500000</v>
      </c>
      <c r="BX20" s="285">
        <f>+'1.a sz. Önkormányzat  '!ID20+'1.b sz. Önkormányzat  '!CH20</f>
        <v>5640226686</v>
      </c>
      <c r="BY20" s="285">
        <f>+'1.a sz. Önkormányzat  '!IE20+'1.b sz. Önkormányzat  '!CI20</f>
        <v>8364990317</v>
      </c>
      <c r="BZ20" s="285">
        <f>+'1.a sz. Önkormányzat  '!IF20+'1.b sz. Önkormányzat  '!CJ20</f>
        <v>805424410</v>
      </c>
      <c r="CA20" s="285">
        <f>+'1.a sz. Önkormányzat  '!IG20+'1.b sz. Önkormányzat  '!CK20</f>
        <v>1353631968</v>
      </c>
      <c r="CB20" s="285">
        <f t="shared" si="0"/>
        <v>0</v>
      </c>
      <c r="CC20" s="285">
        <v>0</v>
      </c>
      <c r="CD20" s="285">
        <f>+BX20+BZ20</f>
        <v>6445651096</v>
      </c>
      <c r="CE20" s="285">
        <f t="shared" si="6"/>
        <v>9718622285</v>
      </c>
      <c r="CF20" s="286">
        <f>+CF8+CF9+CF10+CF11+CF12+CF16+CF17+CF18</f>
        <v>84976162</v>
      </c>
      <c r="CG20" s="286">
        <f>+CG8+CG9+CG10+CG11+CG12+CG16+CG17+CG18</f>
        <v>445636109</v>
      </c>
      <c r="CH20" s="257">
        <f t="shared" si="1"/>
        <v>244431188</v>
      </c>
      <c r="CI20" s="257">
        <f t="shared" si="2"/>
        <v>251066188</v>
      </c>
      <c r="CJ20" s="258">
        <f t="shared" si="3"/>
        <v>298311553</v>
      </c>
      <c r="CK20" s="258">
        <f t="shared" si="4"/>
        <v>360326553</v>
      </c>
    </row>
    <row r="21" spans="1:89" s="260" customFormat="1" ht="21.75" customHeight="1" x14ac:dyDescent="0.25">
      <c r="A21" s="253" t="s">
        <v>227</v>
      </c>
      <c r="B21" s="266" t="s">
        <v>221</v>
      </c>
      <c r="C21" s="255" t="s">
        <v>217</v>
      </c>
      <c r="D21" s="274">
        <f t="shared" ref="D21:AI21" si="15">+D22+D23+D24+D25+D26</f>
        <v>0</v>
      </c>
      <c r="E21" s="274">
        <f t="shared" si="15"/>
        <v>0</v>
      </c>
      <c r="F21" s="274">
        <f t="shared" si="15"/>
        <v>0</v>
      </c>
      <c r="G21" s="274">
        <f t="shared" si="15"/>
        <v>0</v>
      </c>
      <c r="H21" s="274">
        <f t="shared" si="15"/>
        <v>0</v>
      </c>
      <c r="I21" s="274">
        <f t="shared" si="15"/>
        <v>0</v>
      </c>
      <c r="J21" s="274">
        <f t="shared" si="15"/>
        <v>0</v>
      </c>
      <c r="K21" s="274">
        <f t="shared" si="15"/>
        <v>0</v>
      </c>
      <c r="L21" s="274">
        <f t="shared" si="15"/>
        <v>0</v>
      </c>
      <c r="M21" s="274">
        <f t="shared" si="15"/>
        <v>0</v>
      </c>
      <c r="N21" s="274">
        <f t="shared" si="15"/>
        <v>0</v>
      </c>
      <c r="O21" s="274">
        <f t="shared" si="15"/>
        <v>0</v>
      </c>
      <c r="P21" s="274">
        <f t="shared" si="15"/>
        <v>0</v>
      </c>
      <c r="Q21" s="274">
        <f t="shared" si="15"/>
        <v>0</v>
      </c>
      <c r="R21" s="274">
        <f t="shared" si="15"/>
        <v>0</v>
      </c>
      <c r="S21" s="274">
        <f t="shared" si="15"/>
        <v>0</v>
      </c>
      <c r="T21" s="274">
        <f t="shared" si="15"/>
        <v>0</v>
      </c>
      <c r="U21" s="274">
        <f t="shared" si="15"/>
        <v>0</v>
      </c>
      <c r="V21" s="274">
        <f t="shared" si="15"/>
        <v>0</v>
      </c>
      <c r="W21" s="274">
        <f t="shared" si="15"/>
        <v>0</v>
      </c>
      <c r="X21" s="274">
        <f t="shared" si="15"/>
        <v>0</v>
      </c>
      <c r="Y21" s="274">
        <f t="shared" si="15"/>
        <v>0</v>
      </c>
      <c r="Z21" s="274">
        <f t="shared" si="15"/>
        <v>0</v>
      </c>
      <c r="AA21" s="274">
        <f t="shared" si="15"/>
        <v>0</v>
      </c>
      <c r="AB21" s="274">
        <f t="shared" si="15"/>
        <v>0</v>
      </c>
      <c r="AC21" s="274">
        <f t="shared" si="15"/>
        <v>0</v>
      </c>
      <c r="AD21" s="274">
        <f t="shared" si="15"/>
        <v>0</v>
      </c>
      <c r="AE21" s="274">
        <f t="shared" si="15"/>
        <v>0</v>
      </c>
      <c r="AF21" s="274">
        <f t="shared" si="15"/>
        <v>0</v>
      </c>
      <c r="AG21" s="274">
        <f t="shared" si="15"/>
        <v>0</v>
      </c>
      <c r="AH21" s="274">
        <f t="shared" si="15"/>
        <v>0</v>
      </c>
      <c r="AI21" s="274">
        <f t="shared" si="15"/>
        <v>0</v>
      </c>
      <c r="AJ21" s="274">
        <f t="shared" ref="AJ21:BG21" si="16">+AJ22+AJ23+AJ24+AJ25+AJ26</f>
        <v>0</v>
      </c>
      <c r="AK21" s="274">
        <f t="shared" si="16"/>
        <v>0</v>
      </c>
      <c r="AL21" s="274">
        <f t="shared" si="16"/>
        <v>0</v>
      </c>
      <c r="AM21" s="274">
        <f t="shared" si="16"/>
        <v>0</v>
      </c>
      <c r="AN21" s="274">
        <f t="shared" si="16"/>
        <v>0</v>
      </c>
      <c r="AO21" s="274">
        <f t="shared" si="16"/>
        <v>0</v>
      </c>
      <c r="AP21" s="274">
        <f t="shared" si="16"/>
        <v>0</v>
      </c>
      <c r="AQ21" s="274">
        <f t="shared" si="16"/>
        <v>0</v>
      </c>
      <c r="AR21" s="274">
        <f t="shared" si="16"/>
        <v>0</v>
      </c>
      <c r="AS21" s="274">
        <f t="shared" si="16"/>
        <v>0</v>
      </c>
      <c r="AT21" s="274">
        <f t="shared" si="16"/>
        <v>0</v>
      </c>
      <c r="AU21" s="274">
        <f t="shared" si="16"/>
        <v>0</v>
      </c>
      <c r="AV21" s="274">
        <f t="shared" si="16"/>
        <v>0</v>
      </c>
      <c r="AW21" s="274">
        <f t="shared" si="16"/>
        <v>0</v>
      </c>
      <c r="AX21" s="274">
        <f t="shared" si="16"/>
        <v>0</v>
      </c>
      <c r="AY21" s="274">
        <f t="shared" si="16"/>
        <v>0</v>
      </c>
      <c r="AZ21" s="274">
        <f t="shared" si="16"/>
        <v>0</v>
      </c>
      <c r="BA21" s="274">
        <f t="shared" si="16"/>
        <v>0</v>
      </c>
      <c r="BB21" s="274">
        <f t="shared" si="16"/>
        <v>0</v>
      </c>
      <c r="BC21" s="274">
        <f t="shared" si="16"/>
        <v>0</v>
      </c>
      <c r="BD21" s="274">
        <f t="shared" si="16"/>
        <v>0</v>
      </c>
      <c r="BE21" s="274">
        <f t="shared" si="16"/>
        <v>0</v>
      </c>
      <c r="BF21" s="274">
        <f t="shared" si="16"/>
        <v>0</v>
      </c>
      <c r="BG21" s="274">
        <f t="shared" si="16"/>
        <v>0</v>
      </c>
      <c r="BH21" s="274">
        <f>+BH22+BH23+BH24+BH25+BH26</f>
        <v>0</v>
      </c>
      <c r="BI21" s="274">
        <f>+BI22+BI23+BI24+BI25+BI26</f>
        <v>0</v>
      </c>
      <c r="BJ21" s="274">
        <f t="shared" ref="BJ21:BT21" si="17">+BJ22+BJ23+BJ24+BJ25+BJ26</f>
        <v>0</v>
      </c>
      <c r="BK21" s="274">
        <f>+BK22+BK23+BK24+BK25+BK26</f>
        <v>0</v>
      </c>
      <c r="BL21" s="274">
        <f>+BL22+BL23+BL24+BL25+BL26</f>
        <v>0</v>
      </c>
      <c r="BM21" s="274">
        <f>+BM22+BM23+BM24+BM25+BM26</f>
        <v>0</v>
      </c>
      <c r="BN21" s="274">
        <f t="shared" si="17"/>
        <v>28182624</v>
      </c>
      <c r="BO21" s="274">
        <f>+BO22+BO23+BO24+BO25+BO26</f>
        <v>28182624</v>
      </c>
      <c r="BP21" s="274">
        <f t="shared" si="17"/>
        <v>0</v>
      </c>
      <c r="BQ21" s="274">
        <f>+BQ22+BQ23+BQ24+BQ25+BQ26</f>
        <v>0</v>
      </c>
      <c r="BR21" s="274">
        <f t="shared" si="17"/>
        <v>72036518</v>
      </c>
      <c r="BS21" s="274">
        <f>+BS22+BS23+BS24+BS25+BS26</f>
        <v>389979414</v>
      </c>
      <c r="BT21" s="274">
        <f t="shared" si="17"/>
        <v>0</v>
      </c>
      <c r="BU21" s="274">
        <f>+BU22+BU23+BU24+BU25+BU26</f>
        <v>0</v>
      </c>
      <c r="BV21" s="274">
        <f t="shared" ref="BV21:BW21" si="18">+BV22+BV23+BV24+BV25+BV26</f>
        <v>0</v>
      </c>
      <c r="BW21" s="274">
        <f t="shared" si="18"/>
        <v>0</v>
      </c>
      <c r="BX21" s="286">
        <f>+'1.a sz. Önkormányzat  '!ID21+'1.b sz. Önkormányzat  '!CH21</f>
        <v>4421629466</v>
      </c>
      <c r="BY21" s="286">
        <f>+'1.a sz. Önkormányzat  '!IE21+'1.b sz. Önkormányzat  '!CI21</f>
        <v>4946839628</v>
      </c>
      <c r="BZ21" s="286">
        <f>+'1.a sz. Önkormányzat  '!IF21+'1.b sz. Önkormányzat  '!CJ21</f>
        <v>28182624</v>
      </c>
      <c r="CA21" s="286">
        <f>+'1.a sz. Önkormányzat  '!IG21+'1.b sz. Önkormányzat  '!CK21</f>
        <v>28182624</v>
      </c>
      <c r="CB21" s="286">
        <f t="shared" si="0"/>
        <v>0</v>
      </c>
      <c r="CC21" s="286">
        <v>0</v>
      </c>
      <c r="CD21" s="286">
        <f t="shared" si="5"/>
        <v>4449812090</v>
      </c>
      <c r="CE21" s="286">
        <f t="shared" si="6"/>
        <v>4975022252</v>
      </c>
      <c r="CF21" s="286">
        <f>+CF22+CF23+CF24+CF25+CF26</f>
        <v>0</v>
      </c>
      <c r="CG21" s="286">
        <f>+CG22+CG23+CG24+CG25+CG26</f>
        <v>0</v>
      </c>
      <c r="CH21" s="257">
        <f t="shared" si="1"/>
        <v>72036518</v>
      </c>
      <c r="CI21" s="257">
        <f t="shared" si="2"/>
        <v>389979414</v>
      </c>
      <c r="CJ21" s="258">
        <f t="shared" si="3"/>
        <v>28182624</v>
      </c>
      <c r="CK21" s="258">
        <f t="shared" si="4"/>
        <v>28182624</v>
      </c>
    </row>
    <row r="22" spans="1:89" s="268" customFormat="1" ht="21.75" customHeight="1" x14ac:dyDescent="0.25">
      <c r="A22" s="253" t="s">
        <v>228</v>
      </c>
      <c r="B22" s="267" t="s">
        <v>183</v>
      </c>
      <c r="C22" s="264"/>
      <c r="D22" s="284"/>
      <c r="E22" s="284"/>
      <c r="F22" s="284"/>
      <c r="G22" s="284"/>
      <c r="H22" s="284"/>
      <c r="I22" s="284"/>
      <c r="J22" s="284"/>
      <c r="K22" s="284"/>
      <c r="L22" s="284"/>
      <c r="M22" s="284"/>
      <c r="N22" s="284"/>
      <c r="O22" s="284"/>
      <c r="P22" s="284"/>
      <c r="Q22" s="284"/>
      <c r="R22" s="323"/>
      <c r="S22" s="323"/>
      <c r="T22" s="284"/>
      <c r="U22" s="284"/>
      <c r="V22" s="284"/>
      <c r="W22" s="284"/>
      <c r="X22" s="284"/>
      <c r="Y22" s="284"/>
      <c r="Z22" s="284"/>
      <c r="AA22" s="284"/>
      <c r="AB22" s="284"/>
      <c r="AC22" s="284"/>
      <c r="AD22" s="284"/>
      <c r="AE22" s="284"/>
      <c r="AF22" s="284"/>
      <c r="AG22" s="284"/>
      <c r="AH22" s="284"/>
      <c r="AI22" s="284"/>
      <c r="AJ22" s="284"/>
      <c r="AK22" s="284"/>
      <c r="AL22" s="284"/>
      <c r="AM22" s="284"/>
      <c r="AN22" s="284"/>
      <c r="AO22" s="284"/>
      <c r="AP22" s="284"/>
      <c r="AQ22" s="284"/>
      <c r="AR22" s="284"/>
      <c r="AS22" s="284"/>
      <c r="AT22" s="284"/>
      <c r="AU22" s="284"/>
      <c r="AV22" s="284"/>
      <c r="AW22" s="284"/>
      <c r="AX22" s="284"/>
      <c r="AY22" s="284"/>
      <c r="AZ22" s="284"/>
      <c r="BA22" s="284"/>
      <c r="BB22" s="284"/>
      <c r="BC22" s="284"/>
      <c r="BD22" s="284"/>
      <c r="BE22" s="284"/>
      <c r="BF22" s="284"/>
      <c r="BG22" s="284"/>
      <c r="BH22" s="284"/>
      <c r="BI22" s="284"/>
      <c r="BJ22" s="284"/>
      <c r="BK22" s="284"/>
      <c r="BL22" s="284"/>
      <c r="BM22" s="284"/>
      <c r="BN22" s="284"/>
      <c r="BO22" s="284"/>
      <c r="BP22" s="296"/>
      <c r="BQ22" s="296"/>
      <c r="BR22" s="296">
        <v>72036518</v>
      </c>
      <c r="BS22" s="296">
        <f>+BR22+53187987+8712101+7191662+37503653+12154371+46051618+27068109+15621634+20931809+19968338+69551614</f>
        <v>389979414</v>
      </c>
      <c r="BT22" s="296"/>
      <c r="BU22" s="296"/>
      <c r="BV22" s="296"/>
      <c r="BW22" s="296"/>
      <c r="BX22" s="286">
        <f>+'1.a sz. Önkormányzat  '!ID22+'1.b sz. Önkormányzat  '!CH22</f>
        <v>72036518</v>
      </c>
      <c r="BY22" s="286">
        <f>+'1.a sz. Önkormányzat  '!IE22+'1.b sz. Önkormányzat  '!CI22</f>
        <v>389979414</v>
      </c>
      <c r="BZ22" s="286">
        <f>+'1.a sz. Önkormányzat  '!IF22+'1.b sz. Önkormányzat  '!CJ22</f>
        <v>0</v>
      </c>
      <c r="CA22" s="286">
        <f>+'1.a sz. Önkormányzat  '!IG22+'1.b sz. Önkormányzat  '!CK22</f>
        <v>0</v>
      </c>
      <c r="CB22" s="286">
        <f t="shared" si="0"/>
        <v>0</v>
      </c>
      <c r="CC22" s="286">
        <v>0</v>
      </c>
      <c r="CD22" s="286">
        <f t="shared" si="5"/>
        <v>72036518</v>
      </c>
      <c r="CE22" s="286">
        <f t="shared" si="6"/>
        <v>389979414</v>
      </c>
      <c r="CF22" s="286">
        <f>+'1.a sz. Önkormányzat  '!HD22+'1.a sz. Önkormányzat  '!HX22</f>
        <v>0</v>
      </c>
      <c r="CG22" s="286">
        <f>+'1.a sz. Önkormányzat  '!HE22+'1.a sz. Önkormányzat  '!HY22</f>
        <v>0</v>
      </c>
      <c r="CH22" s="257">
        <f t="shared" si="1"/>
        <v>72036518</v>
      </c>
      <c r="CI22" s="257">
        <f t="shared" si="2"/>
        <v>389979414</v>
      </c>
      <c r="CJ22" s="258">
        <f t="shared" si="3"/>
        <v>0</v>
      </c>
      <c r="CK22" s="258">
        <f t="shared" si="4"/>
        <v>0</v>
      </c>
    </row>
    <row r="23" spans="1:89" s="268" customFormat="1" ht="21.75" customHeight="1" x14ac:dyDescent="0.25">
      <c r="A23" s="253" t="s">
        <v>229</v>
      </c>
      <c r="B23" s="267" t="s">
        <v>553</v>
      </c>
      <c r="C23" s="264"/>
      <c r="D23" s="284"/>
      <c r="E23" s="284"/>
      <c r="F23" s="284"/>
      <c r="G23" s="284"/>
      <c r="H23" s="284"/>
      <c r="I23" s="284"/>
      <c r="J23" s="284"/>
      <c r="K23" s="284"/>
      <c r="L23" s="284"/>
      <c r="M23" s="284"/>
      <c r="N23" s="284"/>
      <c r="O23" s="284"/>
      <c r="P23" s="284"/>
      <c r="Q23" s="284"/>
      <c r="R23" s="323"/>
      <c r="S23" s="323"/>
      <c r="T23" s="284"/>
      <c r="U23" s="284"/>
      <c r="V23" s="284"/>
      <c r="W23" s="284"/>
      <c r="X23" s="284"/>
      <c r="Y23" s="284"/>
      <c r="Z23" s="284"/>
      <c r="AA23" s="284"/>
      <c r="AB23" s="284"/>
      <c r="AC23" s="284"/>
      <c r="AD23" s="284"/>
      <c r="AE23" s="284"/>
      <c r="AF23" s="284"/>
      <c r="AG23" s="284"/>
      <c r="AH23" s="284"/>
      <c r="AI23" s="284"/>
      <c r="AJ23" s="284"/>
      <c r="AK23" s="284"/>
      <c r="AL23" s="284"/>
      <c r="AM23" s="284"/>
      <c r="AN23" s="284"/>
      <c r="AO23" s="284"/>
      <c r="AP23" s="284"/>
      <c r="AQ23" s="284"/>
      <c r="AR23" s="284"/>
      <c r="AS23" s="284"/>
      <c r="AT23" s="284"/>
      <c r="AU23" s="284"/>
      <c r="AV23" s="284"/>
      <c r="AW23" s="284"/>
      <c r="AX23" s="284"/>
      <c r="AY23" s="284"/>
      <c r="AZ23" s="284"/>
      <c r="BA23" s="284"/>
      <c r="BB23" s="284"/>
      <c r="BC23" s="284"/>
      <c r="BD23" s="284"/>
      <c r="BE23" s="284"/>
      <c r="BF23" s="284"/>
      <c r="BG23" s="284"/>
      <c r="BH23" s="284"/>
      <c r="BI23" s="284"/>
      <c r="BJ23" s="284"/>
      <c r="BK23" s="284"/>
      <c r="BL23" s="284"/>
      <c r="BM23" s="284"/>
      <c r="BN23" s="284"/>
      <c r="BO23" s="284"/>
      <c r="BP23" s="296"/>
      <c r="BQ23" s="296"/>
      <c r="BR23" s="296"/>
      <c r="BS23" s="296"/>
      <c r="BT23" s="296"/>
      <c r="BU23" s="296"/>
      <c r="BV23" s="296"/>
      <c r="BW23" s="296"/>
      <c r="BX23" s="286">
        <f>+'1.a sz. Önkormányzat  '!ID23+'1.b sz. Önkormányzat  '!CH23</f>
        <v>4291386848</v>
      </c>
      <c r="BY23" s="286">
        <f>+'1.a sz. Önkormányzat  '!IE23+'1.b sz. Önkormányzat  '!CI23</f>
        <v>4479932615</v>
      </c>
      <c r="BZ23" s="286">
        <f>+'1.a sz. Önkormányzat  '!IF23+'1.b sz. Önkormányzat  '!CJ23</f>
        <v>0</v>
      </c>
      <c r="CA23" s="286">
        <f>+'1.a sz. Önkormányzat  '!IG23+'1.b sz. Önkormányzat  '!CK23</f>
        <v>0</v>
      </c>
      <c r="CB23" s="286">
        <f t="shared" si="0"/>
        <v>0</v>
      </c>
      <c r="CC23" s="286">
        <v>0</v>
      </c>
      <c r="CD23" s="286">
        <f t="shared" si="5"/>
        <v>4291386848</v>
      </c>
      <c r="CE23" s="286">
        <f t="shared" si="6"/>
        <v>4479932615</v>
      </c>
      <c r="CF23" s="286">
        <f>+'1.a sz. Önkormányzat  '!HD23+'1.a sz. Önkormányzat  '!HX23</f>
        <v>0</v>
      </c>
      <c r="CG23" s="286">
        <f>+'1.a sz. Önkormányzat  '!HE23+'1.a sz. Önkormányzat  '!HY23</f>
        <v>0</v>
      </c>
      <c r="CH23" s="257">
        <f t="shared" si="1"/>
        <v>0</v>
      </c>
      <c r="CI23" s="257">
        <f t="shared" si="2"/>
        <v>0</v>
      </c>
      <c r="CJ23" s="258">
        <f t="shared" si="3"/>
        <v>0</v>
      </c>
      <c r="CK23" s="258">
        <f t="shared" si="4"/>
        <v>0</v>
      </c>
    </row>
    <row r="24" spans="1:89" s="268" customFormat="1" ht="21.75" customHeight="1" x14ac:dyDescent="0.25">
      <c r="A24" s="253" t="s">
        <v>230</v>
      </c>
      <c r="B24" s="267" t="s">
        <v>554</v>
      </c>
      <c r="C24" s="264"/>
      <c r="D24" s="284"/>
      <c r="E24" s="284"/>
      <c r="F24" s="284"/>
      <c r="G24" s="284"/>
      <c r="H24" s="284"/>
      <c r="I24" s="284"/>
      <c r="J24" s="284"/>
      <c r="K24" s="284"/>
      <c r="L24" s="284"/>
      <c r="M24" s="284"/>
      <c r="N24" s="284"/>
      <c r="O24" s="284"/>
      <c r="P24" s="284"/>
      <c r="Q24" s="284"/>
      <c r="R24" s="323"/>
      <c r="S24" s="323"/>
      <c r="T24" s="284"/>
      <c r="U24" s="284"/>
      <c r="V24" s="284"/>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c r="AX24" s="284"/>
      <c r="AY24" s="284"/>
      <c r="AZ24" s="284"/>
      <c r="BA24" s="284"/>
      <c r="BB24" s="284"/>
      <c r="BC24" s="284"/>
      <c r="BD24" s="284"/>
      <c r="BE24" s="284"/>
      <c r="BF24" s="284"/>
      <c r="BG24" s="284"/>
      <c r="BH24" s="284"/>
      <c r="BI24" s="284"/>
      <c r="BJ24" s="284"/>
      <c r="BK24" s="284"/>
      <c r="BL24" s="284"/>
      <c r="BM24" s="284"/>
      <c r="BN24" s="284"/>
      <c r="BO24" s="284"/>
      <c r="BP24" s="296"/>
      <c r="BQ24" s="296"/>
      <c r="BR24" s="296"/>
      <c r="BS24" s="296"/>
      <c r="BT24" s="296"/>
      <c r="BU24" s="296"/>
      <c r="BV24" s="296"/>
      <c r="BW24" s="296"/>
      <c r="BX24" s="286">
        <f>+'1.a sz. Önkormányzat  '!ID24+'1.b sz. Önkormányzat  '!CH24</f>
        <v>58206100</v>
      </c>
      <c r="BY24" s="286">
        <f>+'1.a sz. Önkormányzat  '!IE24+'1.b sz. Önkormányzat  '!CI24</f>
        <v>76927599</v>
      </c>
      <c r="BZ24" s="286">
        <f>+'1.a sz. Önkormányzat  '!IF24+'1.b sz. Önkormányzat  '!CJ24</f>
        <v>0</v>
      </c>
      <c r="CA24" s="286">
        <f>+'1.a sz. Önkormányzat  '!IG24+'1.b sz. Önkormányzat  '!CK24</f>
        <v>0</v>
      </c>
      <c r="CB24" s="286">
        <f t="shared" si="0"/>
        <v>0</v>
      </c>
      <c r="CC24" s="286">
        <v>0</v>
      </c>
      <c r="CD24" s="286">
        <f t="shared" si="5"/>
        <v>58206100</v>
      </c>
      <c r="CE24" s="286">
        <f t="shared" si="6"/>
        <v>76927599</v>
      </c>
      <c r="CF24" s="286">
        <f>+'1.a sz. Önkormányzat  '!HD24+'1.a sz. Önkormányzat  '!HX24</f>
        <v>0</v>
      </c>
      <c r="CG24" s="286">
        <f>+'1.a sz. Önkormányzat  '!HE24+'1.a sz. Önkormányzat  '!HY24</f>
        <v>0</v>
      </c>
      <c r="CH24" s="257">
        <f t="shared" si="1"/>
        <v>0</v>
      </c>
      <c r="CI24" s="257">
        <f t="shared" si="2"/>
        <v>0</v>
      </c>
      <c r="CJ24" s="258">
        <f t="shared" si="3"/>
        <v>0</v>
      </c>
      <c r="CK24" s="258">
        <f t="shared" si="4"/>
        <v>0</v>
      </c>
    </row>
    <row r="25" spans="1:89" s="268" customFormat="1" ht="21.75" customHeight="1" x14ac:dyDescent="0.25">
      <c r="A25" s="253" t="s">
        <v>231</v>
      </c>
      <c r="B25" s="267" t="s">
        <v>127</v>
      </c>
      <c r="C25" s="264"/>
      <c r="D25" s="284"/>
      <c r="E25" s="284"/>
      <c r="F25" s="284"/>
      <c r="G25" s="284"/>
      <c r="H25" s="284"/>
      <c r="I25" s="284"/>
      <c r="J25" s="284"/>
      <c r="K25" s="284"/>
      <c r="L25" s="284"/>
      <c r="M25" s="284"/>
      <c r="N25" s="284"/>
      <c r="O25" s="284"/>
      <c r="P25" s="284"/>
      <c r="Q25" s="284"/>
      <c r="R25" s="323"/>
      <c r="S25" s="323"/>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4"/>
      <c r="BG25" s="284"/>
      <c r="BH25" s="284"/>
      <c r="BI25" s="284"/>
      <c r="BJ25" s="284"/>
      <c r="BK25" s="284"/>
      <c r="BL25" s="284"/>
      <c r="BM25" s="284"/>
      <c r="BN25" s="284">
        <v>28182624</v>
      </c>
      <c r="BO25" s="284">
        <f>+BN25</f>
        <v>28182624</v>
      </c>
      <c r="BP25" s="296"/>
      <c r="BQ25" s="296"/>
      <c r="BR25" s="296"/>
      <c r="BS25" s="296"/>
      <c r="BT25" s="296"/>
      <c r="BU25" s="296"/>
      <c r="BV25" s="296"/>
      <c r="BW25" s="296"/>
      <c r="BX25" s="286">
        <f>+'1.a sz. Önkormányzat  '!ID25+'1.b sz. Önkormányzat  '!CH25</f>
        <v>0</v>
      </c>
      <c r="BY25" s="286">
        <f>+'1.a sz. Önkormányzat  '!IE25+'1.b sz. Önkormányzat  '!CI25</f>
        <v>0</v>
      </c>
      <c r="BZ25" s="286">
        <f>+'1.a sz. Önkormányzat  '!IF25+'1.b sz. Önkormányzat  '!CJ25</f>
        <v>28182624</v>
      </c>
      <c r="CA25" s="286">
        <f>+'1.a sz. Önkormányzat  '!IG25+'1.b sz. Önkormányzat  '!CK25</f>
        <v>28182624</v>
      </c>
      <c r="CB25" s="286">
        <f t="shared" si="0"/>
        <v>0</v>
      </c>
      <c r="CC25" s="286">
        <v>0</v>
      </c>
      <c r="CD25" s="286">
        <f t="shared" si="5"/>
        <v>28182624</v>
      </c>
      <c r="CE25" s="286">
        <f t="shared" si="6"/>
        <v>28182624</v>
      </c>
      <c r="CF25" s="286">
        <f>+'1.a sz. Önkormányzat  '!HD25+'1.a sz. Önkormányzat  '!HX25</f>
        <v>0</v>
      </c>
      <c r="CG25" s="286">
        <f>+'1.a sz. Önkormányzat  '!HE25+'1.a sz. Önkormányzat  '!HY25</f>
        <v>0</v>
      </c>
      <c r="CH25" s="257">
        <f t="shared" si="1"/>
        <v>0</v>
      </c>
      <c r="CI25" s="257">
        <f t="shared" si="2"/>
        <v>0</v>
      </c>
      <c r="CJ25" s="258">
        <f t="shared" si="3"/>
        <v>28182624</v>
      </c>
      <c r="CK25" s="258">
        <f t="shared" si="4"/>
        <v>28182624</v>
      </c>
    </row>
    <row r="26" spans="1:89" s="268" customFormat="1" ht="21.75" customHeight="1" x14ac:dyDescent="0.25">
      <c r="A26" s="253" t="s">
        <v>232</v>
      </c>
      <c r="B26" s="267" t="s">
        <v>816</v>
      </c>
      <c r="C26" s="264"/>
      <c r="D26" s="284"/>
      <c r="E26" s="284"/>
      <c r="F26" s="284"/>
      <c r="G26" s="284"/>
      <c r="H26" s="284"/>
      <c r="I26" s="284"/>
      <c r="J26" s="284"/>
      <c r="K26" s="284"/>
      <c r="L26" s="284"/>
      <c r="M26" s="284"/>
      <c r="N26" s="284"/>
      <c r="O26" s="284"/>
      <c r="P26" s="284"/>
      <c r="Q26" s="284"/>
      <c r="R26" s="323"/>
      <c r="S26" s="323"/>
      <c r="T26" s="284"/>
      <c r="U26" s="284"/>
      <c r="V26" s="284"/>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c r="AX26" s="284"/>
      <c r="AY26" s="284"/>
      <c r="AZ26" s="284"/>
      <c r="BA26" s="284"/>
      <c r="BB26" s="284"/>
      <c r="BC26" s="284"/>
      <c r="BD26" s="284"/>
      <c r="BE26" s="284"/>
      <c r="BF26" s="284"/>
      <c r="BG26" s="284"/>
      <c r="BH26" s="284"/>
      <c r="BI26" s="284"/>
      <c r="BJ26" s="284"/>
      <c r="BK26" s="284"/>
      <c r="BL26" s="284"/>
      <c r="BM26" s="284"/>
      <c r="BN26" s="284"/>
      <c r="BO26" s="284"/>
      <c r="BP26" s="296"/>
      <c r="BQ26" s="296"/>
      <c r="BR26" s="296"/>
      <c r="BS26" s="296"/>
      <c r="BT26" s="296"/>
      <c r="BU26" s="296"/>
      <c r="BV26" s="296"/>
      <c r="BW26" s="296"/>
      <c r="BX26" s="286">
        <f>+'1.a sz. Önkormányzat  '!ID26+'1.b sz. Önkormányzat  '!CH26</f>
        <v>0</v>
      </c>
      <c r="BY26" s="286">
        <f>+'1.a sz. Önkormányzat  '!IE26+'1.b sz. Önkormányzat  '!CI26</f>
        <v>0</v>
      </c>
      <c r="BZ26" s="286">
        <f>+'1.a sz. Önkormányzat  '!IF26+'1.b sz. Önkormányzat  '!CJ26</f>
        <v>0</v>
      </c>
      <c r="CA26" s="286">
        <f>+'1.a sz. Önkormányzat  '!IG26+'1.b sz. Önkormányzat  '!CK26</f>
        <v>0</v>
      </c>
      <c r="CB26" s="286">
        <f t="shared" si="0"/>
        <v>0</v>
      </c>
      <c r="CC26" s="286">
        <v>0</v>
      </c>
      <c r="CD26" s="286">
        <f t="shared" si="5"/>
        <v>0</v>
      </c>
      <c r="CE26" s="286">
        <f t="shared" si="6"/>
        <v>0</v>
      </c>
      <c r="CF26" s="286">
        <f>+'1.a sz. Önkormányzat  '!HD26+'1.a sz. Önkormányzat  '!HX26</f>
        <v>0</v>
      </c>
      <c r="CG26" s="286">
        <f>+'1.a sz. Önkormányzat  '!HE26+'1.a sz. Önkormányzat  '!HY26</f>
        <v>0</v>
      </c>
      <c r="CH26" s="257">
        <f t="shared" si="1"/>
        <v>0</v>
      </c>
      <c r="CI26" s="257">
        <f t="shared" si="2"/>
        <v>0</v>
      </c>
      <c r="CJ26" s="258">
        <f t="shared" si="3"/>
        <v>0</v>
      </c>
      <c r="CK26" s="258">
        <f t="shared" si="4"/>
        <v>0</v>
      </c>
    </row>
    <row r="27" spans="1:89" s="260" customFormat="1" ht="21.75" customHeight="1" x14ac:dyDescent="0.25">
      <c r="A27" s="253" t="s">
        <v>233</v>
      </c>
      <c r="B27" s="269" t="s">
        <v>32</v>
      </c>
      <c r="C27" s="255"/>
      <c r="D27" s="274">
        <f t="shared" ref="D27:AI27" si="19">+D8+D9+D10+D11+D13+D14+D22+D23+D15+D26</f>
        <v>18000000</v>
      </c>
      <c r="E27" s="274">
        <f t="shared" si="19"/>
        <v>17100000</v>
      </c>
      <c r="F27" s="274">
        <f t="shared" si="19"/>
        <v>1500000</v>
      </c>
      <c r="G27" s="274">
        <f t="shared" si="19"/>
        <v>1500000</v>
      </c>
      <c r="H27" s="274">
        <f t="shared" si="19"/>
        <v>2300000</v>
      </c>
      <c r="I27" s="274">
        <f t="shared" si="19"/>
        <v>2300000</v>
      </c>
      <c r="J27" s="274">
        <f t="shared" si="19"/>
        <v>2000000</v>
      </c>
      <c r="K27" s="274">
        <f t="shared" si="19"/>
        <v>2000000</v>
      </c>
      <c r="L27" s="274">
        <f t="shared" si="19"/>
        <v>3000000</v>
      </c>
      <c r="M27" s="274">
        <f t="shared" si="19"/>
        <v>3000000</v>
      </c>
      <c r="N27" s="274">
        <f t="shared" si="19"/>
        <v>4000000</v>
      </c>
      <c r="O27" s="274">
        <f t="shared" si="19"/>
        <v>6000000</v>
      </c>
      <c r="P27" s="274">
        <f t="shared" si="19"/>
        <v>500000</v>
      </c>
      <c r="Q27" s="274">
        <f t="shared" si="19"/>
        <v>500000</v>
      </c>
      <c r="R27" s="274">
        <f t="shared" si="19"/>
        <v>0</v>
      </c>
      <c r="S27" s="274">
        <f t="shared" si="19"/>
        <v>0</v>
      </c>
      <c r="T27" s="274">
        <f t="shared" si="19"/>
        <v>500000</v>
      </c>
      <c r="U27" s="274">
        <f t="shared" si="19"/>
        <v>500000</v>
      </c>
      <c r="V27" s="274">
        <f t="shared" si="19"/>
        <v>200000</v>
      </c>
      <c r="W27" s="274">
        <f t="shared" si="19"/>
        <v>200000</v>
      </c>
      <c r="X27" s="274">
        <f t="shared" si="19"/>
        <v>7000000</v>
      </c>
      <c r="Y27" s="274">
        <f t="shared" si="19"/>
        <v>5000000</v>
      </c>
      <c r="Z27" s="274">
        <f t="shared" si="19"/>
        <v>7000000</v>
      </c>
      <c r="AA27" s="274">
        <f t="shared" si="19"/>
        <v>7900000</v>
      </c>
      <c r="AB27" s="274">
        <f t="shared" si="19"/>
        <v>0</v>
      </c>
      <c r="AC27" s="274">
        <f t="shared" si="19"/>
        <v>0</v>
      </c>
      <c r="AD27" s="274">
        <f t="shared" si="19"/>
        <v>0</v>
      </c>
      <c r="AE27" s="274">
        <f t="shared" si="19"/>
        <v>0</v>
      </c>
      <c r="AF27" s="274">
        <f t="shared" si="19"/>
        <v>0</v>
      </c>
      <c r="AG27" s="274">
        <f t="shared" si="19"/>
        <v>150000</v>
      </c>
      <c r="AH27" s="274">
        <f t="shared" si="19"/>
        <v>12000000</v>
      </c>
      <c r="AI27" s="274">
        <f t="shared" si="19"/>
        <v>12000000</v>
      </c>
      <c r="AJ27" s="274">
        <f t="shared" ref="AJ27:BG27" si="20">+AJ8+AJ9+AJ10+AJ11+AJ13+AJ14+AJ22+AJ23+AJ15+AJ26</f>
        <v>88000000</v>
      </c>
      <c r="AK27" s="274">
        <f t="shared" si="20"/>
        <v>108000000</v>
      </c>
      <c r="AL27" s="274">
        <f t="shared" si="20"/>
        <v>3000000</v>
      </c>
      <c r="AM27" s="274">
        <f t="shared" si="20"/>
        <v>5885000</v>
      </c>
      <c r="AN27" s="274">
        <f t="shared" si="20"/>
        <v>0</v>
      </c>
      <c r="AO27" s="274">
        <f t="shared" si="20"/>
        <v>5645505</v>
      </c>
      <c r="AP27" s="274">
        <f t="shared" si="20"/>
        <v>0</v>
      </c>
      <c r="AQ27" s="274">
        <f t="shared" si="20"/>
        <v>0</v>
      </c>
      <c r="AR27" s="274">
        <f t="shared" si="20"/>
        <v>3940000</v>
      </c>
      <c r="AS27" s="274">
        <f t="shared" si="20"/>
        <v>16206000</v>
      </c>
      <c r="AT27" s="274">
        <f t="shared" si="20"/>
        <v>0</v>
      </c>
      <c r="AU27" s="274">
        <f t="shared" si="20"/>
        <v>2070000</v>
      </c>
      <c r="AV27" s="274">
        <f t="shared" si="20"/>
        <v>3080000</v>
      </c>
      <c r="AW27" s="274">
        <f t="shared" si="20"/>
        <v>4100000</v>
      </c>
      <c r="AX27" s="274">
        <f t="shared" si="20"/>
        <v>0</v>
      </c>
      <c r="AY27" s="274">
        <f t="shared" si="20"/>
        <v>0</v>
      </c>
      <c r="AZ27" s="274">
        <f t="shared" si="20"/>
        <v>165875188</v>
      </c>
      <c r="BA27" s="274">
        <f t="shared" si="20"/>
        <v>172510188</v>
      </c>
      <c r="BB27" s="274">
        <f t="shared" si="20"/>
        <v>4000000</v>
      </c>
      <c r="BC27" s="274">
        <f t="shared" si="20"/>
        <v>4000000</v>
      </c>
      <c r="BD27" s="274">
        <f t="shared" si="20"/>
        <v>26600000</v>
      </c>
      <c r="BE27" s="274">
        <f t="shared" si="20"/>
        <v>26600000</v>
      </c>
      <c r="BF27" s="274">
        <f t="shared" si="20"/>
        <v>53021553</v>
      </c>
      <c r="BG27" s="274">
        <f t="shared" si="20"/>
        <v>53021553</v>
      </c>
      <c r="BH27" s="274">
        <f>+BH8+BH9+BH10+BH11+BH13+BH14+BH22+BH23+BH15+BH26</f>
        <v>32556000</v>
      </c>
      <c r="BI27" s="274">
        <f>+BI8+BI9+BI10+BI11+BI13+BI14+BI22+BI23+BI15+BI26</f>
        <v>32556000</v>
      </c>
      <c r="BJ27" s="274">
        <f t="shared" ref="BJ27:BR27" si="21">+BJ8+BJ9+BJ10+BJ11+BJ13+BJ14+BJ22+BJ23+BJ15+BJ26</f>
        <v>0</v>
      </c>
      <c r="BK27" s="274">
        <f>+BK8+BK9+BK10+BK11+BK13+BK14+BK22+BK23+BK15+BK26</f>
        <v>1150000</v>
      </c>
      <c r="BL27" s="274">
        <f>+BL8+BL9+BL10+BL11+BL13+BL14+BL22+BL23+BL15+BL26</f>
        <v>7850000</v>
      </c>
      <c r="BM27" s="274">
        <f>+BM8+BM9+BM10+BM11+BM13+BM14+BM22+BM23+BM15+BM26</f>
        <v>12490000</v>
      </c>
      <c r="BN27" s="274">
        <f t="shared" si="21"/>
        <v>80000000</v>
      </c>
      <c r="BO27" s="274">
        <f>+BO8+BO9+BO10+BO11+BO13+BO14+BO22+BO23+BO15+BO26</f>
        <v>80000000</v>
      </c>
      <c r="BP27" s="274">
        <f t="shared" si="21"/>
        <v>0</v>
      </c>
      <c r="BQ27" s="274">
        <f>+BQ8+BQ9+BQ10+BQ11+BQ13+BQ14+BQ22+BQ23+BQ15+BQ26</f>
        <v>0</v>
      </c>
      <c r="BR27" s="274">
        <f t="shared" si="21"/>
        <v>72036518</v>
      </c>
      <c r="BS27" s="274">
        <f>+BS8+BS9+BS10+BS11+BS13+BS14+BS22+BS23+BS15+BS26</f>
        <v>389979414</v>
      </c>
      <c r="BT27" s="274">
        <f>+BT8+BT9+BT10+BT11+BT13+BT14+BT22+BT23+BT15+BT26</f>
        <v>0</v>
      </c>
      <c r="BU27" s="274">
        <f>+BU8+BU9+BU10+BU11+BU13+BU14+BU22+BU23+BU15+BU26</f>
        <v>0</v>
      </c>
      <c r="BV27" s="274">
        <f t="shared" ref="BV27:BW27" si="22">+BV8+BV9+BV10+BV11+BV13+BV14+BV22+BV23+BV15+BV26</f>
        <v>0</v>
      </c>
      <c r="BW27" s="274">
        <f t="shared" si="22"/>
        <v>2500000</v>
      </c>
      <c r="BX27" s="285">
        <f>+'1.a sz. Önkormányzat  '!ID27+'1.b sz. Önkormányzat  '!CH27</f>
        <v>8463299093</v>
      </c>
      <c r="BY27" s="285">
        <f>+'1.a sz. Önkormányzat  '!IE27+'1.b sz. Önkormányzat  '!CI27</f>
        <v>11075172491</v>
      </c>
      <c r="BZ27" s="285">
        <f>+'1.a sz. Önkormányzat  '!IF27+'1.b sz. Önkormányzat  '!CJ27</f>
        <v>651980060</v>
      </c>
      <c r="CA27" s="285">
        <f>+'1.a sz. Önkormányzat  '!IG27+'1.b sz. Önkormányzat  '!CK27</f>
        <v>861288599</v>
      </c>
      <c r="CB27" s="285">
        <f t="shared" si="0"/>
        <v>0</v>
      </c>
      <c r="CC27" s="285">
        <v>0</v>
      </c>
      <c r="CD27" s="285">
        <f t="shared" si="5"/>
        <v>9115279153</v>
      </c>
      <c r="CE27" s="285">
        <f t="shared" si="6"/>
        <v>11936461090</v>
      </c>
      <c r="CF27" s="286">
        <f>+CF22+CF23+CF26+CF8+CF9+CF10+CF11+CF12</f>
        <v>34976162</v>
      </c>
      <c r="CG27" s="286">
        <f>+CG22+CG23+CG26+CG8+CG9+CG10+CG11+CG12</f>
        <v>79714712</v>
      </c>
      <c r="CH27" s="257">
        <f t="shared" si="1"/>
        <v>316467706</v>
      </c>
      <c r="CI27" s="257">
        <f t="shared" si="2"/>
        <v>641045602</v>
      </c>
      <c r="CJ27" s="258">
        <f t="shared" si="3"/>
        <v>281491553</v>
      </c>
      <c r="CK27" s="258">
        <f t="shared" si="4"/>
        <v>333818058</v>
      </c>
    </row>
    <row r="28" spans="1:89" s="260" customFormat="1" ht="21.75" customHeight="1" x14ac:dyDescent="0.25">
      <c r="A28" s="253" t="s">
        <v>260</v>
      </c>
      <c r="B28" s="269" t="s">
        <v>33</v>
      </c>
      <c r="C28" s="255"/>
      <c r="D28" s="274">
        <f t="shared" ref="D28:AI28" si="23">+D16+D17+D18+D24+D25</f>
        <v>0</v>
      </c>
      <c r="E28" s="274">
        <f t="shared" si="23"/>
        <v>0</v>
      </c>
      <c r="F28" s="274">
        <f t="shared" si="23"/>
        <v>0</v>
      </c>
      <c r="G28" s="274">
        <f t="shared" si="23"/>
        <v>0</v>
      </c>
      <c r="H28" s="274">
        <f t="shared" si="23"/>
        <v>0</v>
      </c>
      <c r="I28" s="274">
        <f t="shared" si="23"/>
        <v>0</v>
      </c>
      <c r="J28" s="274">
        <f t="shared" si="23"/>
        <v>0</v>
      </c>
      <c r="K28" s="274">
        <f t="shared" si="23"/>
        <v>0</v>
      </c>
      <c r="L28" s="274">
        <f t="shared" si="23"/>
        <v>0</v>
      </c>
      <c r="M28" s="274">
        <f t="shared" si="23"/>
        <v>0</v>
      </c>
      <c r="N28" s="274">
        <f t="shared" si="23"/>
        <v>0</v>
      </c>
      <c r="O28" s="274">
        <f t="shared" si="23"/>
        <v>0</v>
      </c>
      <c r="P28" s="274">
        <f t="shared" si="23"/>
        <v>0</v>
      </c>
      <c r="Q28" s="274">
        <f t="shared" si="23"/>
        <v>0</v>
      </c>
      <c r="R28" s="274">
        <f t="shared" si="23"/>
        <v>0</v>
      </c>
      <c r="S28" s="274">
        <f t="shared" si="23"/>
        <v>0</v>
      </c>
      <c r="T28" s="274">
        <f t="shared" si="23"/>
        <v>0</v>
      </c>
      <c r="U28" s="274">
        <f t="shared" si="23"/>
        <v>0</v>
      </c>
      <c r="V28" s="274">
        <f t="shared" si="23"/>
        <v>0</v>
      </c>
      <c r="W28" s="274">
        <f t="shared" si="23"/>
        <v>0</v>
      </c>
      <c r="X28" s="274">
        <f t="shared" si="23"/>
        <v>0</v>
      </c>
      <c r="Y28" s="274">
        <f t="shared" si="23"/>
        <v>0</v>
      </c>
      <c r="Z28" s="274">
        <f t="shared" si="23"/>
        <v>0</v>
      </c>
      <c r="AA28" s="274">
        <f t="shared" si="23"/>
        <v>0</v>
      </c>
      <c r="AB28" s="274">
        <f t="shared" si="23"/>
        <v>4000000</v>
      </c>
      <c r="AC28" s="274">
        <f t="shared" si="23"/>
        <v>4000000</v>
      </c>
      <c r="AD28" s="274">
        <f t="shared" si="23"/>
        <v>4000000</v>
      </c>
      <c r="AE28" s="274">
        <f t="shared" si="23"/>
        <v>4000000</v>
      </c>
      <c r="AF28" s="274">
        <f t="shared" si="23"/>
        <v>0</v>
      </c>
      <c r="AG28" s="274">
        <f t="shared" si="23"/>
        <v>0</v>
      </c>
      <c r="AH28" s="274">
        <f t="shared" si="23"/>
        <v>0</v>
      </c>
      <c r="AI28" s="274">
        <f t="shared" si="23"/>
        <v>0</v>
      </c>
      <c r="AJ28" s="274">
        <f t="shared" ref="AJ28:BG28" si="24">+AJ16+AJ17+AJ18+AJ24+AJ25</f>
        <v>0</v>
      </c>
      <c r="AK28" s="274">
        <f t="shared" si="24"/>
        <v>0</v>
      </c>
      <c r="AL28" s="274">
        <f t="shared" si="24"/>
        <v>6000000</v>
      </c>
      <c r="AM28" s="274">
        <f t="shared" si="24"/>
        <v>8254000</v>
      </c>
      <c r="AN28" s="274">
        <f t="shared" si="24"/>
        <v>0</v>
      </c>
      <c r="AO28" s="274">
        <f t="shared" si="24"/>
        <v>254495</v>
      </c>
      <c r="AP28" s="274">
        <f t="shared" si="24"/>
        <v>0</v>
      </c>
      <c r="AQ28" s="274">
        <f t="shared" si="24"/>
        <v>0</v>
      </c>
      <c r="AR28" s="274">
        <f t="shared" si="24"/>
        <v>0</v>
      </c>
      <c r="AS28" s="274">
        <f t="shared" si="24"/>
        <v>0</v>
      </c>
      <c r="AT28" s="274">
        <f t="shared" si="24"/>
        <v>0</v>
      </c>
      <c r="AU28" s="274">
        <f t="shared" si="24"/>
        <v>0</v>
      </c>
      <c r="AV28" s="274">
        <f t="shared" si="24"/>
        <v>1320000</v>
      </c>
      <c r="AW28" s="274">
        <f t="shared" si="24"/>
        <v>300000</v>
      </c>
      <c r="AX28" s="274">
        <f t="shared" si="24"/>
        <v>0</v>
      </c>
      <c r="AY28" s="274">
        <f t="shared" si="24"/>
        <v>0</v>
      </c>
      <c r="AZ28" s="274">
        <f t="shared" si="24"/>
        <v>0</v>
      </c>
      <c r="BA28" s="274">
        <f t="shared" si="24"/>
        <v>0</v>
      </c>
      <c r="BB28" s="274">
        <f t="shared" si="24"/>
        <v>0</v>
      </c>
      <c r="BC28" s="274">
        <f t="shared" si="24"/>
        <v>0</v>
      </c>
      <c r="BD28" s="274">
        <f t="shared" si="24"/>
        <v>0</v>
      </c>
      <c r="BE28" s="274">
        <f t="shared" si="24"/>
        <v>0</v>
      </c>
      <c r="BF28" s="274">
        <f t="shared" si="24"/>
        <v>0</v>
      </c>
      <c r="BG28" s="274">
        <f t="shared" si="24"/>
        <v>0</v>
      </c>
      <c r="BH28" s="274">
        <f>+BH16+BH17+BH18+BH24+BH25</f>
        <v>0</v>
      </c>
      <c r="BI28" s="274">
        <f>+BI16+BI17+BI18+BI24+BI25</f>
        <v>0</v>
      </c>
      <c r="BJ28" s="274">
        <f t="shared" ref="BJ28:BT28" si="25">+BJ16+BJ17+BJ18+BJ24+BJ25</f>
        <v>0</v>
      </c>
      <c r="BK28" s="274">
        <f>+BK16+BK17+BK18+BK24+BK25</f>
        <v>0</v>
      </c>
      <c r="BL28" s="274">
        <f>+BL16+BL17+BL18+BL24+BL25</f>
        <v>1500000</v>
      </c>
      <c r="BM28" s="274">
        <f>+BM16+BM17+BM18+BM24+BM25</f>
        <v>9700000</v>
      </c>
      <c r="BN28" s="274">
        <f t="shared" si="25"/>
        <v>28182624</v>
      </c>
      <c r="BO28" s="274">
        <f>+BO16+BO17+BO18+BO24+BO25</f>
        <v>28182624</v>
      </c>
      <c r="BP28" s="274">
        <f t="shared" si="25"/>
        <v>0</v>
      </c>
      <c r="BQ28" s="274">
        <f>+BQ16+BQ17+BQ18+BQ24+BQ25</f>
        <v>0</v>
      </c>
      <c r="BR28" s="274">
        <f t="shared" si="25"/>
        <v>0</v>
      </c>
      <c r="BS28" s="274">
        <f>+BS16+BS17+BS18+BS24+BS25</f>
        <v>0</v>
      </c>
      <c r="BT28" s="274">
        <f t="shared" si="25"/>
        <v>0</v>
      </c>
      <c r="BU28" s="274">
        <f>+BU16+BU17+BU18+BU24+BU25</f>
        <v>0</v>
      </c>
      <c r="BV28" s="274">
        <f t="shared" ref="BV28:BW28" si="26">+BV16+BV17+BV18+BV24+BV25</f>
        <v>0</v>
      </c>
      <c r="BW28" s="274">
        <f t="shared" si="26"/>
        <v>0</v>
      </c>
      <c r="BX28" s="285">
        <f>+'1.a sz. Önkormányzat  '!ID28+'1.b sz. Önkormányzat  '!CH28</f>
        <v>1598557059</v>
      </c>
      <c r="BY28" s="285">
        <f>+'1.a sz. Önkormányzat  '!IE28+'1.b sz. Önkormányzat  '!CI28</f>
        <v>2236657454</v>
      </c>
      <c r="BZ28" s="285">
        <f>+'1.a sz. Önkormányzat  '!IF28+'1.b sz. Önkormányzat  '!CJ28</f>
        <v>181626974</v>
      </c>
      <c r="CA28" s="285">
        <f>+'1.a sz. Önkormányzat  '!IG28+'1.b sz. Önkormányzat  '!CK28</f>
        <v>520525993</v>
      </c>
      <c r="CB28" s="285">
        <f t="shared" si="0"/>
        <v>0</v>
      </c>
      <c r="CC28" s="285">
        <v>0</v>
      </c>
      <c r="CD28" s="285">
        <f t="shared" si="5"/>
        <v>1780184033</v>
      </c>
      <c r="CE28" s="285">
        <f t="shared" si="6"/>
        <v>2757183447</v>
      </c>
      <c r="CF28" s="286">
        <f>+CF16+CF17+CF24+CF25</f>
        <v>50000000</v>
      </c>
      <c r="CG28" s="286">
        <f>+CG16+CG17+CG24+CG25</f>
        <v>365921397</v>
      </c>
      <c r="CH28" s="257">
        <f t="shared" si="1"/>
        <v>0</v>
      </c>
      <c r="CI28" s="257">
        <f t="shared" si="2"/>
        <v>0</v>
      </c>
      <c r="CJ28" s="258">
        <f t="shared" si="3"/>
        <v>45002624</v>
      </c>
      <c r="CK28" s="258">
        <f t="shared" si="4"/>
        <v>54691119</v>
      </c>
    </row>
    <row r="29" spans="1:89" s="260" customFormat="1" ht="21.75" customHeight="1" x14ac:dyDescent="0.25">
      <c r="A29" s="253" t="s">
        <v>261</v>
      </c>
      <c r="B29" s="269" t="s">
        <v>327</v>
      </c>
      <c r="C29" s="255" t="s">
        <v>31</v>
      </c>
      <c r="D29" s="274">
        <f t="shared" ref="D29:AI29" si="27">+D27+D28</f>
        <v>18000000</v>
      </c>
      <c r="E29" s="274">
        <f t="shared" si="27"/>
        <v>17100000</v>
      </c>
      <c r="F29" s="274">
        <f t="shared" si="27"/>
        <v>1500000</v>
      </c>
      <c r="G29" s="274">
        <f t="shared" si="27"/>
        <v>1500000</v>
      </c>
      <c r="H29" s="274">
        <f t="shared" si="27"/>
        <v>2300000</v>
      </c>
      <c r="I29" s="274">
        <f t="shared" si="27"/>
        <v>2300000</v>
      </c>
      <c r="J29" s="274">
        <f t="shared" si="27"/>
        <v>2000000</v>
      </c>
      <c r="K29" s="274">
        <f t="shared" si="27"/>
        <v>2000000</v>
      </c>
      <c r="L29" s="274">
        <f t="shared" si="27"/>
        <v>3000000</v>
      </c>
      <c r="M29" s="274">
        <f t="shared" si="27"/>
        <v>3000000</v>
      </c>
      <c r="N29" s="274">
        <f t="shared" si="27"/>
        <v>4000000</v>
      </c>
      <c r="O29" s="274">
        <f t="shared" si="27"/>
        <v>6000000</v>
      </c>
      <c r="P29" s="274">
        <f t="shared" si="27"/>
        <v>500000</v>
      </c>
      <c r="Q29" s="274">
        <f t="shared" si="27"/>
        <v>500000</v>
      </c>
      <c r="R29" s="274">
        <f t="shared" si="27"/>
        <v>0</v>
      </c>
      <c r="S29" s="274">
        <f t="shared" si="27"/>
        <v>0</v>
      </c>
      <c r="T29" s="274">
        <f t="shared" si="27"/>
        <v>500000</v>
      </c>
      <c r="U29" s="274">
        <f t="shared" si="27"/>
        <v>500000</v>
      </c>
      <c r="V29" s="274">
        <f t="shared" si="27"/>
        <v>200000</v>
      </c>
      <c r="W29" s="274">
        <f t="shared" si="27"/>
        <v>200000</v>
      </c>
      <c r="X29" s="274">
        <f t="shared" si="27"/>
        <v>7000000</v>
      </c>
      <c r="Y29" s="274">
        <f t="shared" si="27"/>
        <v>5000000</v>
      </c>
      <c r="Z29" s="274">
        <f t="shared" si="27"/>
        <v>7000000</v>
      </c>
      <c r="AA29" s="274">
        <f t="shared" si="27"/>
        <v>7900000</v>
      </c>
      <c r="AB29" s="274">
        <f t="shared" si="27"/>
        <v>4000000</v>
      </c>
      <c r="AC29" s="274">
        <f t="shared" si="27"/>
        <v>4000000</v>
      </c>
      <c r="AD29" s="274">
        <f t="shared" si="27"/>
        <v>4000000</v>
      </c>
      <c r="AE29" s="274">
        <f t="shared" si="27"/>
        <v>4000000</v>
      </c>
      <c r="AF29" s="274">
        <f t="shared" si="27"/>
        <v>0</v>
      </c>
      <c r="AG29" s="274">
        <f t="shared" si="27"/>
        <v>150000</v>
      </c>
      <c r="AH29" s="274">
        <f t="shared" si="27"/>
        <v>12000000</v>
      </c>
      <c r="AI29" s="274">
        <f t="shared" si="27"/>
        <v>12000000</v>
      </c>
      <c r="AJ29" s="274">
        <f t="shared" ref="AJ29:BG29" si="28">+AJ27+AJ28</f>
        <v>88000000</v>
      </c>
      <c r="AK29" s="274">
        <f t="shared" si="28"/>
        <v>108000000</v>
      </c>
      <c r="AL29" s="274">
        <f t="shared" si="28"/>
        <v>9000000</v>
      </c>
      <c r="AM29" s="274">
        <f t="shared" si="28"/>
        <v>14139000</v>
      </c>
      <c r="AN29" s="274">
        <f t="shared" si="28"/>
        <v>0</v>
      </c>
      <c r="AO29" s="274">
        <f t="shared" si="28"/>
        <v>5900000</v>
      </c>
      <c r="AP29" s="274">
        <f t="shared" si="28"/>
        <v>0</v>
      </c>
      <c r="AQ29" s="274">
        <f t="shared" si="28"/>
        <v>0</v>
      </c>
      <c r="AR29" s="274">
        <f t="shared" si="28"/>
        <v>3940000</v>
      </c>
      <c r="AS29" s="274">
        <f t="shared" si="28"/>
        <v>16206000</v>
      </c>
      <c r="AT29" s="274">
        <f t="shared" si="28"/>
        <v>0</v>
      </c>
      <c r="AU29" s="274">
        <f t="shared" si="28"/>
        <v>2070000</v>
      </c>
      <c r="AV29" s="274">
        <f t="shared" si="28"/>
        <v>4400000</v>
      </c>
      <c r="AW29" s="274">
        <f t="shared" si="28"/>
        <v>4400000</v>
      </c>
      <c r="AX29" s="274">
        <f t="shared" si="28"/>
        <v>0</v>
      </c>
      <c r="AY29" s="274">
        <f t="shared" si="28"/>
        <v>0</v>
      </c>
      <c r="AZ29" s="274">
        <f t="shared" si="28"/>
        <v>165875188</v>
      </c>
      <c r="BA29" s="274">
        <f t="shared" si="28"/>
        <v>172510188</v>
      </c>
      <c r="BB29" s="274">
        <f t="shared" si="28"/>
        <v>4000000</v>
      </c>
      <c r="BC29" s="274">
        <f t="shared" si="28"/>
        <v>4000000</v>
      </c>
      <c r="BD29" s="274">
        <f t="shared" si="28"/>
        <v>26600000</v>
      </c>
      <c r="BE29" s="274">
        <f t="shared" si="28"/>
        <v>26600000</v>
      </c>
      <c r="BF29" s="274">
        <f t="shared" si="28"/>
        <v>53021553</v>
      </c>
      <c r="BG29" s="274">
        <f t="shared" si="28"/>
        <v>53021553</v>
      </c>
      <c r="BH29" s="274">
        <f t="shared" ref="BH29:BT29" si="29">+BH27+BH28</f>
        <v>32556000</v>
      </c>
      <c r="BI29" s="274">
        <f>+BI27+BI28</f>
        <v>32556000</v>
      </c>
      <c r="BJ29" s="274">
        <f t="shared" si="29"/>
        <v>0</v>
      </c>
      <c r="BK29" s="274">
        <f>+BK27+BK28</f>
        <v>1150000</v>
      </c>
      <c r="BL29" s="274">
        <f>+BL27+BL28</f>
        <v>9350000</v>
      </c>
      <c r="BM29" s="274">
        <f>+BM27+BM28</f>
        <v>22190000</v>
      </c>
      <c r="BN29" s="274">
        <f t="shared" si="29"/>
        <v>108182624</v>
      </c>
      <c r="BO29" s="274">
        <f>+BO27+BO28</f>
        <v>108182624</v>
      </c>
      <c r="BP29" s="274">
        <f t="shared" si="29"/>
        <v>0</v>
      </c>
      <c r="BQ29" s="274">
        <f>+BQ27+BQ28</f>
        <v>0</v>
      </c>
      <c r="BR29" s="274">
        <f t="shared" si="29"/>
        <v>72036518</v>
      </c>
      <c r="BS29" s="274">
        <f>+BS27+BS28</f>
        <v>389979414</v>
      </c>
      <c r="BT29" s="274">
        <f t="shared" si="29"/>
        <v>0</v>
      </c>
      <c r="BU29" s="274">
        <f>+BU27+BU28</f>
        <v>0</v>
      </c>
      <c r="BV29" s="274">
        <f t="shared" ref="BV29:BW29" si="30">+BV27+BV28</f>
        <v>0</v>
      </c>
      <c r="BW29" s="274">
        <f t="shared" si="30"/>
        <v>2500000</v>
      </c>
      <c r="BX29" s="285">
        <f>+'1.a sz. Önkormányzat  '!ID29+'1.b sz. Önkormányzat  '!CH29</f>
        <v>10061856152</v>
      </c>
      <c r="BY29" s="285">
        <f>+'1.a sz. Önkormányzat  '!IE29+'1.b sz. Önkormányzat  '!CI29</f>
        <v>13311829945</v>
      </c>
      <c r="BZ29" s="285">
        <f>+'1.a sz. Önkormányzat  '!IF29+'1.b sz. Önkormányzat  '!CJ29</f>
        <v>833607034</v>
      </c>
      <c r="CA29" s="285">
        <f>+'1.a sz. Önkormányzat  '!IG29+'1.b sz. Önkormányzat  '!CK29</f>
        <v>1381814592</v>
      </c>
      <c r="CB29" s="285">
        <f t="shared" si="0"/>
        <v>0</v>
      </c>
      <c r="CC29" s="285">
        <v>0</v>
      </c>
      <c r="CD29" s="285">
        <f t="shared" si="5"/>
        <v>10895463186</v>
      </c>
      <c r="CE29" s="285">
        <f t="shared" si="6"/>
        <v>14693644537</v>
      </c>
      <c r="CF29" s="286">
        <f>+CF27+CF28</f>
        <v>84976162</v>
      </c>
      <c r="CG29" s="286">
        <f>+CG27+CG28</f>
        <v>445636109</v>
      </c>
      <c r="CH29" s="257">
        <f t="shared" si="1"/>
        <v>316467706</v>
      </c>
      <c r="CI29" s="257">
        <f t="shared" si="2"/>
        <v>641045602</v>
      </c>
      <c r="CJ29" s="258">
        <f t="shared" si="3"/>
        <v>326494177</v>
      </c>
      <c r="CK29" s="258">
        <f t="shared" si="4"/>
        <v>388509177</v>
      </c>
    </row>
    <row r="30" spans="1:89" ht="21.75" customHeight="1" x14ac:dyDescent="0.25">
      <c r="A30" s="253" t="s">
        <v>262</v>
      </c>
      <c r="B30" s="259" t="s">
        <v>52</v>
      </c>
      <c r="C30" s="266" t="s">
        <v>209</v>
      </c>
      <c r="D30" s="286"/>
      <c r="E30" s="286"/>
      <c r="F30" s="286"/>
      <c r="G30" s="286"/>
      <c r="H30" s="286"/>
      <c r="I30" s="286"/>
      <c r="J30" s="286"/>
      <c r="K30" s="286"/>
      <c r="L30" s="286"/>
      <c r="M30" s="286"/>
      <c r="N30" s="286"/>
      <c r="O30" s="286"/>
      <c r="P30" s="286"/>
      <c r="Q30" s="286"/>
      <c r="R30" s="256"/>
      <c r="S30" s="256"/>
      <c r="T30" s="286"/>
      <c r="U30" s="286"/>
      <c r="V30" s="286"/>
      <c r="W30" s="286"/>
      <c r="X30" s="286"/>
      <c r="Y30" s="286"/>
      <c r="Z30" s="286"/>
      <c r="AA30" s="286"/>
      <c r="AB30" s="297"/>
      <c r="AC30" s="297"/>
      <c r="AD30" s="297"/>
      <c r="AE30" s="297"/>
      <c r="AF30" s="297"/>
      <c r="AG30" s="297"/>
      <c r="AH30" s="297"/>
      <c r="AI30" s="297"/>
      <c r="AJ30" s="297"/>
      <c r="AK30" s="297"/>
      <c r="AL30" s="297"/>
      <c r="AM30" s="297"/>
      <c r="AN30" s="297"/>
      <c r="AO30" s="297"/>
      <c r="AP30" s="297"/>
      <c r="AQ30" s="297"/>
      <c r="AR30" s="297"/>
      <c r="AS30" s="297"/>
      <c r="AT30" s="297"/>
      <c r="AU30" s="297"/>
      <c r="AV30" s="297"/>
      <c r="AW30" s="297"/>
      <c r="AX30" s="286"/>
      <c r="AY30" s="286"/>
      <c r="AZ30" s="286"/>
      <c r="BA30" s="286"/>
      <c r="BB30" s="286"/>
      <c r="BC30" s="286">
        <v>665000</v>
      </c>
      <c r="BD30" s="286"/>
      <c r="BE30" s="286"/>
      <c r="BF30" s="286"/>
      <c r="BG30" s="286"/>
      <c r="BH30" s="286">
        <f>+'[1]11.a.sz. Műk.célú tám.ÁHbelül'!G10</f>
        <v>2669208</v>
      </c>
      <c r="BI30" s="286">
        <f>+BH30</f>
        <v>2669208</v>
      </c>
      <c r="BJ30" s="286"/>
      <c r="BK30" s="286"/>
      <c r="BL30" s="286"/>
      <c r="BM30" s="286"/>
      <c r="BN30" s="286"/>
      <c r="BO30" s="286"/>
      <c r="BP30" s="286"/>
      <c r="BQ30" s="286"/>
      <c r="BR30" s="286">
        <f>+'[1]11.a.sz. Műk.célú tám.ÁHbelül'!E8</f>
        <v>2044595416</v>
      </c>
      <c r="BS30" s="286">
        <f>+BR30+2341175+2438905+15049440+97847411+29820208+10031736+1481000+2415415+2453191+2410752+7749312+2428666+3071390+4972100-5605636+2497867+2525837+399000+2549064+2450535+162737290+2332695+20071637+2341140+346731+2618056+883830+10886810-57411809</f>
        <v>2378729164</v>
      </c>
      <c r="BT30" s="286"/>
      <c r="BU30" s="286"/>
      <c r="BV30" s="286"/>
      <c r="BW30" s="286"/>
      <c r="BX30" s="286">
        <f>+'1.a sz. Önkormányzat  '!ID30+'1.b sz. Önkormányzat  '!CH30</f>
        <v>2047264624</v>
      </c>
      <c r="BY30" s="286">
        <f>+'1.a sz. Önkormányzat  '!IE30+'1.b sz. Önkormányzat  '!CI30</f>
        <v>2494871271</v>
      </c>
      <c r="BZ30" s="286">
        <f>+'1.a sz. Önkormányzat  '!IF30+'1.b sz. Önkormányzat  '!CJ30</f>
        <v>0</v>
      </c>
      <c r="CA30" s="286">
        <f>+'1.a sz. Önkormányzat  '!IG30+'1.b sz. Önkormányzat  '!CK30</f>
        <v>665000</v>
      </c>
      <c r="CB30" s="286">
        <f t="shared" si="0"/>
        <v>0</v>
      </c>
      <c r="CC30" s="286">
        <v>0</v>
      </c>
      <c r="CD30" s="286">
        <f t="shared" si="5"/>
        <v>2047264624</v>
      </c>
      <c r="CE30" s="286">
        <f t="shared" si="6"/>
        <v>2495536271</v>
      </c>
      <c r="CF30" s="286">
        <f>+'1.a sz. Önkormányzat  '!HD30+'1.a sz. Önkormányzat  '!HX30</f>
        <v>0</v>
      </c>
      <c r="CG30" s="286">
        <f>+'1.a sz. Önkormányzat  '!HE30+'1.a sz. Önkormányzat  '!HY30</f>
        <v>0</v>
      </c>
      <c r="CH30" s="257">
        <f t="shared" si="1"/>
        <v>2047264624</v>
      </c>
      <c r="CI30" s="257">
        <f t="shared" si="2"/>
        <v>2381398372</v>
      </c>
      <c r="CJ30" s="258">
        <f t="shared" si="3"/>
        <v>0</v>
      </c>
      <c r="CK30" s="258">
        <f t="shared" si="4"/>
        <v>665000</v>
      </c>
    </row>
    <row r="31" spans="1:89" ht="21.75" customHeight="1" x14ac:dyDescent="0.25">
      <c r="A31" s="253" t="s">
        <v>263</v>
      </c>
      <c r="B31" s="259" t="s">
        <v>220</v>
      </c>
      <c r="C31" s="266" t="s">
        <v>210</v>
      </c>
      <c r="D31" s="286"/>
      <c r="E31" s="286"/>
      <c r="F31" s="286"/>
      <c r="G31" s="286"/>
      <c r="H31" s="286"/>
      <c r="I31" s="286"/>
      <c r="J31" s="286"/>
      <c r="K31" s="286"/>
      <c r="L31" s="286"/>
      <c r="M31" s="286"/>
      <c r="N31" s="286"/>
      <c r="O31" s="286"/>
      <c r="P31" s="286"/>
      <c r="Q31" s="286"/>
      <c r="R31" s="256"/>
      <c r="S31" s="256"/>
      <c r="T31" s="286"/>
      <c r="U31" s="286"/>
      <c r="V31" s="286"/>
      <c r="W31" s="286"/>
      <c r="X31" s="286"/>
      <c r="Y31" s="286"/>
      <c r="Z31" s="286"/>
      <c r="AA31" s="286"/>
      <c r="AB31" s="297"/>
      <c r="AC31" s="297"/>
      <c r="AD31" s="297"/>
      <c r="AE31" s="297"/>
      <c r="AF31" s="297"/>
      <c r="AG31" s="297"/>
      <c r="AH31" s="297"/>
      <c r="AI31" s="297"/>
      <c r="AJ31" s="297"/>
      <c r="AK31" s="297"/>
      <c r="AL31" s="297"/>
      <c r="AM31" s="297"/>
      <c r="AN31" s="297"/>
      <c r="AO31" s="297"/>
      <c r="AP31" s="297"/>
      <c r="AQ31" s="297"/>
      <c r="AR31" s="297"/>
      <c r="AS31" s="297"/>
      <c r="AT31" s="297"/>
      <c r="AU31" s="297"/>
      <c r="AV31" s="297"/>
      <c r="AW31" s="297"/>
      <c r="AX31" s="286"/>
      <c r="AY31" s="286"/>
      <c r="AZ31" s="286"/>
      <c r="BA31" s="286"/>
      <c r="BB31" s="286"/>
      <c r="BC31" s="286"/>
      <c r="BD31" s="286"/>
      <c r="BE31" s="286"/>
      <c r="BF31" s="286"/>
      <c r="BG31" s="286"/>
      <c r="BH31" s="286"/>
      <c r="BI31" s="286"/>
      <c r="BJ31" s="286"/>
      <c r="BK31" s="286"/>
      <c r="BL31" s="286"/>
      <c r="BM31" s="286"/>
      <c r="BN31" s="286"/>
      <c r="BO31" s="286"/>
      <c r="BP31" s="286"/>
      <c r="BQ31" s="286"/>
      <c r="BR31" s="286"/>
      <c r="BS31" s="286"/>
      <c r="BT31" s="286"/>
      <c r="BU31" s="286"/>
      <c r="BV31" s="286"/>
      <c r="BW31" s="286"/>
      <c r="BX31" s="286">
        <f>+'1.a sz. Önkormányzat  '!ID31+'1.b sz. Önkormányzat  '!CH31</f>
        <v>0</v>
      </c>
      <c r="BY31" s="286">
        <f>+'1.a sz. Önkormányzat  '!IE31+'1.b sz. Önkormányzat  '!CI31</f>
        <v>54720000</v>
      </c>
      <c r="BZ31" s="286">
        <f>+'1.a sz. Önkormányzat  '!IF31+'1.b sz. Önkormányzat  '!CJ31</f>
        <v>0</v>
      </c>
      <c r="CA31" s="286">
        <f>+'1.a sz. Önkormányzat  '!IG31+'1.b sz. Önkormányzat  '!CK31</f>
        <v>314960630</v>
      </c>
      <c r="CB31" s="286">
        <f t="shared" si="0"/>
        <v>0</v>
      </c>
      <c r="CC31" s="286">
        <v>0</v>
      </c>
      <c r="CD31" s="286">
        <f t="shared" si="5"/>
        <v>0</v>
      </c>
      <c r="CE31" s="286">
        <f t="shared" si="6"/>
        <v>369680630</v>
      </c>
      <c r="CF31" s="286">
        <f>+'1.a sz. Önkormányzat  '!HD31+'1.a sz. Önkormányzat  '!HX31</f>
        <v>0</v>
      </c>
      <c r="CG31" s="286">
        <f>+'1.a sz. Önkormányzat  '!HE31+'1.a sz. Önkormányzat  '!HY31</f>
        <v>314960630</v>
      </c>
      <c r="CH31" s="257">
        <f t="shared" si="1"/>
        <v>0</v>
      </c>
      <c r="CI31" s="257">
        <f t="shared" si="2"/>
        <v>0</v>
      </c>
      <c r="CJ31" s="258">
        <f t="shared" si="3"/>
        <v>0</v>
      </c>
      <c r="CK31" s="258">
        <f t="shared" si="4"/>
        <v>0</v>
      </c>
    </row>
    <row r="32" spans="1:89" ht="21.75" customHeight="1" x14ac:dyDescent="0.25">
      <c r="A32" s="253" t="s">
        <v>264</v>
      </c>
      <c r="B32" s="259" t="s">
        <v>219</v>
      </c>
      <c r="C32" s="266" t="s">
        <v>211</v>
      </c>
      <c r="D32" s="286"/>
      <c r="E32" s="286"/>
      <c r="F32" s="286"/>
      <c r="G32" s="286"/>
      <c r="H32" s="286"/>
      <c r="I32" s="286"/>
      <c r="J32" s="286"/>
      <c r="K32" s="286"/>
      <c r="L32" s="286"/>
      <c r="M32" s="286"/>
      <c r="N32" s="286"/>
      <c r="O32" s="286"/>
      <c r="P32" s="286"/>
      <c r="Q32" s="286"/>
      <c r="R32" s="256"/>
      <c r="S32" s="256"/>
      <c r="T32" s="286"/>
      <c r="U32" s="286"/>
      <c r="V32" s="286"/>
      <c r="W32" s="286"/>
      <c r="X32" s="286"/>
      <c r="Y32" s="286"/>
      <c r="Z32" s="286"/>
      <c r="AA32" s="286"/>
      <c r="AB32" s="297"/>
      <c r="AC32" s="297"/>
      <c r="AD32" s="297"/>
      <c r="AE32" s="297"/>
      <c r="AF32" s="297"/>
      <c r="AG32" s="297"/>
      <c r="AH32" s="297"/>
      <c r="AI32" s="297"/>
      <c r="AJ32" s="297"/>
      <c r="AK32" s="297"/>
      <c r="AL32" s="297"/>
      <c r="AM32" s="297"/>
      <c r="AN32" s="297"/>
      <c r="AO32" s="297"/>
      <c r="AP32" s="297"/>
      <c r="AQ32" s="297"/>
      <c r="AR32" s="297"/>
      <c r="AS32" s="297"/>
      <c r="AT32" s="297"/>
      <c r="AU32" s="297"/>
      <c r="AV32" s="297"/>
      <c r="AW32" s="297"/>
      <c r="AX32" s="286"/>
      <c r="AY32" s="286"/>
      <c r="AZ32" s="286"/>
      <c r="BA32" s="286"/>
      <c r="BB32" s="286"/>
      <c r="BC32" s="286"/>
      <c r="BD32" s="286"/>
      <c r="BE32" s="286"/>
      <c r="BF32" s="286"/>
      <c r="BG32" s="286"/>
      <c r="BH32" s="286"/>
      <c r="BI32" s="286"/>
      <c r="BJ32" s="286"/>
      <c r="BK32" s="286"/>
      <c r="BL32" s="286"/>
      <c r="BM32" s="286"/>
      <c r="BN32" s="286"/>
      <c r="BO32" s="286"/>
      <c r="BP32" s="286">
        <f>+'[1]13.sz. Közhatalmi bevételek'!E8+'[1]13.sz. Közhatalmi bevételek'!E9+'[1]13.sz. Közhatalmi bevételek'!E10+'[1]13.sz. Közhatalmi bevételek'!F11+'[1]13.sz. Közhatalmi bevételek'!G12+'[1]13.sz. Közhatalmi bevételek'!H13</f>
        <v>4740160000</v>
      </c>
      <c r="BQ32" s="286">
        <f>+BP32+23230602+2400+23960667+8144087+1083679+19867664+135582709+1409809603+5154263+15000000+120000000+20000000+100000000+6000000+24578635+47403683+299521-7329220</f>
        <v>6692948293</v>
      </c>
      <c r="BR32" s="286"/>
      <c r="BS32" s="286"/>
      <c r="BT32" s="286">
        <f>+'[1]13.sz. Közhatalmi bevételek'!I14</f>
        <v>55337756</v>
      </c>
      <c r="BU32" s="286">
        <f>+BT32-23230602-23960667-8144087-2400</f>
        <v>0</v>
      </c>
      <c r="BV32" s="286"/>
      <c r="BW32" s="286"/>
      <c r="BX32" s="286">
        <f>+'1.a sz. Önkormányzat  '!ID32+'1.b sz. Önkormányzat  '!CH32</f>
        <v>4795497756</v>
      </c>
      <c r="BY32" s="286">
        <f>+'1.a sz. Önkormányzat  '!IE32+'1.b sz. Önkormányzat  '!CI32</f>
        <v>6693009195</v>
      </c>
      <c r="BZ32" s="286">
        <f>+'1.a sz. Önkormányzat  '!IF32+'1.b sz. Önkormányzat  '!CJ32</f>
        <v>0</v>
      </c>
      <c r="CA32" s="286">
        <f>+'1.a sz. Önkormányzat  '!IG32+'1.b sz. Önkormányzat  '!CK32</f>
        <v>0</v>
      </c>
      <c r="CB32" s="286">
        <f t="shared" si="0"/>
        <v>0</v>
      </c>
      <c r="CC32" s="286">
        <v>0</v>
      </c>
      <c r="CD32" s="286">
        <f t="shared" si="5"/>
        <v>4795497756</v>
      </c>
      <c r="CE32" s="286">
        <f t="shared" si="6"/>
        <v>6693009195</v>
      </c>
      <c r="CF32" s="286">
        <f>+'1.a sz. Önkormányzat  '!HD32+'1.a sz. Önkormányzat  '!HX32</f>
        <v>0</v>
      </c>
      <c r="CG32" s="286">
        <f>+'1.a sz. Önkormányzat  '!HE32+'1.a sz. Önkormányzat  '!HY32</f>
        <v>0</v>
      </c>
      <c r="CH32" s="257">
        <f t="shared" si="1"/>
        <v>4795497756</v>
      </c>
      <c r="CI32" s="257">
        <f t="shared" si="2"/>
        <v>6692948293</v>
      </c>
      <c r="CJ32" s="258">
        <f t="shared" si="3"/>
        <v>0</v>
      </c>
      <c r="CK32" s="258">
        <f t="shared" si="4"/>
        <v>0</v>
      </c>
    </row>
    <row r="33" spans="1:89" ht="21.75" customHeight="1" x14ac:dyDescent="0.25">
      <c r="A33" s="253" t="s">
        <v>265</v>
      </c>
      <c r="B33" s="262" t="s">
        <v>0</v>
      </c>
      <c r="C33" s="266" t="s">
        <v>212</v>
      </c>
      <c r="D33" s="286"/>
      <c r="E33" s="286"/>
      <c r="F33" s="286"/>
      <c r="G33" s="286"/>
      <c r="H33" s="286"/>
      <c r="I33" s="286"/>
      <c r="J33" s="286"/>
      <c r="K33" s="286"/>
      <c r="L33" s="286"/>
      <c r="M33" s="286"/>
      <c r="N33" s="286"/>
      <c r="O33" s="286"/>
      <c r="P33" s="286"/>
      <c r="Q33" s="286"/>
      <c r="R33" s="256"/>
      <c r="S33" s="256"/>
      <c r="T33" s="286"/>
      <c r="U33" s="286"/>
      <c r="V33" s="286"/>
      <c r="W33" s="286"/>
      <c r="X33" s="286"/>
      <c r="Y33" s="286"/>
      <c r="Z33" s="286"/>
      <c r="AA33" s="286"/>
      <c r="AB33" s="297"/>
      <c r="AC33" s="297"/>
      <c r="AD33" s="297"/>
      <c r="AE33" s="297"/>
      <c r="AF33" s="297"/>
      <c r="AG33" s="297"/>
      <c r="AH33" s="297"/>
      <c r="AI33" s="297"/>
      <c r="AJ33" s="297"/>
      <c r="AK33" s="297"/>
      <c r="AL33" s="297"/>
      <c r="AM33" s="297"/>
      <c r="AN33" s="297"/>
      <c r="AO33" s="297"/>
      <c r="AP33" s="297"/>
      <c r="AQ33" s="297"/>
      <c r="AR33" s="297"/>
      <c r="AS33" s="297"/>
      <c r="AT33" s="297"/>
      <c r="AU33" s="297"/>
      <c r="AV33" s="297"/>
      <c r="AW33" s="297"/>
      <c r="AX33" s="286"/>
      <c r="AY33" s="286"/>
      <c r="AZ33" s="286"/>
      <c r="BA33" s="286"/>
      <c r="BB33" s="286"/>
      <c r="BC33" s="286"/>
      <c r="BD33" s="286"/>
      <c r="BE33" s="286"/>
      <c r="BF33" s="286"/>
      <c r="BG33" s="286"/>
      <c r="BH33" s="286"/>
      <c r="BI33" s="286"/>
      <c r="BJ33" s="286"/>
      <c r="BK33" s="286"/>
      <c r="BL33" s="286"/>
      <c r="BM33" s="286"/>
      <c r="BN33" s="286">
        <v>135000000</v>
      </c>
      <c r="BO33" s="286">
        <f>+BN33+40000000+80000000+30000000+13820138+36950439+75768375</f>
        <v>411538952</v>
      </c>
      <c r="BP33" s="286"/>
      <c r="BQ33" s="286"/>
      <c r="BR33" s="286"/>
      <c r="BS33" s="286"/>
      <c r="BT33" s="286">
        <v>12483125</v>
      </c>
      <c r="BU33" s="286">
        <f>+BT33-269668-250963-11858050-104444</f>
        <v>0</v>
      </c>
      <c r="BV33" s="286"/>
      <c r="BW33" s="286"/>
      <c r="BX33" s="286">
        <f>+'1.a sz. Önkormányzat  '!ID33+'1.b sz. Önkormányzat  '!CH33</f>
        <v>395003786</v>
      </c>
      <c r="BY33" s="286">
        <f>+'1.a sz. Önkormányzat  '!IE33+'1.b sz. Önkormányzat  '!CI33</f>
        <v>377238499</v>
      </c>
      <c r="BZ33" s="286">
        <f>+'1.a sz. Önkormányzat  '!IF33+'1.b sz. Önkormányzat  '!CJ33</f>
        <v>152000000</v>
      </c>
      <c r="CA33" s="286">
        <f>+'1.a sz. Önkormányzat  '!IG33+'1.b sz. Önkormányzat  '!CK33</f>
        <v>451294885</v>
      </c>
      <c r="CB33" s="286">
        <f t="shared" si="0"/>
        <v>0</v>
      </c>
      <c r="CC33" s="286">
        <v>0</v>
      </c>
      <c r="CD33" s="286">
        <f t="shared" si="5"/>
        <v>547003786</v>
      </c>
      <c r="CE33" s="286">
        <f t="shared" si="6"/>
        <v>828533384</v>
      </c>
      <c r="CF33" s="286">
        <f>+'1.a sz. Önkormányzat  '!HD33+'1.a sz. Önkormányzat  '!HX33</f>
        <v>0</v>
      </c>
      <c r="CG33" s="286">
        <f>+'1.a sz. Önkormányzat  '!HE33+'1.a sz. Önkormányzat  '!HY33</f>
        <v>0</v>
      </c>
      <c r="CH33" s="257">
        <f t="shared" si="1"/>
        <v>12483125</v>
      </c>
      <c r="CI33" s="257">
        <f t="shared" si="2"/>
        <v>0</v>
      </c>
      <c r="CJ33" s="258">
        <f t="shared" si="3"/>
        <v>135000000</v>
      </c>
      <c r="CK33" s="258">
        <f t="shared" si="4"/>
        <v>411538952</v>
      </c>
    </row>
    <row r="34" spans="1:89" ht="21.75" customHeight="1" x14ac:dyDescent="0.25">
      <c r="A34" s="253" t="s">
        <v>266</v>
      </c>
      <c r="B34" s="259" t="s">
        <v>242</v>
      </c>
      <c r="C34" s="266" t="s">
        <v>213</v>
      </c>
      <c r="D34" s="286"/>
      <c r="E34" s="286"/>
      <c r="F34" s="286"/>
      <c r="G34" s="286"/>
      <c r="H34" s="286"/>
      <c r="I34" s="286"/>
      <c r="J34" s="286"/>
      <c r="K34" s="286"/>
      <c r="L34" s="286"/>
      <c r="M34" s="286"/>
      <c r="N34" s="286"/>
      <c r="O34" s="286"/>
      <c r="P34" s="286"/>
      <c r="Q34" s="286"/>
      <c r="R34" s="256"/>
      <c r="S34" s="256"/>
      <c r="T34" s="286"/>
      <c r="U34" s="286"/>
      <c r="V34" s="286"/>
      <c r="W34" s="286"/>
      <c r="X34" s="286"/>
      <c r="Y34" s="286"/>
      <c r="Z34" s="286"/>
      <c r="AA34" s="286"/>
      <c r="AB34" s="297"/>
      <c r="AC34" s="297"/>
      <c r="AD34" s="297"/>
      <c r="AE34" s="297"/>
      <c r="AF34" s="297"/>
      <c r="AG34" s="297"/>
      <c r="AH34" s="297"/>
      <c r="AI34" s="297"/>
      <c r="AJ34" s="297"/>
      <c r="AK34" s="297"/>
      <c r="AL34" s="297"/>
      <c r="AM34" s="297"/>
      <c r="AN34" s="297"/>
      <c r="AO34" s="297"/>
      <c r="AP34" s="297"/>
      <c r="AQ34" s="297"/>
      <c r="AR34" s="297"/>
      <c r="AS34" s="297"/>
      <c r="AT34" s="297"/>
      <c r="AU34" s="297"/>
      <c r="AV34" s="297"/>
      <c r="AW34" s="297"/>
      <c r="AX34" s="286"/>
      <c r="AY34" s="286"/>
      <c r="AZ34" s="286"/>
      <c r="BA34" s="286"/>
      <c r="BB34" s="286"/>
      <c r="BC34" s="286"/>
      <c r="BD34" s="286"/>
      <c r="BE34" s="286"/>
      <c r="BF34" s="286"/>
      <c r="BG34" s="286"/>
      <c r="BH34" s="286"/>
      <c r="BI34" s="286"/>
      <c r="BJ34" s="286"/>
      <c r="BK34" s="286"/>
      <c r="BL34" s="286"/>
      <c r="BM34" s="286"/>
      <c r="BN34" s="286"/>
      <c r="BO34" s="286"/>
      <c r="BP34" s="286"/>
      <c r="BQ34" s="286"/>
      <c r="BR34" s="286"/>
      <c r="BS34" s="286"/>
      <c r="BT34" s="286"/>
      <c r="BU34" s="286"/>
      <c r="BV34" s="286"/>
      <c r="BW34" s="286"/>
      <c r="BX34" s="286">
        <f>+'1.a sz. Önkormányzat  '!ID34+'1.b sz. Önkormányzat  '!CH34</f>
        <v>0</v>
      </c>
      <c r="BY34" s="286">
        <f>+'1.a sz. Önkormányzat  '!IE34+'1.b sz. Önkormányzat  '!CI34</f>
        <v>0</v>
      </c>
      <c r="BZ34" s="286">
        <f>+'1.a sz. Önkormányzat  '!IF34+'1.b sz. Önkormányzat  '!CJ34</f>
        <v>51854877</v>
      </c>
      <c r="CA34" s="286">
        <f>+'1.a sz. Önkormányzat  '!IG34+'1.b sz. Önkormányzat  '!CK34</f>
        <v>1850596</v>
      </c>
      <c r="CB34" s="286">
        <f t="shared" si="0"/>
        <v>0</v>
      </c>
      <c r="CC34" s="286">
        <v>0</v>
      </c>
      <c r="CD34" s="286">
        <f t="shared" si="5"/>
        <v>51854877</v>
      </c>
      <c r="CE34" s="286">
        <f t="shared" si="6"/>
        <v>1850596</v>
      </c>
      <c r="CF34" s="286">
        <f>+'1.a sz. Önkormányzat  '!HD34+'1.a sz. Önkormányzat  '!HX34</f>
        <v>0</v>
      </c>
      <c r="CG34" s="286">
        <f>+'1.a sz. Önkormányzat  '!HE34+'1.a sz. Önkormányzat  '!HY34</f>
        <v>0</v>
      </c>
      <c r="CH34" s="257">
        <f t="shared" si="1"/>
        <v>0</v>
      </c>
      <c r="CI34" s="257">
        <f t="shared" si="2"/>
        <v>0</v>
      </c>
      <c r="CJ34" s="258">
        <f t="shared" si="3"/>
        <v>0</v>
      </c>
      <c r="CK34" s="258">
        <f t="shared" si="4"/>
        <v>0</v>
      </c>
    </row>
    <row r="35" spans="1:89" ht="21.75" customHeight="1" x14ac:dyDescent="0.25">
      <c r="A35" s="253" t="s">
        <v>267</v>
      </c>
      <c r="B35" s="259" t="s">
        <v>237</v>
      </c>
      <c r="C35" s="266" t="s">
        <v>214</v>
      </c>
      <c r="D35" s="286"/>
      <c r="E35" s="286"/>
      <c r="F35" s="286"/>
      <c r="G35" s="286"/>
      <c r="H35" s="286"/>
      <c r="I35" s="286"/>
      <c r="J35" s="286"/>
      <c r="K35" s="286"/>
      <c r="L35" s="286"/>
      <c r="M35" s="286"/>
      <c r="N35" s="286"/>
      <c r="O35" s="286"/>
      <c r="P35" s="286"/>
      <c r="Q35" s="286"/>
      <c r="R35" s="256"/>
      <c r="S35" s="256"/>
      <c r="T35" s="286"/>
      <c r="U35" s="286"/>
      <c r="V35" s="286"/>
      <c r="W35" s="286"/>
      <c r="X35" s="286"/>
      <c r="Y35" s="286"/>
      <c r="Z35" s="286"/>
      <c r="AA35" s="286"/>
      <c r="AB35" s="297"/>
      <c r="AC35" s="297"/>
      <c r="AD35" s="297"/>
      <c r="AE35" s="297"/>
      <c r="AF35" s="297"/>
      <c r="AG35" s="297"/>
      <c r="AH35" s="297"/>
      <c r="AI35" s="297"/>
      <c r="AJ35" s="297"/>
      <c r="AK35" s="297"/>
      <c r="AL35" s="297"/>
      <c r="AM35" s="297"/>
      <c r="AN35" s="297"/>
      <c r="AO35" s="297"/>
      <c r="AP35" s="297"/>
      <c r="AQ35" s="297"/>
      <c r="AR35" s="297"/>
      <c r="AS35" s="297"/>
      <c r="AT35" s="297"/>
      <c r="AU35" s="297"/>
      <c r="AV35" s="297"/>
      <c r="AW35" s="297"/>
      <c r="AX35" s="286"/>
      <c r="AY35" s="286"/>
      <c r="AZ35" s="286"/>
      <c r="BA35" s="286"/>
      <c r="BB35" s="286"/>
      <c r="BC35" s="286"/>
      <c r="BD35" s="286"/>
      <c r="BE35" s="286"/>
      <c r="BF35" s="286"/>
      <c r="BG35" s="286"/>
      <c r="BH35" s="286"/>
      <c r="BI35" s="286"/>
      <c r="BJ35" s="286"/>
      <c r="BK35" s="286"/>
      <c r="BL35" s="286"/>
      <c r="BM35" s="286"/>
      <c r="BN35" s="286"/>
      <c r="BO35" s="286"/>
      <c r="BP35" s="286"/>
      <c r="BQ35" s="286"/>
      <c r="BR35" s="286"/>
      <c r="BS35" s="286"/>
      <c r="BT35" s="286"/>
      <c r="BU35" s="286"/>
      <c r="BV35" s="286"/>
      <c r="BW35" s="286"/>
      <c r="BX35" s="286">
        <f>+'1.a sz. Önkormányzat  '!ID35+'1.b sz. Önkormányzat  '!CH35</f>
        <v>0</v>
      </c>
      <c r="BY35" s="286">
        <f>+'1.a sz. Önkormányzat  '!IE35+'1.b sz. Önkormányzat  '!CI35</f>
        <v>0</v>
      </c>
      <c r="BZ35" s="286">
        <f>+'1.a sz. Önkormányzat  '!IF35+'1.b sz. Önkormányzat  '!CJ35</f>
        <v>0</v>
      </c>
      <c r="CA35" s="286">
        <f>+'1.a sz. Önkormányzat  '!IG35+'1.b sz. Önkormányzat  '!CK35</f>
        <v>500000</v>
      </c>
      <c r="CB35" s="286">
        <f t="shared" si="0"/>
        <v>0</v>
      </c>
      <c r="CC35" s="286">
        <v>0</v>
      </c>
      <c r="CD35" s="286">
        <f t="shared" si="5"/>
        <v>0</v>
      </c>
      <c r="CE35" s="286">
        <f t="shared" si="6"/>
        <v>500000</v>
      </c>
      <c r="CF35" s="286">
        <f>+'1.a sz. Önkormányzat  '!HD35+'1.a sz. Önkormányzat  '!HX35</f>
        <v>0</v>
      </c>
      <c r="CG35" s="286">
        <f>+'1.a sz. Önkormányzat  '!HE35+'1.a sz. Önkormányzat  '!HY35</f>
        <v>0</v>
      </c>
      <c r="CH35" s="257">
        <f t="shared" si="1"/>
        <v>0</v>
      </c>
      <c r="CI35" s="257">
        <f t="shared" si="2"/>
        <v>0</v>
      </c>
      <c r="CJ35" s="258">
        <f t="shared" si="3"/>
        <v>0</v>
      </c>
      <c r="CK35" s="258">
        <f t="shared" si="4"/>
        <v>0</v>
      </c>
    </row>
    <row r="36" spans="1:89" ht="21.75" customHeight="1" x14ac:dyDescent="0.25">
      <c r="A36" s="253" t="s">
        <v>268</v>
      </c>
      <c r="B36" s="259" t="s">
        <v>238</v>
      </c>
      <c r="C36" s="266" t="s">
        <v>215</v>
      </c>
      <c r="D36" s="286"/>
      <c r="E36" s="286"/>
      <c r="F36" s="286"/>
      <c r="G36" s="286"/>
      <c r="H36" s="286"/>
      <c r="I36" s="286"/>
      <c r="J36" s="286"/>
      <c r="K36" s="286"/>
      <c r="L36" s="286"/>
      <c r="M36" s="286"/>
      <c r="N36" s="286"/>
      <c r="O36" s="286"/>
      <c r="P36" s="286"/>
      <c r="Q36" s="286"/>
      <c r="R36" s="256"/>
      <c r="S36" s="256"/>
      <c r="T36" s="286"/>
      <c r="U36" s="286"/>
      <c r="V36" s="286"/>
      <c r="W36" s="286"/>
      <c r="X36" s="286"/>
      <c r="Y36" s="286"/>
      <c r="Z36" s="286"/>
      <c r="AA36" s="286"/>
      <c r="AB36" s="297"/>
      <c r="AC36" s="297"/>
      <c r="AD36" s="297"/>
      <c r="AE36" s="297"/>
      <c r="AF36" s="297"/>
      <c r="AG36" s="297"/>
      <c r="AH36" s="297"/>
      <c r="AI36" s="297"/>
      <c r="AJ36" s="297"/>
      <c r="AK36" s="297"/>
      <c r="AL36" s="297"/>
      <c r="AM36" s="297"/>
      <c r="AN36" s="297"/>
      <c r="AO36" s="297"/>
      <c r="AP36" s="297"/>
      <c r="AQ36" s="297"/>
      <c r="AR36" s="297"/>
      <c r="AS36" s="297"/>
      <c r="AT36" s="297"/>
      <c r="AU36" s="297"/>
      <c r="AV36" s="297"/>
      <c r="AW36" s="297"/>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f>+'1.a sz. Önkormányzat  '!ID36+'1.b sz. Önkormányzat  '!CH36</f>
        <v>0</v>
      </c>
      <c r="BY36" s="286">
        <f>+'1.a sz. Önkormányzat  '!IE36+'1.b sz. Önkormányzat  '!CI36</f>
        <v>2380000</v>
      </c>
      <c r="BZ36" s="286">
        <f>+'1.a sz. Önkormányzat  '!IF36+'1.b sz. Önkormányzat  '!CJ36</f>
        <v>1873800</v>
      </c>
      <c r="CA36" s="286">
        <f>+'1.a sz. Önkormányzat  '!IG36+'1.b sz. Önkormányzat  '!CK36</f>
        <v>2842550</v>
      </c>
      <c r="CB36" s="286">
        <f t="shared" si="0"/>
        <v>0</v>
      </c>
      <c r="CC36" s="286">
        <v>0</v>
      </c>
      <c r="CD36" s="286">
        <f t="shared" si="5"/>
        <v>1873800</v>
      </c>
      <c r="CE36" s="286">
        <f t="shared" si="6"/>
        <v>5222550</v>
      </c>
      <c r="CF36" s="286">
        <f>+'1.a sz. Önkormányzat  '!HD36+'1.a sz. Önkormányzat  '!HX36</f>
        <v>0</v>
      </c>
      <c r="CG36" s="286">
        <f>+'1.a sz. Önkormányzat  '!HE36+'1.a sz. Önkormányzat  '!HY36</f>
        <v>0</v>
      </c>
      <c r="CH36" s="257">
        <f t="shared" si="1"/>
        <v>0</v>
      </c>
      <c r="CI36" s="257">
        <f t="shared" si="2"/>
        <v>0</v>
      </c>
      <c r="CJ36" s="258">
        <f t="shared" si="3"/>
        <v>0</v>
      </c>
      <c r="CK36" s="258">
        <f t="shared" si="4"/>
        <v>0</v>
      </c>
    </row>
    <row r="37" spans="1:89" s="260" customFormat="1" ht="21.75" customHeight="1" x14ac:dyDescent="0.25">
      <c r="A37" s="253" t="s">
        <v>269</v>
      </c>
      <c r="B37" s="262" t="s">
        <v>239</v>
      </c>
      <c r="C37" s="266" t="s">
        <v>216</v>
      </c>
      <c r="D37" s="285">
        <f t="shared" ref="D37:AI37" si="31">SUM(D30:D36)</f>
        <v>0</v>
      </c>
      <c r="E37" s="285">
        <f t="shared" si="31"/>
        <v>0</v>
      </c>
      <c r="F37" s="285">
        <f t="shared" si="31"/>
        <v>0</v>
      </c>
      <c r="G37" s="285">
        <f t="shared" si="31"/>
        <v>0</v>
      </c>
      <c r="H37" s="285">
        <f t="shared" si="31"/>
        <v>0</v>
      </c>
      <c r="I37" s="285">
        <f t="shared" si="31"/>
        <v>0</v>
      </c>
      <c r="J37" s="285">
        <f t="shared" si="31"/>
        <v>0</v>
      </c>
      <c r="K37" s="285">
        <f t="shared" si="31"/>
        <v>0</v>
      </c>
      <c r="L37" s="285">
        <f t="shared" si="31"/>
        <v>0</v>
      </c>
      <c r="M37" s="285">
        <f t="shared" si="31"/>
        <v>0</v>
      </c>
      <c r="N37" s="285">
        <f t="shared" si="31"/>
        <v>0</v>
      </c>
      <c r="O37" s="285">
        <f t="shared" si="31"/>
        <v>0</v>
      </c>
      <c r="P37" s="285">
        <f t="shared" si="31"/>
        <v>0</v>
      </c>
      <c r="Q37" s="285">
        <f t="shared" si="31"/>
        <v>0</v>
      </c>
      <c r="R37" s="285">
        <f t="shared" si="31"/>
        <v>0</v>
      </c>
      <c r="S37" s="285">
        <f t="shared" si="31"/>
        <v>0</v>
      </c>
      <c r="T37" s="285">
        <f t="shared" si="31"/>
        <v>0</v>
      </c>
      <c r="U37" s="285">
        <f t="shared" si="31"/>
        <v>0</v>
      </c>
      <c r="V37" s="285">
        <f t="shared" si="31"/>
        <v>0</v>
      </c>
      <c r="W37" s="285">
        <f t="shared" si="31"/>
        <v>0</v>
      </c>
      <c r="X37" s="285">
        <f t="shared" si="31"/>
        <v>0</v>
      </c>
      <c r="Y37" s="285">
        <f t="shared" si="31"/>
        <v>0</v>
      </c>
      <c r="Z37" s="285">
        <f t="shared" si="31"/>
        <v>0</v>
      </c>
      <c r="AA37" s="285">
        <f t="shared" si="31"/>
        <v>0</v>
      </c>
      <c r="AB37" s="285">
        <f t="shared" si="31"/>
        <v>0</v>
      </c>
      <c r="AC37" s="285">
        <f t="shared" si="31"/>
        <v>0</v>
      </c>
      <c r="AD37" s="285">
        <f t="shared" si="31"/>
        <v>0</v>
      </c>
      <c r="AE37" s="285">
        <f t="shared" si="31"/>
        <v>0</v>
      </c>
      <c r="AF37" s="285">
        <f t="shared" si="31"/>
        <v>0</v>
      </c>
      <c r="AG37" s="285">
        <f t="shared" si="31"/>
        <v>0</v>
      </c>
      <c r="AH37" s="285">
        <f t="shared" si="31"/>
        <v>0</v>
      </c>
      <c r="AI37" s="285">
        <f t="shared" si="31"/>
        <v>0</v>
      </c>
      <c r="AJ37" s="285">
        <f t="shared" ref="AJ37:BG37" si="32">SUM(AJ30:AJ36)</f>
        <v>0</v>
      </c>
      <c r="AK37" s="285">
        <f t="shared" si="32"/>
        <v>0</v>
      </c>
      <c r="AL37" s="285">
        <f t="shared" si="32"/>
        <v>0</v>
      </c>
      <c r="AM37" s="285">
        <f t="shared" si="32"/>
        <v>0</v>
      </c>
      <c r="AN37" s="285">
        <f t="shared" si="32"/>
        <v>0</v>
      </c>
      <c r="AO37" s="285">
        <f t="shared" si="32"/>
        <v>0</v>
      </c>
      <c r="AP37" s="285">
        <f t="shared" si="32"/>
        <v>0</v>
      </c>
      <c r="AQ37" s="285">
        <f t="shared" si="32"/>
        <v>0</v>
      </c>
      <c r="AR37" s="285">
        <f t="shared" si="32"/>
        <v>0</v>
      </c>
      <c r="AS37" s="285">
        <f t="shared" si="32"/>
        <v>0</v>
      </c>
      <c r="AT37" s="285">
        <f t="shared" si="32"/>
        <v>0</v>
      </c>
      <c r="AU37" s="285">
        <f t="shared" si="32"/>
        <v>0</v>
      </c>
      <c r="AV37" s="285">
        <f t="shared" si="32"/>
        <v>0</v>
      </c>
      <c r="AW37" s="285">
        <f t="shared" si="32"/>
        <v>0</v>
      </c>
      <c r="AX37" s="285">
        <f t="shared" si="32"/>
        <v>0</v>
      </c>
      <c r="AY37" s="285">
        <f t="shared" si="32"/>
        <v>0</v>
      </c>
      <c r="AZ37" s="285">
        <f t="shared" si="32"/>
        <v>0</v>
      </c>
      <c r="BA37" s="285">
        <f t="shared" si="32"/>
        <v>0</v>
      </c>
      <c r="BB37" s="285">
        <f t="shared" si="32"/>
        <v>0</v>
      </c>
      <c r="BC37" s="285">
        <f t="shared" si="32"/>
        <v>665000</v>
      </c>
      <c r="BD37" s="285">
        <f t="shared" si="32"/>
        <v>0</v>
      </c>
      <c r="BE37" s="285">
        <f t="shared" si="32"/>
        <v>0</v>
      </c>
      <c r="BF37" s="285">
        <f t="shared" si="32"/>
        <v>0</v>
      </c>
      <c r="BG37" s="285">
        <f t="shared" si="32"/>
        <v>0</v>
      </c>
      <c r="BH37" s="285">
        <f t="shared" ref="BH37:BT37" si="33">SUM(BH30:BH36)</f>
        <v>2669208</v>
      </c>
      <c r="BI37" s="285">
        <f>SUM(BI30:BI36)</f>
        <v>2669208</v>
      </c>
      <c r="BJ37" s="285">
        <f t="shared" si="33"/>
        <v>0</v>
      </c>
      <c r="BK37" s="285">
        <f>SUM(BK30:BK36)</f>
        <v>0</v>
      </c>
      <c r="BL37" s="285">
        <f>SUM(BL30:BL36)</f>
        <v>0</v>
      </c>
      <c r="BM37" s="285">
        <f>SUM(BM30:BM36)</f>
        <v>0</v>
      </c>
      <c r="BN37" s="285">
        <f t="shared" si="33"/>
        <v>135000000</v>
      </c>
      <c r="BO37" s="285">
        <f>SUM(BO30:BO36)</f>
        <v>411538952</v>
      </c>
      <c r="BP37" s="285">
        <f t="shared" si="33"/>
        <v>4740160000</v>
      </c>
      <c r="BQ37" s="285">
        <f>SUM(BQ30:BQ36)</f>
        <v>6692948293</v>
      </c>
      <c r="BR37" s="285">
        <f t="shared" si="33"/>
        <v>2044595416</v>
      </c>
      <c r="BS37" s="285">
        <f>SUM(BS30:BS36)</f>
        <v>2378729164</v>
      </c>
      <c r="BT37" s="285">
        <f t="shared" si="33"/>
        <v>67820881</v>
      </c>
      <c r="BU37" s="285">
        <f>SUM(BU30:BU36)</f>
        <v>0</v>
      </c>
      <c r="BV37" s="285">
        <f t="shared" ref="BV37" si="34">SUM(BV30:BV36)</f>
        <v>0</v>
      </c>
      <c r="BW37" s="285">
        <f>SUM(BW30:BW36)</f>
        <v>0</v>
      </c>
      <c r="BX37" s="285">
        <f>+'1.a sz. Önkormányzat  '!ID37+'1.b sz. Önkormányzat  '!CH37</f>
        <v>7237766166</v>
      </c>
      <c r="BY37" s="285">
        <f>+'1.a sz. Önkormányzat  '!IE37+'1.b sz. Önkormányzat  '!CI37</f>
        <v>9622218965</v>
      </c>
      <c r="BZ37" s="285">
        <f>+'1.a sz. Önkormányzat  '!IF37+'1.b sz. Önkormányzat  '!CJ37</f>
        <v>205728677</v>
      </c>
      <c r="CA37" s="285">
        <f>+'1.a sz. Önkormányzat  '!IG37+'1.b sz. Önkormányzat  '!CK37</f>
        <v>772113661</v>
      </c>
      <c r="CB37" s="285">
        <f t="shared" si="0"/>
        <v>0</v>
      </c>
      <c r="CC37" s="285">
        <v>0</v>
      </c>
      <c r="CD37" s="285">
        <f t="shared" si="5"/>
        <v>7443494843</v>
      </c>
      <c r="CE37" s="285">
        <f t="shared" si="6"/>
        <v>10394332626</v>
      </c>
      <c r="CF37" s="286">
        <f>+'1.a sz. Önkormányzat  '!HD37+'1.a sz. Önkormányzat  '!HX37</f>
        <v>0</v>
      </c>
      <c r="CG37" s="286">
        <f>+'1.a sz. Önkormányzat  '!HE37+'1.a sz. Önkormányzat  '!HY37</f>
        <v>314960630</v>
      </c>
      <c r="CH37" s="257">
        <f t="shared" si="1"/>
        <v>6855245505</v>
      </c>
      <c r="CI37" s="257">
        <f t="shared" si="2"/>
        <v>9074346665</v>
      </c>
      <c r="CJ37" s="258">
        <f t="shared" si="3"/>
        <v>135000000</v>
      </c>
      <c r="CK37" s="258">
        <f t="shared" si="4"/>
        <v>412203952</v>
      </c>
    </row>
    <row r="38" spans="1:89" s="260" customFormat="1" ht="21.75" customHeight="1" x14ac:dyDescent="0.25">
      <c r="A38" s="253" t="s">
        <v>270</v>
      </c>
      <c r="B38" s="266" t="s">
        <v>240</v>
      </c>
      <c r="C38" s="255" t="s">
        <v>218</v>
      </c>
      <c r="D38" s="274">
        <f t="shared" ref="D38:AI38" si="35">SUM(D40:D44)</f>
        <v>0</v>
      </c>
      <c r="E38" s="274">
        <f t="shared" si="35"/>
        <v>0</v>
      </c>
      <c r="F38" s="274">
        <f t="shared" si="35"/>
        <v>0</v>
      </c>
      <c r="G38" s="274">
        <f t="shared" si="35"/>
        <v>0</v>
      </c>
      <c r="H38" s="274">
        <f t="shared" si="35"/>
        <v>0</v>
      </c>
      <c r="I38" s="274">
        <f t="shared" si="35"/>
        <v>0</v>
      </c>
      <c r="J38" s="274">
        <f t="shared" si="35"/>
        <v>0</v>
      </c>
      <c r="K38" s="274">
        <f t="shared" si="35"/>
        <v>0</v>
      </c>
      <c r="L38" s="274">
        <f t="shared" si="35"/>
        <v>0</v>
      </c>
      <c r="M38" s="274">
        <f t="shared" si="35"/>
        <v>0</v>
      </c>
      <c r="N38" s="274">
        <f t="shared" si="35"/>
        <v>0</v>
      </c>
      <c r="O38" s="274">
        <f t="shared" si="35"/>
        <v>0</v>
      </c>
      <c r="P38" s="274">
        <f t="shared" si="35"/>
        <v>0</v>
      </c>
      <c r="Q38" s="274">
        <f t="shared" si="35"/>
        <v>0</v>
      </c>
      <c r="R38" s="274">
        <f t="shared" si="35"/>
        <v>0</v>
      </c>
      <c r="S38" s="274">
        <f t="shared" si="35"/>
        <v>0</v>
      </c>
      <c r="T38" s="274">
        <f t="shared" si="35"/>
        <v>0</v>
      </c>
      <c r="U38" s="274">
        <f t="shared" si="35"/>
        <v>0</v>
      </c>
      <c r="V38" s="274">
        <f t="shared" si="35"/>
        <v>0</v>
      </c>
      <c r="W38" s="274">
        <f t="shared" si="35"/>
        <v>0</v>
      </c>
      <c r="X38" s="274">
        <f t="shared" si="35"/>
        <v>0</v>
      </c>
      <c r="Y38" s="274">
        <f t="shared" si="35"/>
        <v>0</v>
      </c>
      <c r="Z38" s="274">
        <f t="shared" si="35"/>
        <v>0</v>
      </c>
      <c r="AA38" s="274">
        <f t="shared" si="35"/>
        <v>0</v>
      </c>
      <c r="AB38" s="274">
        <f t="shared" si="35"/>
        <v>0</v>
      </c>
      <c r="AC38" s="274">
        <f t="shared" si="35"/>
        <v>0</v>
      </c>
      <c r="AD38" s="274">
        <f t="shared" si="35"/>
        <v>0</v>
      </c>
      <c r="AE38" s="274">
        <f t="shared" si="35"/>
        <v>0</v>
      </c>
      <c r="AF38" s="274">
        <f t="shared" si="35"/>
        <v>0</v>
      </c>
      <c r="AG38" s="274">
        <f t="shared" si="35"/>
        <v>0</v>
      </c>
      <c r="AH38" s="274">
        <f t="shared" si="35"/>
        <v>0</v>
      </c>
      <c r="AI38" s="274">
        <f t="shared" si="35"/>
        <v>0</v>
      </c>
      <c r="AJ38" s="274">
        <f t="shared" ref="AJ38:BG38" si="36">SUM(AJ40:AJ44)</f>
        <v>0</v>
      </c>
      <c r="AK38" s="274">
        <f t="shared" si="36"/>
        <v>0</v>
      </c>
      <c r="AL38" s="274">
        <f t="shared" si="36"/>
        <v>0</v>
      </c>
      <c r="AM38" s="274">
        <f t="shared" si="36"/>
        <v>0</v>
      </c>
      <c r="AN38" s="274">
        <f t="shared" si="36"/>
        <v>0</v>
      </c>
      <c r="AO38" s="274">
        <f t="shared" si="36"/>
        <v>0</v>
      </c>
      <c r="AP38" s="274">
        <f t="shared" si="36"/>
        <v>0</v>
      </c>
      <c r="AQ38" s="274">
        <f t="shared" si="36"/>
        <v>0</v>
      </c>
      <c r="AR38" s="274">
        <f t="shared" si="36"/>
        <v>0</v>
      </c>
      <c r="AS38" s="274">
        <f t="shared" si="36"/>
        <v>0</v>
      </c>
      <c r="AT38" s="274">
        <f t="shared" si="36"/>
        <v>0</v>
      </c>
      <c r="AU38" s="274">
        <f t="shared" si="36"/>
        <v>0</v>
      </c>
      <c r="AV38" s="274">
        <f t="shared" si="36"/>
        <v>0</v>
      </c>
      <c r="AW38" s="274">
        <f t="shared" si="36"/>
        <v>0</v>
      </c>
      <c r="AX38" s="274">
        <f t="shared" si="36"/>
        <v>0</v>
      </c>
      <c r="AY38" s="274">
        <f t="shared" si="36"/>
        <v>0</v>
      </c>
      <c r="AZ38" s="274">
        <f t="shared" si="36"/>
        <v>0</v>
      </c>
      <c r="BA38" s="274">
        <f t="shared" si="36"/>
        <v>0</v>
      </c>
      <c r="BB38" s="274">
        <f t="shared" si="36"/>
        <v>0</v>
      </c>
      <c r="BC38" s="274">
        <f t="shared" si="36"/>
        <v>0</v>
      </c>
      <c r="BD38" s="274">
        <f t="shared" si="36"/>
        <v>0</v>
      </c>
      <c r="BE38" s="274">
        <f t="shared" si="36"/>
        <v>0</v>
      </c>
      <c r="BF38" s="274">
        <f t="shared" si="36"/>
        <v>0</v>
      </c>
      <c r="BG38" s="274">
        <f t="shared" si="36"/>
        <v>0</v>
      </c>
      <c r="BH38" s="274">
        <f t="shared" ref="BH38:BT38" si="37">SUM(BH40:BH44)</f>
        <v>0</v>
      </c>
      <c r="BI38" s="274">
        <f>SUM(BI40:BI44)</f>
        <v>0</v>
      </c>
      <c r="BJ38" s="274">
        <f t="shared" si="37"/>
        <v>0</v>
      </c>
      <c r="BK38" s="274">
        <f>SUM(BK40:BK44)</f>
        <v>0</v>
      </c>
      <c r="BL38" s="274">
        <f>SUM(BL40:BL44)</f>
        <v>0</v>
      </c>
      <c r="BM38" s="274">
        <f>SUM(BM40:BM44)</f>
        <v>0</v>
      </c>
      <c r="BN38" s="274">
        <f t="shared" si="37"/>
        <v>0</v>
      </c>
      <c r="BO38" s="274">
        <f>SUM(BO40:BO44)</f>
        <v>0</v>
      </c>
      <c r="BP38" s="274">
        <f t="shared" si="37"/>
        <v>0</v>
      </c>
      <c r="BQ38" s="274">
        <f>SUM(BQ40:BQ44)</f>
        <v>0</v>
      </c>
      <c r="BR38" s="274">
        <f t="shared" si="37"/>
        <v>0</v>
      </c>
      <c r="BS38" s="274">
        <f>SUM(BS39:BS44)</f>
        <v>395026925</v>
      </c>
      <c r="BT38" s="274">
        <f t="shared" si="37"/>
        <v>0</v>
      </c>
      <c r="BU38" s="274">
        <f>SUM(BU40:BU44)</f>
        <v>0</v>
      </c>
      <c r="BV38" s="274">
        <f t="shared" ref="BV38:BW38" si="38">SUM(BV40:BV44)</f>
        <v>0</v>
      </c>
      <c r="BW38" s="274">
        <f t="shared" si="38"/>
        <v>0</v>
      </c>
      <c r="BX38" s="286">
        <f>+'1.a sz. Önkormányzat  '!ID38+'1.b sz. Önkormányzat  '!CH38</f>
        <v>3451968343</v>
      </c>
      <c r="BY38" s="286">
        <f>+'1.a sz. Önkormányzat  '!IE38+'1.b sz. Önkormányzat  '!CI38</f>
        <v>4299311911</v>
      </c>
      <c r="BZ38" s="286">
        <f>+'1.a sz. Önkormányzat  '!IF38+'1.b sz. Önkormányzat  '!CJ38</f>
        <v>0</v>
      </c>
      <c r="CA38" s="286">
        <f>+'1.a sz. Önkormányzat  '!IG38+'1.b sz. Önkormányzat  '!CK38</f>
        <v>0</v>
      </c>
      <c r="CB38" s="286">
        <f t="shared" si="0"/>
        <v>0</v>
      </c>
      <c r="CC38" s="286">
        <v>0</v>
      </c>
      <c r="CD38" s="286">
        <f t="shared" si="5"/>
        <v>3451968343</v>
      </c>
      <c r="CE38" s="286">
        <f t="shared" si="6"/>
        <v>4299311911</v>
      </c>
      <c r="CF38" s="286">
        <f>+'1.a sz. Önkormányzat  '!HD38+'1.a sz. Önkormányzat  '!HX38</f>
        <v>0</v>
      </c>
      <c r="CG38" s="286">
        <f>+'1.a sz. Önkormányzat  '!HE38+'1.a sz. Önkormányzat  '!HY38</f>
        <v>0</v>
      </c>
      <c r="CH38" s="257">
        <f t="shared" si="1"/>
        <v>0</v>
      </c>
      <c r="CI38" s="257">
        <f t="shared" si="2"/>
        <v>395026925</v>
      </c>
      <c r="CJ38" s="258">
        <f t="shared" si="3"/>
        <v>0</v>
      </c>
      <c r="CK38" s="258">
        <f t="shared" si="4"/>
        <v>0</v>
      </c>
    </row>
    <row r="39" spans="1:89" s="260" customFormat="1" ht="21.75" customHeight="1" x14ac:dyDescent="0.25">
      <c r="A39" s="253" t="s">
        <v>271</v>
      </c>
      <c r="B39" s="267" t="s">
        <v>566</v>
      </c>
      <c r="C39" s="255"/>
      <c r="D39" s="274"/>
      <c r="E39" s="274"/>
      <c r="F39" s="274"/>
      <c r="G39" s="274"/>
      <c r="H39" s="274"/>
      <c r="I39" s="274"/>
      <c r="J39" s="274"/>
      <c r="K39" s="274"/>
      <c r="L39" s="274"/>
      <c r="M39" s="274"/>
      <c r="N39" s="274"/>
      <c r="O39" s="274"/>
      <c r="P39" s="274"/>
      <c r="Q39" s="274"/>
      <c r="R39" s="306"/>
      <c r="S39" s="306"/>
      <c r="T39" s="274"/>
      <c r="U39" s="274"/>
      <c r="V39" s="274"/>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f>53187987+8712101+7191662+37503653+12154371+46051618+27068109+15621634+20931809+19968338+77084029+69551614</f>
        <v>395026925</v>
      </c>
      <c r="BT39" s="274"/>
      <c r="BU39" s="274"/>
      <c r="BV39" s="274"/>
      <c r="BW39" s="274"/>
      <c r="BX39" s="286">
        <f>+'1.a sz. Önkormányzat  '!ID39+'1.b sz. Önkormányzat  '!CH39</f>
        <v>0</v>
      </c>
      <c r="BY39" s="286">
        <f>+'1.a sz. Önkormányzat  '!IE39+'1.b sz. Önkormányzat  '!CI39</f>
        <v>395026925</v>
      </c>
      <c r="BZ39" s="286">
        <f>+'1.a sz. Önkormányzat  '!IF39+'1.b sz. Önkormányzat  '!CJ39</f>
        <v>0</v>
      </c>
      <c r="CA39" s="286">
        <f>+'1.a sz. Önkormányzat  '!IG39+'1.b sz. Önkormányzat  '!CK39</f>
        <v>0</v>
      </c>
      <c r="CB39" s="286">
        <f t="shared" si="0"/>
        <v>0</v>
      </c>
      <c r="CC39" s="286">
        <v>0</v>
      </c>
      <c r="CD39" s="286">
        <f t="shared" si="5"/>
        <v>0</v>
      </c>
      <c r="CE39" s="286">
        <f t="shared" si="6"/>
        <v>395026925</v>
      </c>
      <c r="CF39" s="286">
        <f>+'1.a sz. Önkormányzat  '!HD39+'1.a sz. Önkormányzat  '!HX39</f>
        <v>0</v>
      </c>
      <c r="CG39" s="286">
        <f>+'1.a sz. Önkormányzat  '!HE39+'1.a sz. Önkormányzat  '!HY39</f>
        <v>0</v>
      </c>
      <c r="CH39" s="257">
        <f t="shared" si="1"/>
        <v>0</v>
      </c>
      <c r="CI39" s="257">
        <f t="shared" si="2"/>
        <v>395026925</v>
      </c>
      <c r="CJ39" s="258">
        <f t="shared" si="3"/>
        <v>0</v>
      </c>
      <c r="CK39" s="258">
        <f t="shared" si="4"/>
        <v>0</v>
      </c>
    </row>
    <row r="40" spans="1:89" s="268" customFormat="1" ht="21.75" customHeight="1" x14ac:dyDescent="0.25">
      <c r="A40" s="253" t="s">
        <v>272</v>
      </c>
      <c r="B40" s="267" t="s">
        <v>846</v>
      </c>
      <c r="C40" s="264"/>
      <c r="D40" s="296"/>
      <c r="E40" s="296"/>
      <c r="F40" s="296"/>
      <c r="G40" s="296"/>
      <c r="H40" s="296"/>
      <c r="I40" s="296"/>
      <c r="J40" s="296"/>
      <c r="K40" s="296"/>
      <c r="L40" s="296"/>
      <c r="M40" s="296"/>
      <c r="N40" s="296"/>
      <c r="O40" s="296"/>
      <c r="P40" s="296"/>
      <c r="Q40" s="296"/>
      <c r="R40" s="418"/>
      <c r="S40" s="418"/>
      <c r="T40" s="296"/>
      <c r="U40" s="296"/>
      <c r="V40" s="296"/>
      <c r="W40" s="296"/>
      <c r="X40" s="296"/>
      <c r="Y40" s="296"/>
      <c r="Z40" s="296"/>
      <c r="AA40" s="296"/>
      <c r="AB40" s="284"/>
      <c r="AC40" s="284"/>
      <c r="AD40" s="284"/>
      <c r="AE40" s="284"/>
      <c r="AF40" s="284"/>
      <c r="AG40" s="284"/>
      <c r="AH40" s="284"/>
      <c r="AI40" s="284"/>
      <c r="AJ40" s="284"/>
      <c r="AK40" s="284"/>
      <c r="AL40" s="284"/>
      <c r="AM40" s="284"/>
      <c r="AN40" s="284"/>
      <c r="AO40" s="284"/>
      <c r="AP40" s="284"/>
      <c r="AQ40" s="284"/>
      <c r="AR40" s="284"/>
      <c r="AS40" s="284"/>
      <c r="AT40" s="284"/>
      <c r="AU40" s="284"/>
      <c r="AV40" s="284"/>
      <c r="AW40" s="284"/>
      <c r="AX40" s="296"/>
      <c r="AY40" s="296"/>
      <c r="AZ40" s="296"/>
      <c r="BA40" s="296"/>
      <c r="BB40" s="296"/>
      <c r="BC40" s="296"/>
      <c r="BD40" s="296"/>
      <c r="BE40" s="296"/>
      <c r="BF40" s="296"/>
      <c r="BG40" s="296"/>
      <c r="BH40" s="296"/>
      <c r="BI40" s="296"/>
      <c r="BJ40" s="296"/>
      <c r="BK40" s="296"/>
      <c r="BL40" s="296"/>
      <c r="BM40" s="296"/>
      <c r="BN40" s="296"/>
      <c r="BO40" s="296"/>
      <c r="BP40" s="296"/>
      <c r="BQ40" s="296"/>
      <c r="BR40" s="296"/>
      <c r="BS40" s="296"/>
      <c r="BT40" s="296"/>
      <c r="BU40" s="296"/>
      <c r="BV40" s="296"/>
      <c r="BW40" s="296"/>
      <c r="BX40" s="286">
        <f>+'1.a sz. Önkormányzat  '!ID40+'1.b sz. Önkormányzat  '!CH40</f>
        <v>2393632653</v>
      </c>
      <c r="BY40" s="286">
        <f>+'1.a sz. Önkormányzat  '!IE40+'1.b sz. Önkormányzat  '!CI40</f>
        <v>2602109296</v>
      </c>
      <c r="BZ40" s="286">
        <f>+'1.a sz. Önkormányzat  '!IF40+'1.b sz. Önkormányzat  '!CJ40</f>
        <v>0</v>
      </c>
      <c r="CA40" s="286">
        <f>+'1.a sz. Önkormányzat  '!IG40+'1.b sz. Önkormányzat  '!CK40</f>
        <v>0</v>
      </c>
      <c r="CB40" s="286">
        <f t="shared" si="0"/>
        <v>0</v>
      </c>
      <c r="CC40" s="286">
        <v>0</v>
      </c>
      <c r="CD40" s="286">
        <f t="shared" si="5"/>
        <v>2393632653</v>
      </c>
      <c r="CE40" s="286">
        <f t="shared" si="6"/>
        <v>2602109296</v>
      </c>
      <c r="CF40" s="286">
        <f>+'1.a sz. Önkormányzat  '!HD40+'1.a sz. Önkormányzat  '!HX40</f>
        <v>0</v>
      </c>
      <c r="CG40" s="286">
        <f>+'1.a sz. Önkormányzat  '!HE40+'1.a sz. Önkormányzat  '!HY40</f>
        <v>0</v>
      </c>
      <c r="CH40" s="257">
        <f t="shared" si="1"/>
        <v>0</v>
      </c>
      <c r="CI40" s="257">
        <f t="shared" si="2"/>
        <v>0</v>
      </c>
      <c r="CJ40" s="258">
        <f t="shared" si="3"/>
        <v>0</v>
      </c>
      <c r="CK40" s="258">
        <f t="shared" si="4"/>
        <v>0</v>
      </c>
    </row>
    <row r="41" spans="1:89" s="268" customFormat="1" ht="21.75" customHeight="1" x14ac:dyDescent="0.25">
      <c r="A41" s="253" t="s">
        <v>276</v>
      </c>
      <c r="B41" s="267" t="s">
        <v>847</v>
      </c>
      <c r="C41" s="264"/>
      <c r="D41" s="296"/>
      <c r="E41" s="296"/>
      <c r="F41" s="296"/>
      <c r="G41" s="296"/>
      <c r="H41" s="296"/>
      <c r="I41" s="296"/>
      <c r="J41" s="296"/>
      <c r="K41" s="296"/>
      <c r="L41" s="296"/>
      <c r="M41" s="296"/>
      <c r="N41" s="296"/>
      <c r="O41" s="296"/>
      <c r="P41" s="296"/>
      <c r="Q41" s="296"/>
      <c r="R41" s="418"/>
      <c r="S41" s="418"/>
      <c r="T41" s="296"/>
      <c r="U41" s="296"/>
      <c r="V41" s="296"/>
      <c r="W41" s="296"/>
      <c r="X41" s="296"/>
      <c r="Y41" s="296"/>
      <c r="Z41" s="296"/>
      <c r="AA41" s="296"/>
      <c r="AB41" s="284"/>
      <c r="AC41" s="284"/>
      <c r="AD41" s="284"/>
      <c r="AE41" s="284"/>
      <c r="AF41" s="284"/>
      <c r="AG41" s="284"/>
      <c r="AH41" s="284"/>
      <c r="AI41" s="284"/>
      <c r="AJ41" s="284"/>
      <c r="AK41" s="284"/>
      <c r="AL41" s="284"/>
      <c r="AM41" s="284"/>
      <c r="AN41" s="284"/>
      <c r="AO41" s="284"/>
      <c r="AP41" s="284"/>
      <c r="AQ41" s="284"/>
      <c r="AR41" s="284"/>
      <c r="AS41" s="284"/>
      <c r="AT41" s="284"/>
      <c r="AU41" s="284"/>
      <c r="AV41" s="284"/>
      <c r="AW41" s="284"/>
      <c r="AX41" s="296"/>
      <c r="AY41" s="296"/>
      <c r="AZ41" s="296"/>
      <c r="BA41" s="296"/>
      <c r="BB41" s="296"/>
      <c r="BC41" s="296"/>
      <c r="BD41" s="296"/>
      <c r="BE41" s="296"/>
      <c r="BF41" s="296"/>
      <c r="BG41" s="296"/>
      <c r="BH41" s="296"/>
      <c r="BI41" s="296"/>
      <c r="BJ41" s="296"/>
      <c r="BK41" s="296"/>
      <c r="BL41" s="296"/>
      <c r="BM41" s="296"/>
      <c r="BN41" s="296"/>
      <c r="BO41" s="296"/>
      <c r="BP41" s="296"/>
      <c r="BQ41" s="296"/>
      <c r="BR41" s="296"/>
      <c r="BS41" s="296"/>
      <c r="BT41" s="296"/>
      <c r="BU41" s="296"/>
      <c r="BV41" s="296"/>
      <c r="BW41" s="296"/>
      <c r="BX41" s="286">
        <f>+'1.a sz. Önkormányzat  '!ID41+'1.b sz. Önkormányzat  '!CH41</f>
        <v>1058335690</v>
      </c>
      <c r="BY41" s="286">
        <f>+'1.a sz. Önkormányzat  '!IE41+'1.b sz. Önkormányzat  '!CI41</f>
        <v>1302175690</v>
      </c>
      <c r="BZ41" s="286">
        <f>+'1.a sz. Önkormányzat  '!IF41+'1.b sz. Önkormányzat  '!CJ41</f>
        <v>0</v>
      </c>
      <c r="CA41" s="286">
        <f>+'1.a sz. Önkormányzat  '!IG41+'1.b sz. Önkormányzat  '!CK41</f>
        <v>0</v>
      </c>
      <c r="CB41" s="286">
        <f t="shared" si="0"/>
        <v>0</v>
      </c>
      <c r="CC41" s="286">
        <v>0</v>
      </c>
      <c r="CD41" s="286">
        <f t="shared" si="5"/>
        <v>1058335690</v>
      </c>
      <c r="CE41" s="286">
        <f t="shared" si="6"/>
        <v>1302175690</v>
      </c>
      <c r="CF41" s="286">
        <f>+'1.a sz. Önkormányzat  '!HD41+'1.a sz. Önkormányzat  '!HX41</f>
        <v>0</v>
      </c>
      <c r="CG41" s="286">
        <f>+'1.a sz. Önkormányzat  '!HE41+'1.a sz. Önkormányzat  '!HY41</f>
        <v>0</v>
      </c>
      <c r="CH41" s="257">
        <f t="shared" si="1"/>
        <v>0</v>
      </c>
      <c r="CI41" s="257">
        <f t="shared" si="2"/>
        <v>0</v>
      </c>
      <c r="CJ41" s="258">
        <f t="shared" si="3"/>
        <v>0</v>
      </c>
      <c r="CK41" s="258">
        <f t="shared" si="4"/>
        <v>0</v>
      </c>
    </row>
    <row r="42" spans="1:89" s="268" customFormat="1" ht="21.75" customHeight="1" x14ac:dyDescent="0.25">
      <c r="A42" s="253" t="s">
        <v>277</v>
      </c>
      <c r="B42" s="267" t="s">
        <v>539</v>
      </c>
      <c r="C42" s="264"/>
      <c r="D42" s="296"/>
      <c r="E42" s="296"/>
      <c r="F42" s="296"/>
      <c r="G42" s="296"/>
      <c r="H42" s="296"/>
      <c r="I42" s="296"/>
      <c r="J42" s="296"/>
      <c r="K42" s="296"/>
      <c r="L42" s="296"/>
      <c r="M42" s="296"/>
      <c r="N42" s="296"/>
      <c r="O42" s="296"/>
      <c r="P42" s="296"/>
      <c r="Q42" s="296"/>
      <c r="R42" s="418"/>
      <c r="S42" s="418"/>
      <c r="T42" s="296"/>
      <c r="U42" s="296"/>
      <c r="V42" s="296"/>
      <c r="W42" s="296"/>
      <c r="X42" s="296"/>
      <c r="Y42" s="296"/>
      <c r="Z42" s="296"/>
      <c r="AA42" s="296"/>
      <c r="AB42" s="284"/>
      <c r="AC42" s="284"/>
      <c r="AD42" s="284"/>
      <c r="AE42" s="284"/>
      <c r="AF42" s="284"/>
      <c r="AG42" s="284"/>
      <c r="AH42" s="284"/>
      <c r="AI42" s="284"/>
      <c r="AJ42" s="284"/>
      <c r="AK42" s="284"/>
      <c r="AL42" s="284"/>
      <c r="AM42" s="284"/>
      <c r="AN42" s="284"/>
      <c r="AO42" s="284"/>
      <c r="AP42" s="284"/>
      <c r="AQ42" s="284"/>
      <c r="AR42" s="284"/>
      <c r="AS42" s="284"/>
      <c r="AT42" s="284"/>
      <c r="AU42" s="284"/>
      <c r="AV42" s="284"/>
      <c r="AW42" s="284"/>
      <c r="AX42" s="296"/>
      <c r="AY42" s="296"/>
      <c r="AZ42" s="296"/>
      <c r="BA42" s="296"/>
      <c r="BB42" s="296"/>
      <c r="BC42" s="296"/>
      <c r="BD42" s="296"/>
      <c r="BE42" s="296"/>
      <c r="BF42" s="296"/>
      <c r="BG42" s="296"/>
      <c r="BH42" s="296"/>
      <c r="BI42" s="296"/>
      <c r="BJ42" s="296"/>
      <c r="BK42" s="296"/>
      <c r="BL42" s="296"/>
      <c r="BM42" s="296"/>
      <c r="BN42" s="296"/>
      <c r="BO42" s="296"/>
      <c r="BP42" s="296"/>
      <c r="BQ42" s="296"/>
      <c r="BR42" s="296"/>
      <c r="BS42" s="296"/>
      <c r="BT42" s="296"/>
      <c r="BU42" s="296"/>
      <c r="BV42" s="296"/>
      <c r="BW42" s="296"/>
      <c r="BX42" s="286">
        <f>+'1.a sz. Önkormányzat  '!ID42+'1.b sz. Önkormányzat  '!CH42</f>
        <v>0</v>
      </c>
      <c r="BY42" s="286">
        <f>+'1.a sz. Önkormányzat  '!IE42+'1.b sz. Önkormányzat  '!CI42</f>
        <v>0</v>
      </c>
      <c r="BZ42" s="286">
        <f>+'1.a sz. Önkormányzat  '!IF42+'1.b sz. Önkormányzat  '!CJ42</f>
        <v>0</v>
      </c>
      <c r="CA42" s="286">
        <f>+'1.a sz. Önkormányzat  '!IG42+'1.b sz. Önkormányzat  '!CK42</f>
        <v>0</v>
      </c>
      <c r="CB42" s="286">
        <f t="shared" si="0"/>
        <v>0</v>
      </c>
      <c r="CC42" s="286">
        <v>0</v>
      </c>
      <c r="CD42" s="286">
        <f t="shared" si="5"/>
        <v>0</v>
      </c>
      <c r="CE42" s="286">
        <f t="shared" si="6"/>
        <v>0</v>
      </c>
      <c r="CF42" s="286">
        <f>+'1.a sz. Önkormányzat  '!HD42+'1.a sz. Önkormányzat  '!HX42</f>
        <v>0</v>
      </c>
      <c r="CG42" s="286">
        <f>+'1.a sz. Önkormányzat  '!HE42+'1.a sz. Önkormányzat  '!HY42</f>
        <v>0</v>
      </c>
      <c r="CH42" s="257">
        <f t="shared" si="1"/>
        <v>0</v>
      </c>
      <c r="CI42" s="257">
        <f t="shared" si="2"/>
        <v>0</v>
      </c>
      <c r="CJ42" s="258">
        <f t="shared" si="3"/>
        <v>0</v>
      </c>
      <c r="CK42" s="258">
        <f t="shared" si="4"/>
        <v>0</v>
      </c>
    </row>
    <row r="43" spans="1:89" s="268" customFormat="1" ht="21.75" customHeight="1" x14ac:dyDescent="0.25">
      <c r="A43" s="253" t="s">
        <v>278</v>
      </c>
      <c r="B43" s="267" t="s">
        <v>540</v>
      </c>
      <c r="C43" s="264"/>
      <c r="D43" s="296"/>
      <c r="E43" s="296"/>
      <c r="F43" s="296"/>
      <c r="G43" s="296"/>
      <c r="H43" s="296"/>
      <c r="I43" s="296"/>
      <c r="J43" s="296"/>
      <c r="K43" s="296"/>
      <c r="L43" s="296"/>
      <c r="M43" s="296"/>
      <c r="N43" s="296"/>
      <c r="O43" s="296"/>
      <c r="P43" s="296"/>
      <c r="Q43" s="296"/>
      <c r="R43" s="418"/>
      <c r="S43" s="418"/>
      <c r="T43" s="296"/>
      <c r="U43" s="296"/>
      <c r="V43" s="296"/>
      <c r="W43" s="296"/>
      <c r="X43" s="296"/>
      <c r="Y43" s="296"/>
      <c r="Z43" s="296"/>
      <c r="AA43" s="296"/>
      <c r="AB43" s="284"/>
      <c r="AC43" s="284"/>
      <c r="AD43" s="284"/>
      <c r="AE43" s="284"/>
      <c r="AF43" s="284"/>
      <c r="AG43" s="284"/>
      <c r="AH43" s="284"/>
      <c r="AI43" s="284"/>
      <c r="AJ43" s="284"/>
      <c r="AK43" s="284"/>
      <c r="AL43" s="284"/>
      <c r="AM43" s="284"/>
      <c r="AN43" s="284"/>
      <c r="AO43" s="284"/>
      <c r="AP43" s="284"/>
      <c r="AQ43" s="284"/>
      <c r="AR43" s="284"/>
      <c r="AS43" s="284"/>
      <c r="AT43" s="284"/>
      <c r="AU43" s="284"/>
      <c r="AV43" s="284"/>
      <c r="AW43" s="284"/>
      <c r="AX43" s="296"/>
      <c r="AY43" s="296"/>
      <c r="AZ43" s="296"/>
      <c r="BA43" s="296"/>
      <c r="BB43" s="296"/>
      <c r="BC43" s="296"/>
      <c r="BD43" s="296"/>
      <c r="BE43" s="296"/>
      <c r="BF43" s="296"/>
      <c r="BG43" s="296"/>
      <c r="BH43" s="296"/>
      <c r="BI43" s="296"/>
      <c r="BJ43" s="296"/>
      <c r="BK43" s="296"/>
      <c r="BL43" s="296"/>
      <c r="BM43" s="296"/>
      <c r="BN43" s="296"/>
      <c r="BO43" s="296"/>
      <c r="BP43" s="296"/>
      <c r="BQ43" s="296"/>
      <c r="BR43" s="296"/>
      <c r="BS43" s="296"/>
      <c r="BT43" s="296"/>
      <c r="BU43" s="296"/>
      <c r="BV43" s="296"/>
      <c r="BW43" s="296"/>
      <c r="BX43" s="286">
        <f>+'1.a sz. Önkormányzat  '!ID43+'1.b sz. Önkormányzat  '!CH43</f>
        <v>0</v>
      </c>
      <c r="BY43" s="286">
        <f>+'1.a sz. Önkormányzat  '!IE43+'1.b sz. Önkormányzat  '!CI43</f>
        <v>0</v>
      </c>
      <c r="BZ43" s="286">
        <f>+'1.a sz. Önkormányzat  '!IF43+'1.b sz. Önkormányzat  '!CJ43</f>
        <v>0</v>
      </c>
      <c r="CA43" s="286">
        <f>+'1.a sz. Önkormányzat  '!IG43+'1.b sz. Önkormányzat  '!CK43</f>
        <v>0</v>
      </c>
      <c r="CB43" s="286">
        <f t="shared" si="0"/>
        <v>0</v>
      </c>
      <c r="CC43" s="286">
        <v>0</v>
      </c>
      <c r="CD43" s="286">
        <f t="shared" si="5"/>
        <v>0</v>
      </c>
      <c r="CE43" s="286">
        <f t="shared" si="6"/>
        <v>0</v>
      </c>
      <c r="CF43" s="286">
        <f>+'1.a sz. Önkormányzat  '!HD43+'1.a sz. Önkormányzat  '!HX43</f>
        <v>0</v>
      </c>
      <c r="CG43" s="286">
        <f>+'1.a sz. Önkormányzat  '!HE43+'1.a sz. Önkormányzat  '!HY43</f>
        <v>0</v>
      </c>
      <c r="CH43" s="257">
        <f t="shared" si="1"/>
        <v>0</v>
      </c>
      <c r="CI43" s="257">
        <f t="shared" si="2"/>
        <v>0</v>
      </c>
      <c r="CJ43" s="258">
        <f t="shared" si="3"/>
        <v>0</v>
      </c>
      <c r="CK43" s="258">
        <f t="shared" si="4"/>
        <v>0</v>
      </c>
    </row>
    <row r="44" spans="1:89" s="268" customFormat="1" ht="21.75" customHeight="1" x14ac:dyDescent="0.25">
      <c r="A44" s="253" t="s">
        <v>279</v>
      </c>
      <c r="B44" s="267" t="s">
        <v>574</v>
      </c>
      <c r="C44" s="264"/>
      <c r="D44" s="296"/>
      <c r="E44" s="296"/>
      <c r="F44" s="296"/>
      <c r="G44" s="296"/>
      <c r="H44" s="296"/>
      <c r="I44" s="296"/>
      <c r="J44" s="296"/>
      <c r="K44" s="296"/>
      <c r="L44" s="296"/>
      <c r="M44" s="296"/>
      <c r="N44" s="296"/>
      <c r="O44" s="296"/>
      <c r="P44" s="296"/>
      <c r="Q44" s="296"/>
      <c r="R44" s="418"/>
      <c r="S44" s="418"/>
      <c r="T44" s="296"/>
      <c r="U44" s="296"/>
      <c r="V44" s="296"/>
      <c r="W44" s="296"/>
      <c r="X44" s="296"/>
      <c r="Y44" s="296"/>
      <c r="Z44" s="296"/>
      <c r="AA44" s="296"/>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96"/>
      <c r="AY44" s="296"/>
      <c r="AZ44" s="296"/>
      <c r="BA44" s="296"/>
      <c r="BB44" s="296"/>
      <c r="BC44" s="296"/>
      <c r="BD44" s="296"/>
      <c r="BE44" s="296"/>
      <c r="BF44" s="296"/>
      <c r="BG44" s="296"/>
      <c r="BH44" s="296"/>
      <c r="BI44" s="296"/>
      <c r="BJ44" s="296"/>
      <c r="BK44" s="296"/>
      <c r="BL44" s="296"/>
      <c r="BM44" s="296"/>
      <c r="BN44" s="296"/>
      <c r="BO44" s="296"/>
      <c r="BP44" s="296"/>
      <c r="BQ44" s="296"/>
      <c r="BR44" s="296"/>
      <c r="BS44" s="296"/>
      <c r="BT44" s="296"/>
      <c r="BU44" s="296"/>
      <c r="BV44" s="296"/>
      <c r="BW44" s="296"/>
      <c r="BX44" s="286">
        <f>+'1.a sz. Önkormányzat  '!ID44+'1.b sz. Önkormányzat  '!CH44</f>
        <v>0</v>
      </c>
      <c r="BY44" s="286">
        <f>+'1.a sz. Önkormányzat  '!IE44+'1.b sz. Önkormányzat  '!CI44</f>
        <v>0</v>
      </c>
      <c r="BZ44" s="286">
        <f>+'1.a sz. Önkormányzat  '!IF44+'1.b sz. Önkormányzat  '!CJ44</f>
        <v>0</v>
      </c>
      <c r="CA44" s="286">
        <f>+'1.a sz. Önkormányzat  '!IG44+'1.b sz. Önkormányzat  '!CK44</f>
        <v>0</v>
      </c>
      <c r="CB44" s="286">
        <f t="shared" si="0"/>
        <v>0</v>
      </c>
      <c r="CC44" s="286">
        <v>0</v>
      </c>
      <c r="CD44" s="286">
        <f t="shared" si="5"/>
        <v>0</v>
      </c>
      <c r="CE44" s="286">
        <f t="shared" si="6"/>
        <v>0</v>
      </c>
      <c r="CF44" s="286">
        <f>+'1.a sz. Önkormányzat  '!HD44+'1.a sz. Önkormányzat  '!HX44</f>
        <v>0</v>
      </c>
      <c r="CG44" s="286">
        <f>+'1.a sz. Önkormányzat  '!HE44+'1.a sz. Önkormányzat  '!HY44</f>
        <v>0</v>
      </c>
      <c r="CH44" s="257">
        <f t="shared" si="1"/>
        <v>0</v>
      </c>
      <c r="CI44" s="257">
        <f t="shared" si="2"/>
        <v>0</v>
      </c>
      <c r="CJ44" s="258">
        <f t="shared" si="3"/>
        <v>0</v>
      </c>
      <c r="CK44" s="258">
        <f t="shared" si="4"/>
        <v>0</v>
      </c>
    </row>
    <row r="45" spans="1:89" s="268" customFormat="1" ht="21.75" customHeight="1" x14ac:dyDescent="0.25">
      <c r="A45" s="253" t="s">
        <v>280</v>
      </c>
      <c r="B45" s="267" t="s">
        <v>815</v>
      </c>
      <c r="C45" s="264"/>
      <c r="D45" s="296"/>
      <c r="E45" s="296"/>
      <c r="F45" s="296"/>
      <c r="G45" s="296"/>
      <c r="H45" s="296"/>
      <c r="I45" s="296"/>
      <c r="J45" s="296"/>
      <c r="K45" s="296"/>
      <c r="L45" s="296"/>
      <c r="M45" s="296"/>
      <c r="N45" s="296"/>
      <c r="O45" s="296"/>
      <c r="P45" s="296"/>
      <c r="Q45" s="296"/>
      <c r="R45" s="418"/>
      <c r="S45" s="418"/>
      <c r="T45" s="296"/>
      <c r="U45" s="296"/>
      <c r="V45" s="296"/>
      <c r="W45" s="296"/>
      <c r="X45" s="296"/>
      <c r="Y45" s="296"/>
      <c r="Z45" s="296"/>
      <c r="AA45" s="296"/>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96"/>
      <c r="AY45" s="296"/>
      <c r="AZ45" s="296"/>
      <c r="BA45" s="296"/>
      <c r="BB45" s="296"/>
      <c r="BC45" s="296"/>
      <c r="BD45" s="296"/>
      <c r="BE45" s="296"/>
      <c r="BF45" s="296"/>
      <c r="BG45" s="296"/>
      <c r="BH45" s="296"/>
      <c r="BI45" s="296"/>
      <c r="BJ45" s="296"/>
      <c r="BK45" s="296"/>
      <c r="BL45" s="296"/>
      <c r="BM45" s="296"/>
      <c r="BN45" s="296"/>
      <c r="BO45" s="296"/>
      <c r="BP45" s="296"/>
      <c r="BQ45" s="296"/>
      <c r="BR45" s="296"/>
      <c r="BS45" s="296"/>
      <c r="BT45" s="296"/>
      <c r="BU45" s="296"/>
      <c r="BV45" s="296"/>
      <c r="BW45" s="296"/>
      <c r="BX45" s="286">
        <f>+'1.a sz. Önkormányzat  '!ID45+'1.b sz. Önkormányzat  '!CH45</f>
        <v>0</v>
      </c>
      <c r="BY45" s="286">
        <f>+'1.a sz. Önkormányzat  '!IE45+'1.b sz. Önkormányzat  '!CI45</f>
        <v>0</v>
      </c>
      <c r="BZ45" s="286">
        <f>+'1.a sz. Önkormányzat  '!IF45+'1.b sz. Önkormányzat  '!CJ45</f>
        <v>0</v>
      </c>
      <c r="CA45" s="286">
        <f>+'1.a sz. Önkormányzat  '!IG45+'1.b sz. Önkormányzat  '!CK45</f>
        <v>0</v>
      </c>
      <c r="CB45" s="286">
        <f t="shared" si="0"/>
        <v>0</v>
      </c>
      <c r="CC45" s="286">
        <v>0</v>
      </c>
      <c r="CD45" s="286">
        <f t="shared" si="5"/>
        <v>0</v>
      </c>
      <c r="CE45" s="286">
        <f t="shared" si="6"/>
        <v>0</v>
      </c>
      <c r="CF45" s="286">
        <f>+'1.a sz. Önkormányzat  '!HD45+'1.a sz. Önkormányzat  '!HX45</f>
        <v>0</v>
      </c>
      <c r="CG45" s="286">
        <f>+'1.a sz. Önkormányzat  '!HE45+'1.a sz. Önkormányzat  '!HY45</f>
        <v>0</v>
      </c>
      <c r="CH45" s="257">
        <f t="shared" si="1"/>
        <v>0</v>
      </c>
      <c r="CI45" s="257">
        <f t="shared" si="2"/>
        <v>0</v>
      </c>
      <c r="CJ45" s="258">
        <f t="shared" si="3"/>
        <v>0</v>
      </c>
      <c r="CK45" s="258">
        <f t="shared" si="4"/>
        <v>0</v>
      </c>
    </row>
    <row r="46" spans="1:89" s="260" customFormat="1" ht="21.75" customHeight="1" x14ac:dyDescent="0.25">
      <c r="A46" s="253" t="s">
        <v>281</v>
      </c>
      <c r="B46" s="269" t="s">
        <v>113</v>
      </c>
      <c r="C46" s="255"/>
      <c r="D46" s="274">
        <f t="shared" ref="D46:AI46" si="39">+D30+D32+D33+D35+D40+D42+D45</f>
        <v>0</v>
      </c>
      <c r="E46" s="274">
        <f t="shared" si="39"/>
        <v>0</v>
      </c>
      <c r="F46" s="274">
        <f t="shared" si="39"/>
        <v>0</v>
      </c>
      <c r="G46" s="274">
        <f t="shared" si="39"/>
        <v>0</v>
      </c>
      <c r="H46" s="274">
        <f t="shared" si="39"/>
        <v>0</v>
      </c>
      <c r="I46" s="274">
        <f t="shared" si="39"/>
        <v>0</v>
      </c>
      <c r="J46" s="274">
        <f t="shared" si="39"/>
        <v>0</v>
      </c>
      <c r="K46" s="274">
        <f t="shared" si="39"/>
        <v>0</v>
      </c>
      <c r="L46" s="274">
        <f t="shared" si="39"/>
        <v>0</v>
      </c>
      <c r="M46" s="274">
        <f t="shared" si="39"/>
        <v>0</v>
      </c>
      <c r="N46" s="274">
        <f t="shared" si="39"/>
        <v>0</v>
      </c>
      <c r="O46" s="274">
        <f t="shared" si="39"/>
        <v>0</v>
      </c>
      <c r="P46" s="274">
        <f t="shared" si="39"/>
        <v>0</v>
      </c>
      <c r="Q46" s="274">
        <f t="shared" si="39"/>
        <v>0</v>
      </c>
      <c r="R46" s="274">
        <f t="shared" si="39"/>
        <v>0</v>
      </c>
      <c r="S46" s="274">
        <f t="shared" si="39"/>
        <v>0</v>
      </c>
      <c r="T46" s="274">
        <f t="shared" si="39"/>
        <v>0</v>
      </c>
      <c r="U46" s="274">
        <f t="shared" si="39"/>
        <v>0</v>
      </c>
      <c r="V46" s="274">
        <f t="shared" si="39"/>
        <v>0</v>
      </c>
      <c r="W46" s="274">
        <f t="shared" si="39"/>
        <v>0</v>
      </c>
      <c r="X46" s="274">
        <f t="shared" si="39"/>
        <v>0</v>
      </c>
      <c r="Y46" s="274">
        <f t="shared" si="39"/>
        <v>0</v>
      </c>
      <c r="Z46" s="274">
        <f t="shared" si="39"/>
        <v>0</v>
      </c>
      <c r="AA46" s="274">
        <f t="shared" si="39"/>
        <v>0</v>
      </c>
      <c r="AB46" s="274">
        <f t="shared" si="39"/>
        <v>0</v>
      </c>
      <c r="AC46" s="274">
        <f t="shared" si="39"/>
        <v>0</v>
      </c>
      <c r="AD46" s="274">
        <f t="shared" si="39"/>
        <v>0</v>
      </c>
      <c r="AE46" s="274">
        <f t="shared" si="39"/>
        <v>0</v>
      </c>
      <c r="AF46" s="274">
        <f t="shared" si="39"/>
        <v>0</v>
      </c>
      <c r="AG46" s="274">
        <f t="shared" si="39"/>
        <v>0</v>
      </c>
      <c r="AH46" s="274">
        <f t="shared" si="39"/>
        <v>0</v>
      </c>
      <c r="AI46" s="274">
        <f t="shared" si="39"/>
        <v>0</v>
      </c>
      <c r="AJ46" s="274">
        <f t="shared" ref="AJ46:BG46" si="40">+AJ30+AJ32+AJ33+AJ35+AJ40+AJ42+AJ45</f>
        <v>0</v>
      </c>
      <c r="AK46" s="274">
        <f t="shared" si="40"/>
        <v>0</v>
      </c>
      <c r="AL46" s="274">
        <f t="shared" si="40"/>
        <v>0</v>
      </c>
      <c r="AM46" s="274">
        <f t="shared" si="40"/>
        <v>0</v>
      </c>
      <c r="AN46" s="274">
        <f t="shared" si="40"/>
        <v>0</v>
      </c>
      <c r="AO46" s="274">
        <f t="shared" si="40"/>
        <v>0</v>
      </c>
      <c r="AP46" s="274">
        <f t="shared" si="40"/>
        <v>0</v>
      </c>
      <c r="AQ46" s="274">
        <f t="shared" si="40"/>
        <v>0</v>
      </c>
      <c r="AR46" s="274">
        <f t="shared" si="40"/>
        <v>0</v>
      </c>
      <c r="AS46" s="274">
        <f t="shared" si="40"/>
        <v>0</v>
      </c>
      <c r="AT46" s="274">
        <f t="shared" si="40"/>
        <v>0</v>
      </c>
      <c r="AU46" s="274">
        <f t="shared" si="40"/>
        <v>0</v>
      </c>
      <c r="AV46" s="274">
        <f t="shared" si="40"/>
        <v>0</v>
      </c>
      <c r="AW46" s="274">
        <f t="shared" si="40"/>
        <v>0</v>
      </c>
      <c r="AX46" s="274">
        <f t="shared" si="40"/>
        <v>0</v>
      </c>
      <c r="AY46" s="274">
        <f t="shared" si="40"/>
        <v>0</v>
      </c>
      <c r="AZ46" s="274">
        <f t="shared" si="40"/>
        <v>0</v>
      </c>
      <c r="BA46" s="274">
        <f t="shared" si="40"/>
        <v>0</v>
      </c>
      <c r="BB46" s="274">
        <f t="shared" si="40"/>
        <v>0</v>
      </c>
      <c r="BC46" s="274">
        <f t="shared" si="40"/>
        <v>665000</v>
      </c>
      <c r="BD46" s="274">
        <f t="shared" si="40"/>
        <v>0</v>
      </c>
      <c r="BE46" s="274">
        <f t="shared" si="40"/>
        <v>0</v>
      </c>
      <c r="BF46" s="274">
        <f t="shared" si="40"/>
        <v>0</v>
      </c>
      <c r="BG46" s="274">
        <f t="shared" si="40"/>
        <v>0</v>
      </c>
      <c r="BH46" s="274">
        <f t="shared" ref="BH46:BT46" si="41">+BH30+BH32+BH33+BH35+BH40+BH42+BH45</f>
        <v>2669208</v>
      </c>
      <c r="BI46" s="274">
        <f>+BI30+BI32+BI33+BI35+BI40+BI42+BI45</f>
        <v>2669208</v>
      </c>
      <c r="BJ46" s="274">
        <f t="shared" si="41"/>
        <v>0</v>
      </c>
      <c r="BK46" s="274">
        <f>+BK30+BK32+BK33+BK35+BK40+BK42+BK45</f>
        <v>0</v>
      </c>
      <c r="BL46" s="274">
        <f>+BL30+BL32+BL33+BL35+BL40+BL42+BL45</f>
        <v>0</v>
      </c>
      <c r="BM46" s="274">
        <f>+BM30+BM32+BM33+BM35+BM40+BM42+BM45</f>
        <v>0</v>
      </c>
      <c r="BN46" s="274">
        <f t="shared" si="41"/>
        <v>135000000</v>
      </c>
      <c r="BO46" s="274">
        <f>+BO30+BO32+BO33+BO35+BO40+BO42+BO45</f>
        <v>411538952</v>
      </c>
      <c r="BP46" s="274">
        <f t="shared" si="41"/>
        <v>4740160000</v>
      </c>
      <c r="BQ46" s="274">
        <f>+BQ30+BQ32+BQ33+BQ35+BQ40+BQ42+BQ45</f>
        <v>6692948293</v>
      </c>
      <c r="BR46" s="274">
        <f t="shared" si="41"/>
        <v>2044595416</v>
      </c>
      <c r="BS46" s="274">
        <f>+BS30+BS32+BS33+BS35+BS40+BS42+BS45+BS38</f>
        <v>2773756089</v>
      </c>
      <c r="BT46" s="274">
        <f t="shared" si="41"/>
        <v>67820881</v>
      </c>
      <c r="BU46" s="274">
        <f>+BU30+BU32+BU33+BU35+BU40+BU42+BU45</f>
        <v>0</v>
      </c>
      <c r="BV46" s="274">
        <f t="shared" ref="BV46:BW46" si="42">+BV30+BV32+BV33+BV35+BV40+BV42+BV45</f>
        <v>0</v>
      </c>
      <c r="BW46" s="274">
        <f t="shared" si="42"/>
        <v>0</v>
      </c>
      <c r="BX46" s="285">
        <f>+'1.a sz. Önkormányzat  '!ID46+'1.b sz. Önkormányzat  '!CH46</f>
        <v>9631398819</v>
      </c>
      <c r="BY46" s="285">
        <f>+'1.a sz. Önkormányzat  '!IE46+'1.b sz. Önkormányzat  '!CI46</f>
        <v>12562255186</v>
      </c>
      <c r="BZ46" s="285">
        <f>+'1.a sz. Önkormányzat  '!IF46+'1.b sz. Önkormányzat  '!CJ46</f>
        <v>152000000</v>
      </c>
      <c r="CA46" s="285">
        <f>+'1.a sz. Önkormányzat  '!IG46+'1.b sz. Önkormányzat  '!CK46</f>
        <v>452459885</v>
      </c>
      <c r="CB46" s="285">
        <f t="shared" si="0"/>
        <v>0</v>
      </c>
      <c r="CC46" s="285">
        <v>0</v>
      </c>
      <c r="CD46" s="285">
        <f t="shared" si="5"/>
        <v>9783398819</v>
      </c>
      <c r="CE46" s="285">
        <f t="shared" si="6"/>
        <v>13014715071</v>
      </c>
      <c r="CF46" s="286">
        <f>+'1.a sz. Önkormányzat  '!HD46+'1.a sz. Önkormányzat  '!HX46</f>
        <v>0</v>
      </c>
      <c r="CG46" s="286">
        <f>+'1.a sz. Önkormányzat  '!HE46+'1.a sz. Önkormányzat  '!HY46</f>
        <v>0</v>
      </c>
      <c r="CH46" s="257">
        <f t="shared" si="1"/>
        <v>6855245505</v>
      </c>
      <c r="CI46" s="257">
        <f t="shared" si="2"/>
        <v>9469373590</v>
      </c>
      <c r="CJ46" s="258">
        <f t="shared" si="3"/>
        <v>135000000</v>
      </c>
      <c r="CK46" s="258">
        <f t="shared" si="4"/>
        <v>412203952</v>
      </c>
    </row>
    <row r="47" spans="1:89" s="260" customFormat="1" ht="21.75" customHeight="1" x14ac:dyDescent="0.25">
      <c r="A47" s="253" t="s">
        <v>282</v>
      </c>
      <c r="B47" s="269" t="s">
        <v>114</v>
      </c>
      <c r="C47" s="255"/>
      <c r="D47" s="274">
        <f t="shared" ref="D47:AI47" si="43">+D31+D34+D36+D41+D43+D44</f>
        <v>0</v>
      </c>
      <c r="E47" s="274">
        <f t="shared" si="43"/>
        <v>0</v>
      </c>
      <c r="F47" s="274">
        <f t="shared" si="43"/>
        <v>0</v>
      </c>
      <c r="G47" s="274">
        <f t="shared" si="43"/>
        <v>0</v>
      </c>
      <c r="H47" s="274">
        <f t="shared" si="43"/>
        <v>0</v>
      </c>
      <c r="I47" s="274">
        <f t="shared" si="43"/>
        <v>0</v>
      </c>
      <c r="J47" s="274">
        <f t="shared" si="43"/>
        <v>0</v>
      </c>
      <c r="K47" s="274">
        <f t="shared" si="43"/>
        <v>0</v>
      </c>
      <c r="L47" s="274">
        <f t="shared" si="43"/>
        <v>0</v>
      </c>
      <c r="M47" s="274">
        <f t="shared" si="43"/>
        <v>0</v>
      </c>
      <c r="N47" s="274">
        <f t="shared" si="43"/>
        <v>0</v>
      </c>
      <c r="O47" s="274">
        <f t="shared" si="43"/>
        <v>0</v>
      </c>
      <c r="P47" s="274">
        <f t="shared" si="43"/>
        <v>0</v>
      </c>
      <c r="Q47" s="274">
        <f t="shared" si="43"/>
        <v>0</v>
      </c>
      <c r="R47" s="274">
        <f t="shared" si="43"/>
        <v>0</v>
      </c>
      <c r="S47" s="274">
        <f t="shared" si="43"/>
        <v>0</v>
      </c>
      <c r="T47" s="274">
        <f t="shared" si="43"/>
        <v>0</v>
      </c>
      <c r="U47" s="274">
        <f t="shared" si="43"/>
        <v>0</v>
      </c>
      <c r="V47" s="274">
        <f t="shared" si="43"/>
        <v>0</v>
      </c>
      <c r="W47" s="274">
        <f t="shared" si="43"/>
        <v>0</v>
      </c>
      <c r="X47" s="274">
        <f t="shared" si="43"/>
        <v>0</v>
      </c>
      <c r="Y47" s="274">
        <f t="shared" si="43"/>
        <v>0</v>
      </c>
      <c r="Z47" s="274">
        <f t="shared" si="43"/>
        <v>0</v>
      </c>
      <c r="AA47" s="274">
        <f t="shared" si="43"/>
        <v>0</v>
      </c>
      <c r="AB47" s="274">
        <f t="shared" si="43"/>
        <v>0</v>
      </c>
      <c r="AC47" s="274">
        <f t="shared" si="43"/>
        <v>0</v>
      </c>
      <c r="AD47" s="274">
        <f t="shared" si="43"/>
        <v>0</v>
      </c>
      <c r="AE47" s="274">
        <f t="shared" si="43"/>
        <v>0</v>
      </c>
      <c r="AF47" s="274">
        <f t="shared" si="43"/>
        <v>0</v>
      </c>
      <c r="AG47" s="274">
        <f t="shared" si="43"/>
        <v>0</v>
      </c>
      <c r="AH47" s="274">
        <f t="shared" si="43"/>
        <v>0</v>
      </c>
      <c r="AI47" s="274">
        <f t="shared" si="43"/>
        <v>0</v>
      </c>
      <c r="AJ47" s="274">
        <f t="shared" ref="AJ47:BG47" si="44">+AJ31+AJ34+AJ36+AJ41+AJ43+AJ44</f>
        <v>0</v>
      </c>
      <c r="AK47" s="274">
        <f t="shared" si="44"/>
        <v>0</v>
      </c>
      <c r="AL47" s="274">
        <f t="shared" si="44"/>
        <v>0</v>
      </c>
      <c r="AM47" s="274">
        <f t="shared" si="44"/>
        <v>0</v>
      </c>
      <c r="AN47" s="274">
        <f t="shared" si="44"/>
        <v>0</v>
      </c>
      <c r="AO47" s="274">
        <f t="shared" si="44"/>
        <v>0</v>
      </c>
      <c r="AP47" s="274">
        <f t="shared" si="44"/>
        <v>0</v>
      </c>
      <c r="AQ47" s="274">
        <f t="shared" si="44"/>
        <v>0</v>
      </c>
      <c r="AR47" s="274">
        <f t="shared" si="44"/>
        <v>0</v>
      </c>
      <c r="AS47" s="274">
        <f t="shared" si="44"/>
        <v>0</v>
      </c>
      <c r="AT47" s="274">
        <f t="shared" si="44"/>
        <v>0</v>
      </c>
      <c r="AU47" s="274">
        <f t="shared" si="44"/>
        <v>0</v>
      </c>
      <c r="AV47" s="274">
        <f t="shared" si="44"/>
        <v>0</v>
      </c>
      <c r="AW47" s="274">
        <f t="shared" si="44"/>
        <v>0</v>
      </c>
      <c r="AX47" s="274">
        <f t="shared" si="44"/>
        <v>0</v>
      </c>
      <c r="AY47" s="274">
        <f t="shared" si="44"/>
        <v>0</v>
      </c>
      <c r="AZ47" s="274">
        <f t="shared" si="44"/>
        <v>0</v>
      </c>
      <c r="BA47" s="274">
        <f t="shared" si="44"/>
        <v>0</v>
      </c>
      <c r="BB47" s="274">
        <f t="shared" si="44"/>
        <v>0</v>
      </c>
      <c r="BC47" s="274">
        <f t="shared" si="44"/>
        <v>0</v>
      </c>
      <c r="BD47" s="274">
        <f t="shared" si="44"/>
        <v>0</v>
      </c>
      <c r="BE47" s="274">
        <f t="shared" si="44"/>
        <v>0</v>
      </c>
      <c r="BF47" s="274">
        <f t="shared" si="44"/>
        <v>0</v>
      </c>
      <c r="BG47" s="274">
        <f t="shared" si="44"/>
        <v>0</v>
      </c>
      <c r="BH47" s="274">
        <f t="shared" ref="BH47:BT47" si="45">+BH31+BH34+BH36+BH41+BH43+BH44</f>
        <v>0</v>
      </c>
      <c r="BI47" s="274">
        <f>+BI31+BI34+BI36+BI41+BI43+BI44</f>
        <v>0</v>
      </c>
      <c r="BJ47" s="274">
        <f t="shared" si="45"/>
        <v>0</v>
      </c>
      <c r="BK47" s="274">
        <f>+BK31+BK34+BK36+BK41+BK43+BK44</f>
        <v>0</v>
      </c>
      <c r="BL47" s="274">
        <f>+BL31+BL34+BL36+BL41+BL43+BL44</f>
        <v>0</v>
      </c>
      <c r="BM47" s="274">
        <f>+BM31+BM34+BM36+BM41+BM43+BM44</f>
        <v>0</v>
      </c>
      <c r="BN47" s="274">
        <f t="shared" si="45"/>
        <v>0</v>
      </c>
      <c r="BO47" s="274">
        <f>+BO31+BO34+BO36+BO41+BO43+BO44</f>
        <v>0</v>
      </c>
      <c r="BP47" s="274">
        <f t="shared" si="45"/>
        <v>0</v>
      </c>
      <c r="BQ47" s="274">
        <f>+BQ31+BQ34+BQ36+BQ41+BQ43+BQ44</f>
        <v>0</v>
      </c>
      <c r="BR47" s="274">
        <f t="shared" si="45"/>
        <v>0</v>
      </c>
      <c r="BS47" s="274">
        <f>+BS31+BS34+BS36+BS41+BS43+BS44</f>
        <v>0</v>
      </c>
      <c r="BT47" s="274">
        <f t="shared" si="45"/>
        <v>0</v>
      </c>
      <c r="BU47" s="274">
        <f>+BU31+BU34+BU36+BU41+BU43+BU44</f>
        <v>0</v>
      </c>
      <c r="BV47" s="274">
        <f t="shared" ref="BV47:BW47" si="46">+BV31+BV34+BV36+BV41+BV43+BV44</f>
        <v>0</v>
      </c>
      <c r="BW47" s="274">
        <f t="shared" si="46"/>
        <v>0</v>
      </c>
      <c r="BX47" s="285">
        <f>+'1.a sz. Önkormányzat  '!ID47+'1.b sz. Önkormányzat  '!CH47</f>
        <v>1058335690</v>
      </c>
      <c r="BY47" s="285">
        <f>+'1.a sz. Önkormányzat  '!IE47+'1.b sz. Önkormányzat  '!CI47</f>
        <v>1359275690</v>
      </c>
      <c r="BZ47" s="285">
        <f>+'1.a sz. Önkormányzat  '!IF47+'1.b sz. Önkormányzat  '!CJ47</f>
        <v>53728677</v>
      </c>
      <c r="CA47" s="285">
        <f>+'1.a sz. Önkormányzat  '!IG47+'1.b sz. Önkormányzat  '!CK47</f>
        <v>319653776</v>
      </c>
      <c r="CB47" s="285">
        <f t="shared" si="0"/>
        <v>0</v>
      </c>
      <c r="CC47" s="285">
        <v>0</v>
      </c>
      <c r="CD47" s="285">
        <f t="shared" si="5"/>
        <v>1112064367</v>
      </c>
      <c r="CE47" s="285">
        <f t="shared" si="6"/>
        <v>1678929466</v>
      </c>
      <c r="CF47" s="286">
        <f>+'1.a sz. Önkormányzat  '!HD47+'1.a sz. Önkormányzat  '!HX47</f>
        <v>0</v>
      </c>
      <c r="CG47" s="286">
        <f>+'1.a sz. Önkormányzat  '!HE47+'1.a sz. Önkormányzat  '!HY47</f>
        <v>314960630</v>
      </c>
      <c r="CH47" s="257">
        <f t="shared" si="1"/>
        <v>0</v>
      </c>
      <c r="CI47" s="257">
        <f t="shared" si="2"/>
        <v>0</v>
      </c>
      <c r="CJ47" s="258">
        <f t="shared" si="3"/>
        <v>0</v>
      </c>
      <c r="CK47" s="258">
        <f t="shared" si="4"/>
        <v>0</v>
      </c>
    </row>
    <row r="48" spans="1:89" s="260" customFormat="1" ht="21.75" customHeight="1" x14ac:dyDescent="0.25">
      <c r="A48" s="253" t="s">
        <v>283</v>
      </c>
      <c r="B48" s="269" t="s">
        <v>328</v>
      </c>
      <c r="C48" s="255"/>
      <c r="D48" s="287">
        <f t="shared" ref="D48:AI48" si="47">+D46+D47</f>
        <v>0</v>
      </c>
      <c r="E48" s="287">
        <f t="shared" si="47"/>
        <v>0</v>
      </c>
      <c r="F48" s="287">
        <f t="shared" si="47"/>
        <v>0</v>
      </c>
      <c r="G48" s="287">
        <f t="shared" si="47"/>
        <v>0</v>
      </c>
      <c r="H48" s="287">
        <f t="shared" si="47"/>
        <v>0</v>
      </c>
      <c r="I48" s="287">
        <f t="shared" si="47"/>
        <v>0</v>
      </c>
      <c r="J48" s="287">
        <f t="shared" si="47"/>
        <v>0</v>
      </c>
      <c r="K48" s="287">
        <f t="shared" si="47"/>
        <v>0</v>
      </c>
      <c r="L48" s="287">
        <f t="shared" si="47"/>
        <v>0</v>
      </c>
      <c r="M48" s="287">
        <f t="shared" si="47"/>
        <v>0</v>
      </c>
      <c r="N48" s="287">
        <f t="shared" si="47"/>
        <v>0</v>
      </c>
      <c r="O48" s="287">
        <f t="shared" si="47"/>
        <v>0</v>
      </c>
      <c r="P48" s="287">
        <f t="shared" si="47"/>
        <v>0</v>
      </c>
      <c r="Q48" s="287">
        <f t="shared" si="47"/>
        <v>0</v>
      </c>
      <c r="R48" s="287">
        <f t="shared" si="47"/>
        <v>0</v>
      </c>
      <c r="S48" s="287">
        <f t="shared" si="47"/>
        <v>0</v>
      </c>
      <c r="T48" s="287">
        <f t="shared" si="47"/>
        <v>0</v>
      </c>
      <c r="U48" s="287">
        <f t="shared" si="47"/>
        <v>0</v>
      </c>
      <c r="V48" s="287">
        <f t="shared" si="47"/>
        <v>0</v>
      </c>
      <c r="W48" s="287">
        <f t="shared" si="47"/>
        <v>0</v>
      </c>
      <c r="X48" s="287">
        <f t="shared" si="47"/>
        <v>0</v>
      </c>
      <c r="Y48" s="287">
        <f t="shared" si="47"/>
        <v>0</v>
      </c>
      <c r="Z48" s="287">
        <f t="shared" si="47"/>
        <v>0</v>
      </c>
      <c r="AA48" s="287">
        <f t="shared" si="47"/>
        <v>0</v>
      </c>
      <c r="AB48" s="287">
        <f t="shared" si="47"/>
        <v>0</v>
      </c>
      <c r="AC48" s="287">
        <f t="shared" si="47"/>
        <v>0</v>
      </c>
      <c r="AD48" s="287">
        <f t="shared" si="47"/>
        <v>0</v>
      </c>
      <c r="AE48" s="287">
        <f t="shared" si="47"/>
        <v>0</v>
      </c>
      <c r="AF48" s="287">
        <f t="shared" si="47"/>
        <v>0</v>
      </c>
      <c r="AG48" s="287">
        <f t="shared" si="47"/>
        <v>0</v>
      </c>
      <c r="AH48" s="287">
        <f t="shared" si="47"/>
        <v>0</v>
      </c>
      <c r="AI48" s="287">
        <f t="shared" si="47"/>
        <v>0</v>
      </c>
      <c r="AJ48" s="287">
        <f t="shared" ref="AJ48:BG48" si="48">+AJ46+AJ47</f>
        <v>0</v>
      </c>
      <c r="AK48" s="287">
        <f t="shared" si="48"/>
        <v>0</v>
      </c>
      <c r="AL48" s="287">
        <f t="shared" si="48"/>
        <v>0</v>
      </c>
      <c r="AM48" s="287">
        <f t="shared" si="48"/>
        <v>0</v>
      </c>
      <c r="AN48" s="287">
        <f t="shared" si="48"/>
        <v>0</v>
      </c>
      <c r="AO48" s="287">
        <f t="shared" si="48"/>
        <v>0</v>
      </c>
      <c r="AP48" s="287">
        <f t="shared" si="48"/>
        <v>0</v>
      </c>
      <c r="AQ48" s="287">
        <f t="shared" si="48"/>
        <v>0</v>
      </c>
      <c r="AR48" s="287">
        <f t="shared" si="48"/>
        <v>0</v>
      </c>
      <c r="AS48" s="287">
        <f t="shared" si="48"/>
        <v>0</v>
      </c>
      <c r="AT48" s="287">
        <f t="shared" si="48"/>
        <v>0</v>
      </c>
      <c r="AU48" s="287">
        <f t="shared" si="48"/>
        <v>0</v>
      </c>
      <c r="AV48" s="287">
        <f t="shared" si="48"/>
        <v>0</v>
      </c>
      <c r="AW48" s="287">
        <f t="shared" si="48"/>
        <v>0</v>
      </c>
      <c r="AX48" s="287">
        <f t="shared" si="48"/>
        <v>0</v>
      </c>
      <c r="AY48" s="287">
        <f t="shared" si="48"/>
        <v>0</v>
      </c>
      <c r="AZ48" s="287">
        <f t="shared" si="48"/>
        <v>0</v>
      </c>
      <c r="BA48" s="287">
        <f t="shared" si="48"/>
        <v>0</v>
      </c>
      <c r="BB48" s="287">
        <f t="shared" si="48"/>
        <v>0</v>
      </c>
      <c r="BC48" s="287">
        <f t="shared" si="48"/>
        <v>665000</v>
      </c>
      <c r="BD48" s="287">
        <f t="shared" si="48"/>
        <v>0</v>
      </c>
      <c r="BE48" s="287">
        <f t="shared" si="48"/>
        <v>0</v>
      </c>
      <c r="BF48" s="287">
        <f t="shared" si="48"/>
        <v>0</v>
      </c>
      <c r="BG48" s="287">
        <f t="shared" si="48"/>
        <v>0</v>
      </c>
      <c r="BH48" s="287">
        <f t="shared" ref="BH48:BT48" si="49">+BH46+BH47</f>
        <v>2669208</v>
      </c>
      <c r="BI48" s="287">
        <f>+BI46+BI47</f>
        <v>2669208</v>
      </c>
      <c r="BJ48" s="287">
        <f t="shared" si="49"/>
        <v>0</v>
      </c>
      <c r="BK48" s="287">
        <f>+BK46+BK47</f>
        <v>0</v>
      </c>
      <c r="BL48" s="287">
        <f>+BL46+BL47</f>
        <v>0</v>
      </c>
      <c r="BM48" s="287">
        <f>+BM46+BM47</f>
        <v>0</v>
      </c>
      <c r="BN48" s="287">
        <f t="shared" si="49"/>
        <v>135000000</v>
      </c>
      <c r="BO48" s="287">
        <f>+BO46+BO47</f>
        <v>411538952</v>
      </c>
      <c r="BP48" s="287">
        <f t="shared" si="49"/>
        <v>4740160000</v>
      </c>
      <c r="BQ48" s="287">
        <f>+BQ46+BQ47</f>
        <v>6692948293</v>
      </c>
      <c r="BR48" s="287">
        <f t="shared" si="49"/>
        <v>2044595416</v>
      </c>
      <c r="BS48" s="287">
        <f>+BS46+BS47</f>
        <v>2773756089</v>
      </c>
      <c r="BT48" s="287">
        <f t="shared" si="49"/>
        <v>67820881</v>
      </c>
      <c r="BU48" s="287">
        <f>+BU46+BU47</f>
        <v>0</v>
      </c>
      <c r="BV48" s="287">
        <f t="shared" ref="BV48:BW48" si="50">+BV46+BV47</f>
        <v>0</v>
      </c>
      <c r="BW48" s="287">
        <f t="shared" si="50"/>
        <v>0</v>
      </c>
      <c r="BX48" s="285">
        <f>+'1.a sz. Önkormányzat  '!ID48+'1.b sz. Önkormányzat  '!CH48</f>
        <v>10689734509</v>
      </c>
      <c r="BY48" s="285">
        <f>+'1.a sz. Önkormányzat  '!IE48+'1.b sz. Önkormányzat  '!CI48</f>
        <v>13921530876</v>
      </c>
      <c r="BZ48" s="285">
        <f>+'1.a sz. Önkormányzat  '!IF48+'1.b sz. Önkormányzat  '!CJ48</f>
        <v>205728677</v>
      </c>
      <c r="CA48" s="285">
        <f>+'1.a sz. Önkormányzat  '!IG48+'1.b sz. Önkormányzat  '!CK48</f>
        <v>772113661</v>
      </c>
      <c r="CB48" s="285">
        <f t="shared" si="0"/>
        <v>0</v>
      </c>
      <c r="CC48" s="285">
        <v>0</v>
      </c>
      <c r="CD48" s="285">
        <f t="shared" si="5"/>
        <v>10895463186</v>
      </c>
      <c r="CE48" s="285">
        <f t="shared" si="6"/>
        <v>14693644537</v>
      </c>
      <c r="CF48" s="286">
        <f>+'1.a sz. Önkormányzat  '!HD48+'1.a sz. Önkormányzat  '!HX48</f>
        <v>0</v>
      </c>
      <c r="CG48" s="286">
        <f>+'1.a sz. Önkormányzat  '!HE48+'1.a sz. Önkormányzat  '!HY48</f>
        <v>314960630</v>
      </c>
      <c r="CH48" s="257">
        <f t="shared" si="1"/>
        <v>6855245505</v>
      </c>
      <c r="CI48" s="257">
        <f t="shared" si="2"/>
        <v>9469373590</v>
      </c>
      <c r="CJ48" s="258">
        <f t="shared" si="3"/>
        <v>135000000</v>
      </c>
      <c r="CK48" s="258">
        <f t="shared" si="4"/>
        <v>412203952</v>
      </c>
    </row>
    <row r="49" spans="1:89" s="416" customFormat="1" ht="21.75" customHeight="1" x14ac:dyDescent="0.25">
      <c r="A49" s="413" t="s">
        <v>284</v>
      </c>
      <c r="B49" s="414" t="s">
        <v>437</v>
      </c>
      <c r="C49" s="415"/>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8"/>
      <c r="AH49" s="288"/>
      <c r="AI49" s="288"/>
      <c r="AJ49" s="288"/>
      <c r="AK49" s="288"/>
      <c r="AL49" s="288"/>
      <c r="AM49" s="288"/>
      <c r="AN49" s="288"/>
      <c r="AO49" s="288"/>
      <c r="AP49" s="288"/>
      <c r="AQ49" s="288"/>
      <c r="AR49" s="288"/>
      <c r="AS49" s="288"/>
      <c r="AT49" s="288"/>
      <c r="AU49" s="288"/>
      <c r="AV49" s="288"/>
      <c r="AW49" s="288"/>
      <c r="AX49" s="288"/>
      <c r="AY49" s="288"/>
      <c r="AZ49" s="288"/>
      <c r="BA49" s="288"/>
      <c r="BB49" s="288"/>
      <c r="BC49" s="288"/>
      <c r="BD49" s="288"/>
      <c r="BE49" s="288"/>
      <c r="BF49" s="288"/>
      <c r="BG49" s="288"/>
      <c r="BH49" s="288"/>
      <c r="BI49" s="288"/>
      <c r="BJ49" s="288"/>
      <c r="BK49" s="288"/>
      <c r="BL49" s="288"/>
      <c r="BM49" s="288"/>
      <c r="BN49" s="288"/>
      <c r="BO49" s="288"/>
      <c r="BP49" s="288"/>
      <c r="BQ49" s="288"/>
      <c r="BR49" s="288"/>
      <c r="BS49" s="288"/>
      <c r="BT49" s="288"/>
      <c r="BU49" s="288"/>
      <c r="BV49" s="288"/>
      <c r="BW49" s="288"/>
      <c r="BX49" s="286">
        <f>+'1.a sz. Önkormányzat  '!ID49+'1.b sz. Önkormányzat  '!CH49</f>
        <v>17</v>
      </c>
      <c r="BY49" s="286">
        <f>+'1.a sz. Önkormányzat  '!IE49+'1.b sz. Önkormányzat  '!CI49</f>
        <v>17</v>
      </c>
      <c r="BZ49" s="286">
        <f>+'1.a sz. Önkormányzat  '!IF49+'1.b sz. Önkormányzat  '!CJ49</f>
        <v>8</v>
      </c>
      <c r="CA49" s="286">
        <f>+'1.a sz. Önkormányzat  '!IG49+'1.b sz. Önkormányzat  '!CK49</f>
        <v>7</v>
      </c>
      <c r="CB49" s="286">
        <f t="shared" si="0"/>
        <v>0</v>
      </c>
      <c r="CC49" s="286">
        <v>0</v>
      </c>
      <c r="CD49" s="286">
        <f t="shared" si="5"/>
        <v>25</v>
      </c>
      <c r="CE49" s="286">
        <f t="shared" si="6"/>
        <v>24</v>
      </c>
      <c r="CF49" s="286">
        <f>+'1.a sz. Önkormányzat  '!HD49+'1.a sz. Önkormányzat  '!HX49</f>
        <v>0</v>
      </c>
      <c r="CG49" s="286">
        <f>+'1.a sz. Önkormányzat  '!HE49+'1.a sz. Önkormányzat  '!HY49</f>
        <v>0</v>
      </c>
      <c r="CH49" s="257">
        <f t="shared" si="1"/>
        <v>0</v>
      </c>
      <c r="CI49" s="257">
        <f t="shared" si="2"/>
        <v>0</v>
      </c>
      <c r="CJ49" s="258">
        <f t="shared" si="3"/>
        <v>0</v>
      </c>
      <c r="CK49" s="258">
        <f t="shared" si="4"/>
        <v>0</v>
      </c>
    </row>
    <row r="50" spans="1:89" s="260" customFormat="1" ht="21.75" customHeight="1" x14ac:dyDescent="0.25">
      <c r="A50" s="253" t="s">
        <v>285</v>
      </c>
      <c r="B50" s="269" t="s">
        <v>1346</v>
      </c>
      <c r="C50" s="255"/>
      <c r="D50" s="288"/>
      <c r="E50" s="288"/>
      <c r="F50" s="288"/>
      <c r="G50" s="288"/>
      <c r="H50" s="288"/>
      <c r="I50" s="288"/>
      <c r="J50" s="288"/>
      <c r="K50" s="288"/>
      <c r="L50" s="288"/>
      <c r="M50" s="288"/>
      <c r="N50" s="288"/>
      <c r="O50" s="288"/>
      <c r="P50" s="288"/>
      <c r="Q50" s="288"/>
      <c r="R50" s="325"/>
      <c r="S50" s="325"/>
      <c r="T50" s="288"/>
      <c r="U50" s="288"/>
      <c r="V50" s="288"/>
      <c r="W50" s="288"/>
      <c r="X50" s="288"/>
      <c r="Y50" s="288"/>
      <c r="Z50" s="288"/>
      <c r="AA50" s="288"/>
      <c r="AB50" s="288"/>
      <c r="AC50" s="288"/>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c r="BA50" s="288"/>
      <c r="BB50" s="288"/>
      <c r="BC50" s="288"/>
      <c r="BD50" s="288"/>
      <c r="BE50" s="288"/>
      <c r="BF50" s="288"/>
      <c r="BG50" s="288"/>
      <c r="BH50" s="288"/>
      <c r="BI50" s="288"/>
      <c r="BJ50" s="288"/>
      <c r="BK50" s="288"/>
      <c r="BL50" s="288"/>
      <c r="BM50" s="288"/>
      <c r="BN50" s="288"/>
      <c r="BO50" s="288"/>
      <c r="BP50" s="288"/>
      <c r="BQ50" s="288"/>
      <c r="BR50" s="288"/>
      <c r="BS50" s="288"/>
      <c r="BT50" s="288"/>
      <c r="BU50" s="288"/>
      <c r="BV50" s="288"/>
      <c r="BW50" s="288"/>
      <c r="BX50" s="286">
        <f>+'1.a sz. Önkormányzat  '!ID50+'1.b sz. Önkormányzat  '!CH50</f>
        <v>830000000</v>
      </c>
      <c r="BY50" s="286">
        <f>+'1.a sz. Önkormányzat  '!IE50+'1.b sz. Önkormányzat  '!CI50</f>
        <v>727586700</v>
      </c>
      <c r="BZ50" s="286">
        <f>+'1.a sz. Önkormányzat  '!IF50+'1.b sz. Önkormányzat  '!CJ50</f>
        <v>0</v>
      </c>
      <c r="CA50" s="286">
        <f>+'1.a sz. Önkormányzat  '!IG50+'1.b sz. Önkormányzat  '!CK50</f>
        <v>0</v>
      </c>
      <c r="CB50" s="286">
        <f t="shared" si="0"/>
        <v>0</v>
      </c>
      <c r="CC50" s="286">
        <v>0</v>
      </c>
      <c r="CD50" s="286">
        <f>+BX50+BZ50</f>
        <v>830000000</v>
      </c>
      <c r="CE50" s="286">
        <f>+BY50+CA50</f>
        <v>727586700</v>
      </c>
      <c r="CF50" s="286">
        <f>+'1.a sz. Önkormányzat  '!HD50+'1.a sz. Önkormányzat  '!HX50</f>
        <v>0</v>
      </c>
      <c r="CG50" s="286">
        <f>+'1.a sz. Önkormányzat  '!HE50+'1.a sz. Önkormányzat  '!HY50</f>
        <v>0</v>
      </c>
      <c r="CH50" s="257">
        <f t="shared" si="1"/>
        <v>0</v>
      </c>
      <c r="CI50" s="257">
        <f t="shared" si="2"/>
        <v>0</v>
      </c>
      <c r="CJ50" s="258">
        <f t="shared" si="3"/>
        <v>0</v>
      </c>
      <c r="CK50" s="258">
        <f t="shared" si="4"/>
        <v>0</v>
      </c>
    </row>
    <row r="51" spans="1:89" x14ac:dyDescent="0.25">
      <c r="A51" s="248"/>
      <c r="D51" s="258" t="e">
        <f>SUM(#REF!)</f>
        <v>#REF!</v>
      </c>
      <c r="E51" s="258"/>
      <c r="F51" s="258"/>
      <c r="G51" s="258"/>
      <c r="H51" s="258"/>
      <c r="I51" s="258"/>
      <c r="J51" s="258"/>
      <c r="K51" s="258"/>
      <c r="L51" s="258" t="e">
        <f>SUM(#REF!)</f>
        <v>#REF!</v>
      </c>
      <c r="M51" s="258"/>
      <c r="N51" s="258"/>
      <c r="O51" s="258"/>
      <c r="P51" s="258"/>
      <c r="Q51" s="258"/>
      <c r="R51" s="258"/>
      <c r="S51" s="258"/>
      <c r="T51" s="258" t="e">
        <f>SUM(#REF!)</f>
        <v>#REF!</v>
      </c>
      <c r="U51" s="258"/>
      <c r="V51" s="258"/>
      <c r="W51" s="258"/>
      <c r="X51" s="258"/>
      <c r="Y51" s="258"/>
      <c r="Z51" s="258"/>
      <c r="AA51" s="258"/>
      <c r="AB51" s="258" t="e">
        <f>SUM(#REF!)</f>
        <v>#REF!</v>
      </c>
      <c r="AC51" s="258"/>
      <c r="AD51" s="258" t="e">
        <f>SUM(#REF!)</f>
        <v>#REF!</v>
      </c>
      <c r="AE51" s="258"/>
      <c r="AF51" s="258" t="e">
        <f>SUM(#REF!)</f>
        <v>#REF!</v>
      </c>
      <c r="AG51" s="258"/>
      <c r="AH51" s="258" t="e">
        <f>SUM(#REF!)</f>
        <v>#REF!</v>
      </c>
      <c r="AI51" s="258"/>
      <c r="AJ51" s="258" t="e">
        <f>SUM(#REF!)</f>
        <v>#REF!</v>
      </c>
      <c r="AK51" s="258"/>
      <c r="AL51" s="258" t="e">
        <f>SUM(#REF!)</f>
        <v>#REF!</v>
      </c>
      <c r="AM51" s="258"/>
      <c r="AN51" s="258" t="e">
        <f>SUM(#REF!)</f>
        <v>#REF!</v>
      </c>
      <c r="AO51" s="258"/>
      <c r="AP51" s="258" t="e">
        <f>SUM(#REF!)</f>
        <v>#REF!</v>
      </c>
      <c r="AQ51" s="258"/>
      <c r="AR51" s="258" t="e">
        <f>SUM(#REF!)</f>
        <v>#REF!</v>
      </c>
      <c r="AS51" s="258"/>
      <c r="AT51" s="258" t="e">
        <f>SUM(#REF!)</f>
        <v>#REF!</v>
      </c>
      <c r="AU51" s="258"/>
      <c r="AV51" s="258" t="e">
        <f>SUM(#REF!)</f>
        <v>#REF!</v>
      </c>
      <c r="AW51" s="258"/>
      <c r="AX51" s="258" t="e">
        <f>SUM(#REF!)</f>
        <v>#REF!</v>
      </c>
      <c r="AY51" s="258"/>
      <c r="AZ51" s="258" t="e">
        <f>SUM(#REF!)</f>
        <v>#REF!</v>
      </c>
      <c r="BA51" s="258"/>
      <c r="BB51" s="258" t="e">
        <f>SUM(#REF!)</f>
        <v>#REF!</v>
      </c>
      <c r="BC51" s="258"/>
      <c r="BD51" s="258" t="e">
        <f>SUM(#REF!)</f>
        <v>#REF!</v>
      </c>
      <c r="BE51" s="258"/>
      <c r="BF51" s="258" t="e">
        <f>SUM(#REF!)</f>
        <v>#REF!</v>
      </c>
      <c r="BG51" s="258"/>
      <c r="BH51" s="282" t="e">
        <f>SUM(#REF!)</f>
        <v>#REF!</v>
      </c>
      <c r="BI51" s="282"/>
      <c r="BJ51" s="282"/>
      <c r="BK51" s="282"/>
      <c r="BL51" s="282"/>
      <c r="BM51" s="282"/>
      <c r="BN51" s="258" t="e">
        <f>SUM(#REF!)</f>
        <v>#REF!</v>
      </c>
      <c r="BO51" s="258"/>
      <c r="BP51" s="258" t="e">
        <f>SUM(#REF!)</f>
        <v>#REF!</v>
      </c>
      <c r="BQ51" s="258"/>
      <c r="BR51" s="258" t="e">
        <f>SUM(#REF!)</f>
        <v>#REF!</v>
      </c>
      <c r="BS51" s="258"/>
      <c r="BT51" s="258" t="e">
        <f>SUM(#REF!)</f>
        <v>#REF!</v>
      </c>
      <c r="BU51" s="258"/>
      <c r="BV51" s="258"/>
      <c r="BW51" s="258"/>
      <c r="BX51" s="258" t="e">
        <f>SUM(#REF!)</f>
        <v>#REF!</v>
      </c>
      <c r="BY51" s="258"/>
      <c r="BZ51" s="258" t="e">
        <f>SUM(#REF!)</f>
        <v>#REF!</v>
      </c>
      <c r="CA51" s="258"/>
      <c r="CB51" s="258" t="e">
        <f>SUM(#REF!)</f>
        <v>#REF!</v>
      </c>
      <c r="CC51" s="258"/>
      <c r="CD51" s="258"/>
      <c r="CE51" s="258"/>
      <c r="CF51" s="258"/>
      <c r="CG51" s="257" t="e">
        <f>SUM(#REF!)</f>
        <v>#REF!</v>
      </c>
      <c r="CH51" s="258"/>
    </row>
    <row r="52" spans="1:89" ht="16.5" thickBot="1" x14ac:dyDescent="0.3">
      <c r="A52" s="248"/>
      <c r="D52" s="258" t="e">
        <f>+#REF!+#REF!+#REF!+#REF!+#REF!</f>
        <v>#REF!</v>
      </c>
      <c r="E52" s="258"/>
      <c r="F52" s="258"/>
      <c r="G52" s="258"/>
      <c r="H52" s="258"/>
      <c r="I52" s="258"/>
      <c r="J52" s="258"/>
      <c r="K52" s="258"/>
      <c r="L52" s="258" t="e">
        <f>+#REF!+#REF!+#REF!+#REF!+#REF!</f>
        <v>#REF!</v>
      </c>
      <c r="M52" s="258"/>
      <c r="N52" s="258"/>
      <c r="O52" s="258"/>
      <c r="P52" s="258"/>
      <c r="Q52" s="258"/>
      <c r="R52" s="258"/>
      <c r="S52" s="258"/>
      <c r="T52" s="258" t="e">
        <f>+#REF!+#REF!+#REF!+#REF!+#REF!</f>
        <v>#REF!</v>
      </c>
      <c r="U52" s="258"/>
      <c r="V52" s="258"/>
      <c r="W52" s="258"/>
      <c r="X52" s="258"/>
      <c r="Y52" s="258"/>
      <c r="Z52" s="258"/>
      <c r="AA52" s="258"/>
      <c r="AB52" s="258" t="e">
        <f>+#REF!+#REF!+#REF!+#REF!+#REF!</f>
        <v>#REF!</v>
      </c>
      <c r="AC52" s="258"/>
      <c r="AD52" s="258" t="e">
        <f>+#REF!+#REF!+#REF!+#REF!+#REF!</f>
        <v>#REF!</v>
      </c>
      <c r="AE52" s="258"/>
      <c r="AF52" s="258" t="e">
        <f>+#REF!+#REF!+#REF!+#REF!+#REF!</f>
        <v>#REF!</v>
      </c>
      <c r="AG52" s="258"/>
      <c r="AH52" s="258" t="e">
        <f>+#REF!+#REF!+#REF!+#REF!+#REF!</f>
        <v>#REF!</v>
      </c>
      <c r="AI52" s="258"/>
      <c r="AJ52" s="258" t="e">
        <f>+#REF!+#REF!+#REF!+#REF!+#REF!</f>
        <v>#REF!</v>
      </c>
      <c r="AK52" s="258"/>
      <c r="AL52" s="258" t="e">
        <f>+#REF!+#REF!+#REF!+#REF!+#REF!</f>
        <v>#REF!</v>
      </c>
      <c r="AM52" s="258"/>
      <c r="AN52" s="258" t="e">
        <f>+#REF!+#REF!+#REF!+#REF!+#REF!</f>
        <v>#REF!</v>
      </c>
      <c r="AO52" s="258"/>
      <c r="AP52" s="258" t="e">
        <f>+#REF!+#REF!+#REF!+#REF!+#REF!</f>
        <v>#REF!</v>
      </c>
      <c r="AQ52" s="258"/>
      <c r="AR52" s="258" t="e">
        <f>+#REF!+#REF!+#REF!+#REF!+#REF!</f>
        <v>#REF!</v>
      </c>
      <c r="AS52" s="258"/>
      <c r="AT52" s="258" t="e">
        <f>+#REF!+#REF!+#REF!+#REF!+#REF!</f>
        <v>#REF!</v>
      </c>
      <c r="AU52" s="258"/>
      <c r="AV52" s="258" t="e">
        <f>+#REF!+#REF!+#REF!+#REF!+#REF!</f>
        <v>#REF!</v>
      </c>
      <c r="AW52" s="258"/>
      <c r="AX52" s="258" t="e">
        <f>+#REF!+#REF!+#REF!+#REF!+#REF!</f>
        <v>#REF!</v>
      </c>
      <c r="AY52" s="258"/>
      <c r="AZ52" s="258" t="e">
        <f>+#REF!+#REF!+#REF!+#REF!+#REF!</f>
        <v>#REF!</v>
      </c>
      <c r="BA52" s="258"/>
      <c r="BB52" s="258" t="e">
        <f>+#REF!+#REF!+#REF!+#REF!+#REF!</f>
        <v>#REF!</v>
      </c>
      <c r="BC52" s="258"/>
      <c r="BD52" s="258" t="e">
        <f>+#REF!+#REF!+#REF!+#REF!+#REF!</f>
        <v>#REF!</v>
      </c>
      <c r="BE52" s="258"/>
      <c r="BF52" s="258" t="e">
        <f>+#REF!+#REF!+#REF!+#REF!+#REF!</f>
        <v>#REF!</v>
      </c>
      <c r="BG52" s="258"/>
      <c r="BH52" s="282" t="e">
        <f>+#REF!+#REF!+#REF!+#REF!+#REF!</f>
        <v>#REF!</v>
      </c>
      <c r="BI52" s="282"/>
      <c r="BJ52" s="282"/>
      <c r="BK52" s="282"/>
      <c r="BL52" s="282"/>
      <c r="BM52" s="282"/>
      <c r="BN52" s="258" t="e">
        <f>+#REF!+#REF!+#REF!+#REF!+#REF!</f>
        <v>#REF!</v>
      </c>
      <c r="BO52" s="258"/>
      <c r="BP52" s="258" t="e">
        <f>+#REF!+#REF!+#REF!+#REF!+#REF!</f>
        <v>#REF!</v>
      </c>
      <c r="BQ52" s="258"/>
      <c r="BR52" s="258" t="e">
        <f>+#REF!+#REF!+#REF!+#REF!+#REF!</f>
        <v>#REF!</v>
      </c>
      <c r="BS52" s="258"/>
      <c r="BT52" s="258" t="e">
        <f>+#REF!+#REF!+#REF!+#REF!+#REF!</f>
        <v>#REF!</v>
      </c>
      <c r="BU52" s="258"/>
      <c r="BV52" s="258"/>
      <c r="BW52" s="258"/>
      <c r="BX52" s="258" t="e">
        <f>+#REF!+#REF!+#REF!+#REF!+#REF!</f>
        <v>#REF!</v>
      </c>
      <c r="BY52" s="258"/>
      <c r="BZ52" s="258" t="e">
        <f>+#REF!+#REF!+#REF!+#REF!+#REF!</f>
        <v>#REF!</v>
      </c>
      <c r="CA52" s="258"/>
      <c r="CB52" s="258" t="e">
        <f>+#REF!+#REF!+#REF!+#REF!+#REF!</f>
        <v>#REF!</v>
      </c>
      <c r="CC52" s="258"/>
      <c r="CD52" s="258"/>
      <c r="CE52" s="258"/>
      <c r="CF52" s="258"/>
      <c r="CG52" s="258"/>
      <c r="CH52" s="258"/>
    </row>
    <row r="53" spans="1:89" ht="16.5" thickBot="1" x14ac:dyDescent="0.3">
      <c r="A53" s="248"/>
      <c r="D53" s="258" t="e">
        <f>+#REF!</f>
        <v>#REF!</v>
      </c>
      <c r="E53" s="258"/>
      <c r="F53" s="258"/>
      <c r="G53" s="258"/>
      <c r="H53" s="258"/>
      <c r="I53" s="258"/>
      <c r="J53" s="258"/>
      <c r="K53" s="258"/>
      <c r="L53" s="258" t="e">
        <f>+#REF!</f>
        <v>#REF!</v>
      </c>
      <c r="M53" s="258"/>
      <c r="N53" s="258"/>
      <c r="O53" s="258"/>
      <c r="P53" s="258"/>
      <c r="Q53" s="258"/>
      <c r="R53" s="258"/>
      <c r="S53" s="258"/>
      <c r="T53" s="258" t="e">
        <f>+#REF!</f>
        <v>#REF!</v>
      </c>
      <c r="U53" s="258"/>
      <c r="V53" s="258"/>
      <c r="W53" s="258"/>
      <c r="X53" s="258"/>
      <c r="Y53" s="258"/>
      <c r="Z53" s="258"/>
      <c r="AA53" s="258"/>
      <c r="AB53" s="258" t="e">
        <f>+#REF!</f>
        <v>#REF!</v>
      </c>
      <c r="AC53" s="258"/>
      <c r="AD53" s="258" t="e">
        <f>+#REF!</f>
        <v>#REF!</v>
      </c>
      <c r="AE53" s="258"/>
      <c r="AF53" s="258" t="e">
        <f>+#REF!</f>
        <v>#REF!</v>
      </c>
      <c r="AG53" s="258"/>
      <c r="AH53" s="258" t="e">
        <f>+#REF!</f>
        <v>#REF!</v>
      </c>
      <c r="AI53" s="258"/>
      <c r="AJ53" s="258" t="e">
        <f>+#REF!</f>
        <v>#REF!</v>
      </c>
      <c r="AK53" s="258"/>
      <c r="AL53" s="258" t="e">
        <f>+#REF!</f>
        <v>#REF!</v>
      </c>
      <c r="AM53" s="258"/>
      <c r="AN53" s="258" t="e">
        <f>+#REF!</f>
        <v>#REF!</v>
      </c>
      <c r="AO53" s="258"/>
      <c r="AP53" s="258" t="e">
        <f>+#REF!</f>
        <v>#REF!</v>
      </c>
      <c r="AQ53" s="258"/>
      <c r="AR53" s="258" t="e">
        <f>+#REF!</f>
        <v>#REF!</v>
      </c>
      <c r="AS53" s="258"/>
      <c r="AT53" s="258" t="e">
        <f>+#REF!</f>
        <v>#REF!</v>
      </c>
      <c r="AU53" s="258"/>
      <c r="AV53" s="258" t="e">
        <f>+#REF!</f>
        <v>#REF!</v>
      </c>
      <c r="AW53" s="258"/>
      <c r="AX53" s="258" t="e">
        <f>+#REF!</f>
        <v>#REF!</v>
      </c>
      <c r="AY53" s="258"/>
      <c r="AZ53" s="258" t="e">
        <f>+#REF!</f>
        <v>#REF!</v>
      </c>
      <c r="BA53" s="258"/>
      <c r="BB53" s="258" t="e">
        <f>+#REF!</f>
        <v>#REF!</v>
      </c>
      <c r="BC53" s="258"/>
      <c r="BD53" s="258" t="e">
        <f>+#REF!</f>
        <v>#REF!</v>
      </c>
      <c r="BE53" s="258"/>
      <c r="BF53" s="258" t="e">
        <f>+#REF!</f>
        <v>#REF!</v>
      </c>
      <c r="BG53" s="258"/>
      <c r="BH53" s="282" t="e">
        <f>+#REF!</f>
        <v>#REF!</v>
      </c>
      <c r="BI53" s="282"/>
      <c r="BJ53" s="282"/>
      <c r="BK53" s="282"/>
      <c r="BL53" s="282"/>
      <c r="BM53" s="282"/>
      <c r="BN53" s="258" t="e">
        <f>+#REF!</f>
        <v>#REF!</v>
      </c>
      <c r="BO53" s="258"/>
      <c r="BP53" s="258" t="e">
        <f>+#REF!</f>
        <v>#REF!</v>
      </c>
      <c r="BQ53" s="258"/>
      <c r="BR53" s="258" t="e">
        <f>+#REF!</f>
        <v>#REF!</v>
      </c>
      <c r="BS53" s="258"/>
      <c r="BT53" s="258" t="e">
        <f>+#REF!</f>
        <v>#REF!</v>
      </c>
      <c r="BU53" s="258"/>
      <c r="BV53" s="258"/>
      <c r="BW53" s="258"/>
      <c r="BX53" s="258" t="e">
        <f>+#REF!</f>
        <v>#REF!</v>
      </c>
      <c r="BY53" s="258"/>
      <c r="BZ53" s="258" t="e">
        <f>+#REF!</f>
        <v>#REF!</v>
      </c>
      <c r="CA53" s="258"/>
      <c r="CB53" s="258" t="e">
        <f>+#REF!</f>
        <v>#REF!</v>
      </c>
      <c r="CC53" s="258"/>
      <c r="CD53" s="258"/>
      <c r="CE53" s="258"/>
      <c r="CF53" s="258"/>
      <c r="CG53" s="271" t="e">
        <f>+#REF!-#REF!</f>
        <v>#REF!</v>
      </c>
      <c r="CH53" s="258"/>
    </row>
    <row r="54" spans="1:89" x14ac:dyDescent="0.25">
      <c r="A54" s="248"/>
      <c r="D54" s="258" t="e">
        <f>+D52-D53</f>
        <v>#REF!</v>
      </c>
      <c r="E54" s="258"/>
      <c r="F54" s="258"/>
      <c r="G54" s="258"/>
      <c r="H54" s="258"/>
      <c r="I54" s="258"/>
      <c r="J54" s="258"/>
      <c r="K54" s="258"/>
      <c r="L54" s="258" t="e">
        <f>+L52-L53</f>
        <v>#REF!</v>
      </c>
      <c r="M54" s="258"/>
      <c r="N54" s="258"/>
      <c r="O54" s="258"/>
      <c r="P54" s="258"/>
      <c r="Q54" s="258"/>
      <c r="R54" s="258"/>
      <c r="S54" s="258"/>
      <c r="T54" s="258" t="e">
        <f>+T52-T53</f>
        <v>#REF!</v>
      </c>
      <c r="U54" s="258"/>
      <c r="V54" s="258"/>
      <c r="W54" s="258"/>
      <c r="X54" s="258"/>
      <c r="Y54" s="258"/>
      <c r="Z54" s="258"/>
      <c r="AA54" s="258"/>
      <c r="AB54" s="258" t="e">
        <f>+AB52-AB53</f>
        <v>#REF!</v>
      </c>
      <c r="AC54" s="258"/>
      <c r="AD54" s="258" t="e">
        <f>+AD52-AD53</f>
        <v>#REF!</v>
      </c>
      <c r="AE54" s="258"/>
      <c r="AF54" s="258" t="e">
        <f>+AF52-AF53</f>
        <v>#REF!</v>
      </c>
      <c r="AG54" s="258"/>
      <c r="AH54" s="258" t="e">
        <f>+AH52-AH53</f>
        <v>#REF!</v>
      </c>
      <c r="AI54" s="258"/>
      <c r="AJ54" s="258" t="e">
        <f>+AJ52-AJ53</f>
        <v>#REF!</v>
      </c>
      <c r="AK54" s="258"/>
      <c r="AL54" s="258" t="e">
        <f>+AL52-AL53</f>
        <v>#REF!</v>
      </c>
      <c r="AM54" s="258"/>
      <c r="AN54" s="258" t="e">
        <f>+AN52-AN53</f>
        <v>#REF!</v>
      </c>
      <c r="AO54" s="258"/>
      <c r="AP54" s="258" t="e">
        <f>+AP52-AP53</f>
        <v>#REF!</v>
      </c>
      <c r="AQ54" s="258"/>
      <c r="AR54" s="258" t="e">
        <f>+AR52-AR53</f>
        <v>#REF!</v>
      </c>
      <c r="AS54" s="258"/>
      <c r="AT54" s="258" t="e">
        <f>+AT52-AT53</f>
        <v>#REF!</v>
      </c>
      <c r="AU54" s="258"/>
      <c r="AV54" s="258" t="e">
        <f>+AV52-AV53</f>
        <v>#REF!</v>
      </c>
      <c r="AW54" s="258"/>
      <c r="AX54" s="258" t="e">
        <f>+AX52-AX53</f>
        <v>#REF!</v>
      </c>
      <c r="AY54" s="258"/>
      <c r="AZ54" s="258" t="e">
        <f>+AZ52-AZ53</f>
        <v>#REF!</v>
      </c>
      <c r="BA54" s="258"/>
      <c r="BB54" s="258" t="e">
        <f>+BB52-BB53</f>
        <v>#REF!</v>
      </c>
      <c r="BC54" s="258"/>
      <c r="BD54" s="258" t="e">
        <f>+BD52-BD53</f>
        <v>#REF!</v>
      </c>
      <c r="BE54" s="258"/>
      <c r="BF54" s="258" t="e">
        <f>+BF52-BF53</f>
        <v>#REF!</v>
      </c>
      <c r="BG54" s="258"/>
      <c r="BH54" s="282" t="e">
        <f>+BH52-BH53</f>
        <v>#REF!</v>
      </c>
      <c r="BI54" s="282"/>
      <c r="BJ54" s="282"/>
      <c r="BK54" s="282"/>
      <c r="BL54" s="282"/>
      <c r="BM54" s="282"/>
      <c r="BN54" s="258" t="e">
        <f>+BN52-BN53</f>
        <v>#REF!</v>
      </c>
      <c r="BO54" s="258"/>
      <c r="BP54" s="258" t="e">
        <f>+BP52-BP53</f>
        <v>#REF!</v>
      </c>
      <c r="BQ54" s="258"/>
      <c r="BR54" s="258" t="e">
        <f>+BR52-BR53</f>
        <v>#REF!</v>
      </c>
      <c r="BS54" s="258"/>
      <c r="BT54" s="258" t="e">
        <f>+BT52-BT53</f>
        <v>#REF!</v>
      </c>
      <c r="BU54" s="258"/>
      <c r="BV54" s="258"/>
      <c r="BW54" s="258"/>
      <c r="BX54" s="258" t="e">
        <f>+BX52-BX53</f>
        <v>#REF!</v>
      </c>
      <c r="BY54" s="258"/>
      <c r="BZ54" s="258" t="e">
        <f>+BZ52-BZ53</f>
        <v>#REF!</v>
      </c>
      <c r="CA54" s="258"/>
      <c r="CB54" s="258" t="e">
        <f>+CB52-CB53</f>
        <v>#REF!</v>
      </c>
      <c r="CC54" s="258"/>
      <c r="CD54" s="272"/>
      <c r="CE54" s="272"/>
      <c r="CF54" s="272"/>
      <c r="CG54" s="272" t="e">
        <f>CG51-CG53</f>
        <v>#REF!</v>
      </c>
      <c r="CH54" s="272"/>
    </row>
    <row r="55" spans="1:89" x14ac:dyDescent="0.25">
      <c r="A55" s="248"/>
      <c r="D55" s="258"/>
      <c r="E55" s="258"/>
      <c r="F55" s="258"/>
      <c r="G55" s="258"/>
      <c r="H55" s="258"/>
      <c r="I55" s="258"/>
      <c r="J55" s="258"/>
      <c r="K55" s="258"/>
      <c r="L55" s="258"/>
      <c r="M55" s="258"/>
      <c r="N55" s="258"/>
      <c r="O55" s="258"/>
      <c r="P55" s="258"/>
      <c r="Q55" s="258"/>
      <c r="R55" s="258"/>
      <c r="S55" s="258"/>
      <c r="T55" s="258"/>
      <c r="U55" s="258"/>
      <c r="V55" s="258"/>
      <c r="W55" s="258"/>
      <c r="X55" s="258"/>
      <c r="Y55" s="258"/>
      <c r="Z55" s="258"/>
      <c r="AA55" s="258"/>
      <c r="AB55" s="258"/>
      <c r="AC55" s="258"/>
      <c r="AD55" s="258"/>
      <c r="AE55" s="258"/>
      <c r="AF55" s="258"/>
      <c r="AG55" s="258"/>
      <c r="AH55" s="258"/>
      <c r="AI55" s="258"/>
      <c r="AJ55" s="258"/>
      <c r="AK55" s="258"/>
      <c r="AL55" s="258"/>
      <c r="AM55" s="258"/>
      <c r="AN55" s="258"/>
      <c r="AO55" s="258"/>
      <c r="AP55" s="258"/>
      <c r="AQ55" s="258"/>
      <c r="AR55" s="258"/>
      <c r="AS55" s="258"/>
      <c r="AT55" s="258"/>
      <c r="AU55" s="258"/>
      <c r="AV55" s="258"/>
      <c r="AW55" s="258"/>
      <c r="AX55" s="258"/>
      <c r="AY55" s="258"/>
      <c r="AZ55" s="258"/>
      <c r="BA55" s="258"/>
      <c r="BB55" s="258"/>
      <c r="BC55" s="258"/>
      <c r="BD55" s="258"/>
      <c r="BE55" s="258"/>
      <c r="BF55" s="258"/>
      <c r="BG55" s="258"/>
      <c r="BH55" s="282"/>
      <c r="BI55" s="282"/>
      <c r="BJ55" s="282"/>
      <c r="BK55" s="282"/>
      <c r="BL55" s="282"/>
      <c r="BM55" s="282"/>
      <c r="BN55" s="258"/>
      <c r="BO55" s="258"/>
      <c r="BP55" s="258"/>
      <c r="BQ55" s="258"/>
      <c r="BR55" s="258"/>
      <c r="BS55" s="258"/>
      <c r="BT55" s="258"/>
      <c r="BU55" s="258"/>
      <c r="BV55" s="258"/>
      <c r="BW55" s="258"/>
      <c r="BX55" s="258"/>
      <c r="BY55" s="258"/>
      <c r="BZ55" s="258"/>
      <c r="CA55" s="258"/>
      <c r="CB55" s="258"/>
      <c r="CC55" s="258"/>
    </row>
    <row r="56" spans="1:89" x14ac:dyDescent="0.25">
      <c r="A56" s="24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F56" s="258"/>
      <c r="AG56" s="258"/>
      <c r="AH56" s="258"/>
      <c r="AI56" s="258"/>
      <c r="AJ56" s="258"/>
      <c r="AK56" s="258"/>
      <c r="AL56" s="258"/>
      <c r="AM56" s="258"/>
      <c r="AN56" s="258"/>
      <c r="AO56" s="258"/>
      <c r="AP56" s="258"/>
      <c r="AQ56" s="258"/>
      <c r="AR56" s="258"/>
      <c r="AS56" s="258"/>
      <c r="AT56" s="258"/>
      <c r="AU56" s="258"/>
      <c r="AV56" s="258"/>
      <c r="AW56" s="258"/>
      <c r="AX56" s="258"/>
      <c r="AY56" s="258"/>
      <c r="AZ56" s="258"/>
      <c r="BA56" s="258"/>
      <c r="BB56" s="258"/>
      <c r="BC56" s="258"/>
      <c r="BD56" s="258"/>
      <c r="BE56" s="258"/>
      <c r="BF56" s="258"/>
      <c r="BG56" s="258"/>
      <c r="BH56" s="282"/>
      <c r="BI56" s="282"/>
      <c r="BJ56" s="282"/>
      <c r="BK56" s="282"/>
      <c r="BL56" s="282"/>
      <c r="BM56" s="282"/>
      <c r="BN56" s="258"/>
      <c r="BO56" s="258"/>
      <c r="BP56" s="258"/>
      <c r="BQ56" s="258"/>
      <c r="BR56" s="258"/>
      <c r="BS56" s="258"/>
      <c r="CG56" s="258" t="e">
        <f>+CG53+CG55</f>
        <v>#REF!</v>
      </c>
    </row>
    <row r="57" spans="1:89" x14ac:dyDescent="0.25">
      <c r="CB57" s="258" t="e">
        <f>+#REF!-CB56</f>
        <v>#REF!</v>
      </c>
      <c r="CC57" s="258"/>
    </row>
    <row r="61" spans="1:89" x14ac:dyDescent="0.25">
      <c r="A61" s="248"/>
      <c r="AF61" s="272" t="e">
        <f>+#REF!+#REF!+#REF!+#REF!+#REF!</f>
        <v>#REF!</v>
      </c>
      <c r="AG61" s="272"/>
    </row>
  </sheetData>
  <mergeCells count="89">
    <mergeCell ref="AQ5:AQ6"/>
    <mergeCell ref="CF3:CF6"/>
    <mergeCell ref="CG3:CG6"/>
    <mergeCell ref="BT5:BT6"/>
    <mergeCell ref="BJ5:BJ6"/>
    <mergeCell ref="AT5:AT6"/>
    <mergeCell ref="AV5:AV6"/>
    <mergeCell ref="AX5:AX6"/>
    <mergeCell ref="BE5:BE6"/>
    <mergeCell ref="BG5:BG6"/>
    <mergeCell ref="BI5:BI6"/>
    <mergeCell ref="AZ5:AZ6"/>
    <mergeCell ref="BB5:BB6"/>
    <mergeCell ref="BD5:BD6"/>
    <mergeCell ref="BF5:BF6"/>
    <mergeCell ref="BH5:BH6"/>
    <mergeCell ref="A2:C2"/>
    <mergeCell ref="A3:A6"/>
    <mergeCell ref="B3:C3"/>
    <mergeCell ref="Y5:Y6"/>
    <mergeCell ref="AA5:AA6"/>
    <mergeCell ref="B4:C4"/>
    <mergeCell ref="D5:D6"/>
    <mergeCell ref="F5:F6"/>
    <mergeCell ref="H5:H6"/>
    <mergeCell ref="J5:J6"/>
    <mergeCell ref="M5:M6"/>
    <mergeCell ref="O5:O6"/>
    <mergeCell ref="Q5:Q6"/>
    <mergeCell ref="L5:L6"/>
    <mergeCell ref="N5:N6"/>
    <mergeCell ref="P5:P6"/>
    <mergeCell ref="BS5:BS6"/>
    <mergeCell ref="BL5:BL6"/>
    <mergeCell ref="BN5:BN6"/>
    <mergeCell ref="AB5:AB6"/>
    <mergeCell ref="BP5:BP6"/>
    <mergeCell ref="AR5:AR6"/>
    <mergeCell ref="AS5:AS6"/>
    <mergeCell ref="AU5:AU6"/>
    <mergeCell ref="AY5:AY6"/>
    <mergeCell ref="AC5:AC6"/>
    <mergeCell ref="AH5:AH6"/>
    <mergeCell ref="AG5:AG6"/>
    <mergeCell ref="AD5:AD6"/>
    <mergeCell ref="AF5:AF6"/>
    <mergeCell ref="BA5:BA6"/>
    <mergeCell ref="AE5:AE6"/>
    <mergeCell ref="E5:E6"/>
    <mergeCell ref="G5:G6"/>
    <mergeCell ref="I5:I6"/>
    <mergeCell ref="K5:K6"/>
    <mergeCell ref="AO5:AO6"/>
    <mergeCell ref="S5:S6"/>
    <mergeCell ref="U5:U6"/>
    <mergeCell ref="W5:W6"/>
    <mergeCell ref="R5:R6"/>
    <mergeCell ref="T5:T6"/>
    <mergeCell ref="V5:V6"/>
    <mergeCell ref="AJ5:AJ6"/>
    <mergeCell ref="BR5:BR6"/>
    <mergeCell ref="B5:C5"/>
    <mergeCell ref="BK5:BK6"/>
    <mergeCell ref="BM5:BM6"/>
    <mergeCell ref="BO5:BO6"/>
    <mergeCell ref="BQ5:BQ6"/>
    <mergeCell ref="AK5:AK6"/>
    <mergeCell ref="AL5:AL6"/>
    <mergeCell ref="AM5:AM6"/>
    <mergeCell ref="AN5:AN6"/>
    <mergeCell ref="AP5:AP6"/>
    <mergeCell ref="X5:X6"/>
    <mergeCell ref="Z5:Z6"/>
    <mergeCell ref="BC5:BC6"/>
    <mergeCell ref="AI5:AI6"/>
    <mergeCell ref="AW5:AW6"/>
    <mergeCell ref="CE4:CE6"/>
    <mergeCell ref="CB3:CE3"/>
    <mergeCell ref="BU5:BU6"/>
    <mergeCell ref="BX4:BX6"/>
    <mergeCell ref="CA4:CA6"/>
    <mergeCell ref="CC4:CC6"/>
    <mergeCell ref="CD4:CD6"/>
    <mergeCell ref="CB4:CB6"/>
    <mergeCell ref="BX3:CA3"/>
    <mergeCell ref="BY4:BY6"/>
    <mergeCell ref="BZ4:BZ6"/>
    <mergeCell ref="BV5:BV6"/>
    <mergeCell ref="BW5:BW6"/>
  </mergeCells>
  <printOptions horizontalCentered="1" verticalCentered="1"/>
  <pageMargins left="0.19685039370078741" right="0.19685039370078741" top="0" bottom="0" header="0.51181102362204722" footer="0.51181102362204722"/>
  <pageSetup paperSize="9" scale="55" fitToHeight="0" orientation="portrait" r:id="rId1"/>
  <headerFooter alignWithMargins="0">
    <oddHeader>&amp;C2023. évi költségvetés&amp;R&amp;A</oddHeader>
    <oddFooter>&amp;C&amp;P/&amp;N</oddFooter>
  </headerFooter>
  <colBreaks count="21" manualBreakCount="21">
    <brk id="3" max="49" man="1"/>
    <brk id="7" max="49" man="1"/>
    <brk id="11" max="49" man="1"/>
    <brk id="15" max="49" man="1"/>
    <brk id="19" max="49" man="1"/>
    <brk id="23" max="49" man="1"/>
    <brk id="27" max="49" man="1"/>
    <brk id="31" max="49" man="1"/>
    <brk id="35" max="49" man="1"/>
    <brk id="39" max="49" man="1"/>
    <brk id="43" max="49" man="1"/>
    <brk id="47" max="49" man="1"/>
    <brk id="51" max="49" man="1"/>
    <brk id="55" max="49" man="1"/>
    <brk id="59" max="49" man="1"/>
    <brk id="63" max="49" man="1"/>
    <brk id="67" max="49" man="1"/>
    <brk id="71" max="49" man="1"/>
    <brk id="75" max="49" man="1"/>
    <brk id="79" max="49" man="1"/>
    <brk id="83" max="4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P22"/>
  <sheetViews>
    <sheetView view="pageBreakPreview" zoomScale="90" zoomScaleNormal="90" zoomScaleSheetLayoutView="90" workbookViewId="0">
      <selection activeCell="G16" sqref="G16"/>
    </sheetView>
  </sheetViews>
  <sheetFormatPr defaultRowHeight="12.75" x14ac:dyDescent="0.2"/>
  <cols>
    <col min="1" max="1" width="4.5703125" style="10" customWidth="1"/>
    <col min="2" max="2" width="5.42578125" style="10" customWidth="1"/>
    <col min="3" max="3" width="51.42578125" style="10" customWidth="1"/>
    <col min="4" max="5" width="21" style="10" customWidth="1"/>
    <col min="6" max="7" width="18.85546875" style="10" customWidth="1"/>
    <col min="8" max="8" width="14.5703125" style="10" customWidth="1"/>
    <col min="9" max="9" width="20" style="10" customWidth="1"/>
    <col min="10" max="10" width="9.140625" style="10"/>
    <col min="11" max="11" width="17" style="10" bestFit="1" customWidth="1"/>
    <col min="12" max="13" width="14.28515625" style="10" bestFit="1" customWidth="1"/>
    <col min="14" max="14" width="11.7109375" style="10" bestFit="1" customWidth="1"/>
    <col min="15" max="15" width="14.140625" style="10" bestFit="1" customWidth="1"/>
    <col min="16" max="16" width="12" style="10" bestFit="1" customWidth="1"/>
    <col min="17" max="16384" width="9.140625" style="10"/>
  </cols>
  <sheetData>
    <row r="1" spans="1:16" ht="27.75" customHeight="1" x14ac:dyDescent="0.2">
      <c r="A1" s="1907" t="s">
        <v>179</v>
      </c>
      <c r="B1" s="1907"/>
      <c r="C1" s="1907"/>
      <c r="D1" s="1907"/>
      <c r="E1" s="1907"/>
      <c r="F1" s="1907"/>
      <c r="G1" s="1907"/>
      <c r="H1" s="1907"/>
    </row>
    <row r="2" spans="1:16" ht="25.5" customHeight="1" x14ac:dyDescent="0.2">
      <c r="A2" s="1908"/>
      <c r="B2" s="1908"/>
      <c r="C2" s="1908"/>
      <c r="D2" s="1908"/>
      <c r="E2" s="1908"/>
      <c r="F2" s="1908"/>
      <c r="G2" s="1908"/>
      <c r="H2" s="1908"/>
    </row>
    <row r="3" spans="1:16" ht="13.5" customHeight="1" x14ac:dyDescent="0.2">
      <c r="A3" s="305"/>
      <c r="B3" s="305"/>
      <c r="C3" s="305"/>
      <c r="D3" s="305"/>
      <c r="E3" s="305"/>
      <c r="F3" s="305"/>
      <c r="G3" s="305"/>
      <c r="H3" s="308" t="s">
        <v>431</v>
      </c>
    </row>
    <row r="4" spans="1:16" ht="29.25" customHeight="1" x14ac:dyDescent="0.2">
      <c r="A4" s="1859" t="s">
        <v>362</v>
      </c>
      <c r="B4" s="1859" t="s">
        <v>714</v>
      </c>
      <c r="C4" s="1868" t="s">
        <v>2</v>
      </c>
      <c r="D4" s="1806" t="s">
        <v>755</v>
      </c>
      <c r="E4" s="1807"/>
      <c r="F4" s="1807"/>
      <c r="G4" s="1858"/>
      <c r="H4" s="1871" t="s">
        <v>11</v>
      </c>
    </row>
    <row r="5" spans="1:16" ht="27.75" customHeight="1" x14ac:dyDescent="0.2">
      <c r="A5" s="1909"/>
      <c r="B5" s="1909"/>
      <c r="C5" s="1869"/>
      <c r="D5" s="429" t="s">
        <v>273</v>
      </c>
      <c r="E5" s="959" t="s">
        <v>1561</v>
      </c>
      <c r="F5" s="429" t="s">
        <v>273</v>
      </c>
      <c r="G5" s="959" t="s">
        <v>1561</v>
      </c>
      <c r="H5" s="1871"/>
    </row>
    <row r="6" spans="1:16" ht="27.75" customHeight="1" x14ac:dyDescent="0.2">
      <c r="A6" s="1860"/>
      <c r="B6" s="1860"/>
      <c r="C6" s="1870"/>
      <c r="D6" s="1871" t="s">
        <v>85</v>
      </c>
      <c r="E6" s="1871"/>
      <c r="F6" s="1871" t="s">
        <v>86</v>
      </c>
      <c r="G6" s="1871"/>
      <c r="H6" s="1871"/>
      <c r="I6" s="122" t="s">
        <v>119</v>
      </c>
    </row>
    <row r="7" spans="1:16" ht="32.25" customHeight="1" x14ac:dyDescent="0.2">
      <c r="A7" s="63" t="s">
        <v>188</v>
      </c>
      <c r="B7" s="177" t="s">
        <v>535</v>
      </c>
      <c r="C7" s="85" t="s">
        <v>87</v>
      </c>
      <c r="D7" s="86">
        <f>+'2.1. sz. PMH'!D43</f>
        <v>993925991</v>
      </c>
      <c r="E7" s="991">
        <f>+'2.1. sz. PMH'!E43</f>
        <v>1046034236</v>
      </c>
      <c r="F7" s="988">
        <f>+'2.1. sz. PMH'!D44</f>
        <v>43420100</v>
      </c>
      <c r="G7" s="86">
        <f>+'2.1. sz. PMH'!E44</f>
        <v>50420100</v>
      </c>
      <c r="H7" s="89" t="s">
        <v>222</v>
      </c>
      <c r="I7" s="123">
        <f t="shared" ref="I7:I16" si="0">D7+F7</f>
        <v>1037346091</v>
      </c>
      <c r="K7" s="238">
        <v>550468645</v>
      </c>
      <c r="L7" s="10">
        <v>9866400</v>
      </c>
      <c r="M7" s="15">
        <f t="shared" ref="M7:M15" si="1">+D7-K7</f>
        <v>443457346</v>
      </c>
      <c r="N7" s="15">
        <f t="shared" ref="N7:N15" si="2">+F7-L7</f>
        <v>33553700</v>
      </c>
      <c r="O7" s="349">
        <f>SUM(M7:N7)</f>
        <v>477011046</v>
      </c>
    </row>
    <row r="8" spans="1:16" ht="32.25" customHeight="1" x14ac:dyDescent="0.2">
      <c r="A8" s="64" t="s">
        <v>189</v>
      </c>
      <c r="B8" s="151" t="s">
        <v>535</v>
      </c>
      <c r="C8" s="83" t="s">
        <v>23</v>
      </c>
      <c r="D8" s="87">
        <f>+'2.4. sz. Bölcsőde'!D43</f>
        <v>465004507</v>
      </c>
      <c r="E8" s="992">
        <f>+'2.4. sz. Bölcsőde'!E43</f>
        <v>486382514</v>
      </c>
      <c r="F8" s="989">
        <f>+'2.4. sz. Bölcsőde'!D44</f>
        <v>1397000</v>
      </c>
      <c r="G8" s="87">
        <f>+'2.4. sz. Bölcsőde'!E44</f>
        <v>2202033</v>
      </c>
      <c r="H8" s="90" t="s">
        <v>222</v>
      </c>
      <c r="I8" s="123">
        <f t="shared" si="0"/>
        <v>466401507</v>
      </c>
      <c r="K8" s="238">
        <v>261191032</v>
      </c>
      <c r="L8" s="10">
        <v>1905000</v>
      </c>
      <c r="M8" s="15">
        <f t="shared" si="1"/>
        <v>203813475</v>
      </c>
      <c r="N8" s="15">
        <f t="shared" si="2"/>
        <v>-508000</v>
      </c>
      <c r="O8" s="349">
        <f t="shared" ref="O8:O15" si="3">SUM(M8:N8)</f>
        <v>203305475</v>
      </c>
    </row>
    <row r="9" spans="1:16" ht="32.25" customHeight="1" x14ac:dyDescent="0.2">
      <c r="A9" s="64" t="s">
        <v>190</v>
      </c>
      <c r="B9" s="151" t="s">
        <v>535</v>
      </c>
      <c r="C9" s="83" t="s">
        <v>88</v>
      </c>
      <c r="D9" s="87">
        <f>+'2.3. sz. Mese Óvoda'!D43</f>
        <v>589130553</v>
      </c>
      <c r="E9" s="992">
        <f>+'2.3. sz. Mese Óvoda'!E43</f>
        <v>620816215</v>
      </c>
      <c r="F9" s="989">
        <f>+'2.3. sz. Mese Óvoda'!D44</f>
        <v>2735000</v>
      </c>
      <c r="G9" s="87">
        <f>+'2.3. sz. Mese Óvoda'!E44</f>
        <v>5241835</v>
      </c>
      <c r="H9" s="90" t="s">
        <v>222</v>
      </c>
      <c r="I9" s="123">
        <f t="shared" si="0"/>
        <v>591865553</v>
      </c>
      <c r="K9" s="238">
        <v>376932032</v>
      </c>
      <c r="L9" s="10">
        <v>1200000</v>
      </c>
      <c r="M9" s="15">
        <f t="shared" si="1"/>
        <v>212198521</v>
      </c>
      <c r="N9" s="15">
        <f t="shared" si="2"/>
        <v>1535000</v>
      </c>
      <c r="O9" s="349">
        <f t="shared" si="3"/>
        <v>213733521</v>
      </c>
    </row>
    <row r="10" spans="1:16" ht="32.25" customHeight="1" x14ac:dyDescent="0.2">
      <c r="A10" s="64" t="s">
        <v>191</v>
      </c>
      <c r="B10" s="151" t="s">
        <v>535</v>
      </c>
      <c r="C10" s="83" t="s">
        <v>24</v>
      </c>
      <c r="D10" s="87">
        <f>+'2.2. sz. Hétszínvirág Óvoda'!D43</f>
        <v>435670233</v>
      </c>
      <c r="E10" s="992">
        <f>+'2.2. sz. Hétszínvirág Óvoda'!E43</f>
        <v>456192808</v>
      </c>
      <c r="F10" s="989">
        <f>+'2.2. sz. Hétszínvirág Óvoda'!D44</f>
        <v>444500</v>
      </c>
      <c r="G10" s="87">
        <f>+'2.2. sz. Hétszínvirág Óvoda'!E44</f>
        <v>4196706</v>
      </c>
      <c r="H10" s="90" t="s">
        <v>222</v>
      </c>
      <c r="I10" s="123">
        <f t="shared" si="0"/>
        <v>436114733</v>
      </c>
      <c r="K10" s="238">
        <v>249214235</v>
      </c>
      <c r="L10" s="10">
        <v>500000</v>
      </c>
      <c r="M10" s="15">
        <f t="shared" si="1"/>
        <v>186455998</v>
      </c>
      <c r="N10" s="15">
        <f t="shared" si="2"/>
        <v>-55500</v>
      </c>
      <c r="O10" s="349">
        <f t="shared" si="3"/>
        <v>186400498</v>
      </c>
    </row>
    <row r="11" spans="1:16" ht="32.25" customHeight="1" x14ac:dyDescent="0.2">
      <c r="A11" s="64" t="s">
        <v>192</v>
      </c>
      <c r="B11" s="151" t="s">
        <v>535</v>
      </c>
      <c r="C11" s="83" t="s">
        <v>600</v>
      </c>
      <c r="D11" s="87">
        <f>+'2.9. sz. Szivárvány Ó.'!P43</f>
        <v>404237260</v>
      </c>
      <c r="E11" s="992">
        <f>+'2.9. sz. Szivárvány Ó.'!Q43</f>
        <v>428271876</v>
      </c>
      <c r="F11" s="989">
        <f>+'2.9. sz. Szivárvány Ó.'!P44</f>
        <v>635000</v>
      </c>
      <c r="G11" s="87">
        <f>+'2.9. sz. Szivárvány Ó.'!Q44</f>
        <v>1688031</v>
      </c>
      <c r="H11" s="90" t="s">
        <v>222</v>
      </c>
      <c r="I11" s="123">
        <f t="shared" si="0"/>
        <v>404872260</v>
      </c>
      <c r="K11" s="238">
        <v>212517839</v>
      </c>
      <c r="L11" s="10">
        <v>1524000</v>
      </c>
      <c r="M11" s="15">
        <f t="shared" si="1"/>
        <v>191719421</v>
      </c>
      <c r="N11" s="15">
        <f t="shared" si="2"/>
        <v>-889000</v>
      </c>
      <c r="O11" s="349">
        <f t="shared" si="3"/>
        <v>190830421</v>
      </c>
    </row>
    <row r="12" spans="1:16" ht="32.25" customHeight="1" x14ac:dyDescent="0.2">
      <c r="A12" s="64" t="s">
        <v>193</v>
      </c>
      <c r="B12" s="151" t="s">
        <v>535</v>
      </c>
      <c r="C12" s="83" t="s">
        <v>25</v>
      </c>
      <c r="D12" s="87">
        <f>+'2.6 sz. Területi'!AR43</f>
        <v>1044853095</v>
      </c>
      <c r="E12" s="992">
        <f>+'2.6 sz. Területi'!AS43</f>
        <v>1068749833</v>
      </c>
      <c r="F12" s="989">
        <f>+'2.6 sz. Területi'!AR44</f>
        <v>5334000</v>
      </c>
      <c r="G12" s="87">
        <f>+'2.6 sz. Területi'!AS44</f>
        <v>6762750</v>
      </c>
      <c r="H12" s="90" t="s">
        <v>222</v>
      </c>
      <c r="I12" s="123">
        <f t="shared" si="0"/>
        <v>1050187095</v>
      </c>
      <c r="K12" s="238">
        <v>451635638</v>
      </c>
      <c r="L12" s="10">
        <v>44995400</v>
      </c>
      <c r="M12" s="15">
        <f t="shared" si="1"/>
        <v>593217457</v>
      </c>
      <c r="N12" s="15">
        <f t="shared" si="2"/>
        <v>-39661400</v>
      </c>
      <c r="O12" s="349">
        <f t="shared" si="3"/>
        <v>553556057</v>
      </c>
      <c r="P12" s="349">
        <f>+O12-5611106-500000</f>
        <v>547444951</v>
      </c>
    </row>
    <row r="13" spans="1:16" ht="32.25" customHeight="1" x14ac:dyDescent="0.2">
      <c r="A13" s="64" t="s">
        <v>194</v>
      </c>
      <c r="B13" s="151" t="s">
        <v>535</v>
      </c>
      <c r="C13" s="83" t="s">
        <v>612</v>
      </c>
      <c r="D13" s="87">
        <f>+'2.7. sz. Könyvtár'!D43</f>
        <v>95677624</v>
      </c>
      <c r="E13" s="992">
        <f>+'2.7. sz. Könyvtár'!E43</f>
        <v>98030380</v>
      </c>
      <c r="F13" s="989">
        <f>+'2.7. sz. Könyvtár'!D44</f>
        <v>762000</v>
      </c>
      <c r="G13" s="87">
        <f>+'2.7. sz. Könyvtár'!E44</f>
        <v>761244</v>
      </c>
      <c r="H13" s="90" t="s">
        <v>222</v>
      </c>
      <c r="I13" s="123">
        <f t="shared" si="0"/>
        <v>96439624</v>
      </c>
      <c r="K13" s="238">
        <v>43832055</v>
      </c>
      <c r="L13" s="10">
        <v>717500</v>
      </c>
      <c r="M13" s="15">
        <f t="shared" si="1"/>
        <v>51845569</v>
      </c>
      <c r="N13" s="15">
        <f t="shared" si="2"/>
        <v>44500</v>
      </c>
      <c r="O13" s="349">
        <f t="shared" si="3"/>
        <v>51890069</v>
      </c>
    </row>
    <row r="14" spans="1:16" ht="32.25" customHeight="1" x14ac:dyDescent="0.2">
      <c r="A14" s="64" t="s">
        <v>195</v>
      </c>
      <c r="B14" s="151" t="s">
        <v>535</v>
      </c>
      <c r="C14" s="83" t="s">
        <v>601</v>
      </c>
      <c r="D14" s="87">
        <f>+'2.8. sz. Műv.Ház'!R43</f>
        <v>148220212</v>
      </c>
      <c r="E14" s="992">
        <f>+'2.8. sz. Műv.Ház'!S43</f>
        <v>156067670</v>
      </c>
      <c r="F14" s="989">
        <f>+'2.8. sz. Műv.Ház'!R44</f>
        <v>2349500</v>
      </c>
      <c r="G14" s="87">
        <f>+'2.8. sz. Műv.Ház'!S44</f>
        <v>3509900</v>
      </c>
      <c r="H14" s="90" t="s">
        <v>222</v>
      </c>
      <c r="I14" s="123">
        <f t="shared" si="0"/>
        <v>150569712</v>
      </c>
      <c r="K14" s="238">
        <v>76579711</v>
      </c>
      <c r="L14" s="10">
        <v>1127000</v>
      </c>
      <c r="M14" s="15">
        <f t="shared" si="1"/>
        <v>71640501</v>
      </c>
      <c r="N14" s="15">
        <f t="shared" si="2"/>
        <v>1222500</v>
      </c>
      <c r="O14" s="349">
        <f t="shared" si="3"/>
        <v>72863001</v>
      </c>
    </row>
    <row r="15" spans="1:16" ht="32.25" customHeight="1" x14ac:dyDescent="0.2">
      <c r="A15" s="64" t="s">
        <v>196</v>
      </c>
      <c r="B15" s="178" t="s">
        <v>535</v>
      </c>
      <c r="C15" s="84" t="s">
        <v>89</v>
      </c>
      <c r="D15" s="88">
        <f>+'2.5. sz. Gyermekjóléti'!D43</f>
        <v>114667373</v>
      </c>
      <c r="E15" s="993">
        <f>+'2.5. sz. Gyermekjóléti'!E43</f>
        <v>119387083</v>
      </c>
      <c r="F15" s="990">
        <f>+'2.5. sz. Gyermekjóléti'!D44</f>
        <v>1129000</v>
      </c>
      <c r="G15" s="88">
        <f>+'2.5. sz. Gyermekjóléti'!E44</f>
        <v>2145000</v>
      </c>
      <c r="H15" s="13" t="s">
        <v>222</v>
      </c>
      <c r="I15" s="123">
        <f t="shared" si="0"/>
        <v>115796373</v>
      </c>
      <c r="K15" s="238">
        <v>71477558</v>
      </c>
      <c r="L15" s="10">
        <v>927000</v>
      </c>
      <c r="M15" s="15">
        <f t="shared" si="1"/>
        <v>43189815</v>
      </c>
      <c r="N15" s="15">
        <f t="shared" si="2"/>
        <v>202000</v>
      </c>
      <c r="O15" s="349">
        <f t="shared" si="3"/>
        <v>43391815</v>
      </c>
    </row>
    <row r="16" spans="1:16" s="12" customFormat="1" ht="32.25" customHeight="1" x14ac:dyDescent="0.25">
      <c r="A16" s="1904" t="s">
        <v>90</v>
      </c>
      <c r="B16" s="1905"/>
      <c r="C16" s="1906"/>
      <c r="D16" s="91">
        <f>SUM(D7:D15)</f>
        <v>4291386848</v>
      </c>
      <c r="E16" s="91">
        <f>SUM(E7:E15)</f>
        <v>4479932615</v>
      </c>
      <c r="F16" s="91">
        <f>SUM(F7:F15)</f>
        <v>58206100</v>
      </c>
      <c r="G16" s="91">
        <f>SUM(G7:G15)</f>
        <v>76927599</v>
      </c>
      <c r="H16" s="92"/>
      <c r="I16" s="124">
        <f t="shared" si="0"/>
        <v>4349592948</v>
      </c>
      <c r="K16" s="237">
        <f>SUM(K7:K15)</f>
        <v>2293848745</v>
      </c>
      <c r="L16" s="237">
        <f>SUM(L7:L15)</f>
        <v>62762300</v>
      </c>
      <c r="M16" s="237">
        <f>SUM(M7:M15)</f>
        <v>1997538103</v>
      </c>
      <c r="N16" s="237">
        <f>SUM(N7:N15)</f>
        <v>-4556200</v>
      </c>
      <c r="O16" s="237">
        <f>SUM(O7:O15)</f>
        <v>1992981903</v>
      </c>
    </row>
    <row r="17" spans="4:9" x14ac:dyDescent="0.2">
      <c r="I17" s="15"/>
    </row>
    <row r="19" spans="4:9" x14ac:dyDescent="0.2">
      <c r="F19" s="15">
        <f>+D16+F16</f>
        <v>4349592948</v>
      </c>
      <c r="G19" s="15"/>
    </row>
    <row r="20" spans="4:9" x14ac:dyDescent="0.2">
      <c r="D20" s="10">
        <v>1726077</v>
      </c>
    </row>
    <row r="21" spans="4:9" x14ac:dyDescent="0.2">
      <c r="D21" s="15"/>
      <c r="E21" s="15"/>
      <c r="F21" s="10">
        <f>+[2]Munka1!$D$94</f>
        <v>2351625349</v>
      </c>
    </row>
    <row r="22" spans="4:9" x14ac:dyDescent="0.2">
      <c r="F22" s="15">
        <f>+F19-F21</f>
        <v>1997967599</v>
      </c>
      <c r="G22" s="15"/>
    </row>
  </sheetData>
  <mergeCells count="10">
    <mergeCell ref="A16:C16"/>
    <mergeCell ref="A1:H1"/>
    <mergeCell ref="A2:H2"/>
    <mergeCell ref="H4:H6"/>
    <mergeCell ref="A4:A6"/>
    <mergeCell ref="B4:B6"/>
    <mergeCell ref="C4:C6"/>
    <mergeCell ref="D4:G4"/>
    <mergeCell ref="D6:E6"/>
    <mergeCell ref="F6:G6"/>
  </mergeCells>
  <phoneticPr fontId="50" type="noConversion"/>
  <printOptions horizontalCentered="1" verticalCentered="1"/>
  <pageMargins left="0.70866141732283472" right="0.70866141732283472" top="0.74803149606299213" bottom="0.74803149606299213" header="0.31496062992125984" footer="0.31496062992125984"/>
  <pageSetup paperSize="9" scale="84" orientation="landscape" r:id="rId1"/>
  <headerFooter>
    <oddHeader>&amp;C2023. évi költségvetés&amp;R&amp;A</oddHeader>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L35"/>
  <sheetViews>
    <sheetView view="pageBreakPreview" topLeftCell="A10" zoomScaleNormal="100" zoomScaleSheetLayoutView="100" workbookViewId="0">
      <selection activeCell="K30" sqref="K30"/>
    </sheetView>
  </sheetViews>
  <sheetFormatPr defaultRowHeight="15" x14ac:dyDescent="0.25"/>
  <cols>
    <col min="1" max="1" width="4.7109375" style="745" customWidth="1"/>
    <col min="2" max="2" width="5" style="745" customWidth="1"/>
    <col min="3" max="3" width="10.7109375" style="745" customWidth="1"/>
    <col min="4" max="4" width="36.28515625" style="745" customWidth="1"/>
    <col min="5" max="6" width="18" style="745" customWidth="1"/>
    <col min="7" max="8" width="19.85546875" style="745" customWidth="1"/>
    <col min="9" max="10" width="19.42578125" style="745" customWidth="1"/>
    <col min="11" max="11" width="18.7109375" style="745" customWidth="1"/>
    <col min="12" max="12" width="18.28515625" style="745" customWidth="1"/>
    <col min="13" max="16384" width="9.140625" style="745"/>
  </cols>
  <sheetData>
    <row r="1" spans="1:12" ht="15.75" x14ac:dyDescent="0.25">
      <c r="A1" s="1910" t="s">
        <v>1334</v>
      </c>
      <c r="B1" s="1910"/>
      <c r="C1" s="1910"/>
      <c r="D1" s="1910"/>
      <c r="E1" s="1910"/>
      <c r="F1" s="1910"/>
      <c r="G1" s="1910"/>
      <c r="H1" s="1910"/>
      <c r="I1" s="1910"/>
      <c r="J1" s="1910"/>
      <c r="K1" s="1910"/>
      <c r="L1" s="1910"/>
    </row>
    <row r="2" spans="1:12" ht="18.75" customHeight="1" x14ac:dyDescent="0.25">
      <c r="A2" s="1911"/>
      <c r="B2" s="1911"/>
      <c r="C2" s="1911"/>
      <c r="D2" s="1911"/>
      <c r="E2" s="1911"/>
      <c r="F2" s="1911"/>
      <c r="G2" s="1911"/>
      <c r="H2" s="1911"/>
      <c r="I2" s="1911"/>
      <c r="J2" s="1911"/>
      <c r="K2" s="1911"/>
      <c r="L2" s="746"/>
    </row>
    <row r="3" spans="1:12" x14ac:dyDescent="0.25">
      <c r="A3" s="746"/>
      <c r="B3" s="746"/>
      <c r="C3" s="746"/>
      <c r="D3" s="746"/>
      <c r="E3" s="746"/>
      <c r="F3" s="746"/>
      <c r="G3" s="746"/>
      <c r="H3" s="746"/>
      <c r="I3" s="746"/>
      <c r="J3" s="746"/>
      <c r="K3" s="746"/>
      <c r="L3" s="747" t="s">
        <v>431</v>
      </c>
    </row>
    <row r="4" spans="1:12" ht="24.75" customHeight="1" x14ac:dyDescent="0.25">
      <c r="A4" s="1789" t="s">
        <v>53</v>
      </c>
      <c r="B4" s="1789" t="s">
        <v>714</v>
      </c>
      <c r="C4" s="1791" t="s">
        <v>1</v>
      </c>
      <c r="D4" s="1912" t="s">
        <v>2</v>
      </c>
      <c r="E4" s="815" t="s">
        <v>273</v>
      </c>
      <c r="F4" s="959" t="s">
        <v>1561</v>
      </c>
      <c r="G4" s="815" t="s">
        <v>273</v>
      </c>
      <c r="H4" s="959" t="s">
        <v>1561</v>
      </c>
      <c r="I4" s="815" t="s">
        <v>273</v>
      </c>
      <c r="J4" s="959" t="s">
        <v>1561</v>
      </c>
      <c r="K4" s="815" t="s">
        <v>273</v>
      </c>
      <c r="L4" s="959" t="s">
        <v>1561</v>
      </c>
    </row>
    <row r="5" spans="1:12" s="749" customFormat="1" ht="68.25" customHeight="1" x14ac:dyDescent="0.2">
      <c r="A5" s="1790"/>
      <c r="B5" s="1790"/>
      <c r="C5" s="1792"/>
      <c r="D5" s="1912"/>
      <c r="E5" s="748" t="s">
        <v>1368</v>
      </c>
      <c r="F5" s="748" t="s">
        <v>1368</v>
      </c>
      <c r="G5" s="748" t="s">
        <v>1369</v>
      </c>
      <c r="H5" s="748" t="s">
        <v>1369</v>
      </c>
      <c r="I5" s="748" t="s">
        <v>1370</v>
      </c>
      <c r="J5" s="748" t="s">
        <v>1370</v>
      </c>
      <c r="K5" s="1481" t="s">
        <v>119</v>
      </c>
      <c r="L5" s="1481" t="s">
        <v>119</v>
      </c>
    </row>
    <row r="6" spans="1:12" s="749" customFormat="1" ht="17.25" customHeight="1" x14ac:dyDescent="0.2">
      <c r="A6" s="1915" t="s">
        <v>55</v>
      </c>
      <c r="B6" s="1916"/>
      <c r="C6" s="1916"/>
      <c r="D6" s="1916"/>
      <c r="E6" s="750" t="s">
        <v>1371</v>
      </c>
      <c r="F6" s="750" t="s">
        <v>1371</v>
      </c>
      <c r="G6" s="750" t="s">
        <v>1372</v>
      </c>
      <c r="H6" s="750" t="s">
        <v>1372</v>
      </c>
      <c r="I6" s="1001" t="s">
        <v>1373</v>
      </c>
      <c r="J6" s="803" t="s">
        <v>1373</v>
      </c>
      <c r="K6" s="816"/>
      <c r="L6" s="816"/>
    </row>
    <row r="7" spans="1:12" s="749" customFormat="1" ht="22.5" customHeight="1" x14ac:dyDescent="0.2">
      <c r="A7" s="1917" t="s">
        <v>1374</v>
      </c>
      <c r="B7" s="1918"/>
      <c r="C7" s="1918"/>
      <c r="D7" s="1918"/>
      <c r="E7" s="823">
        <f>SUM(E8:E12)</f>
        <v>2044595416</v>
      </c>
      <c r="F7" s="823">
        <f t="shared" ref="F7:I7" si="0">SUM(F8:F12)</f>
        <v>2378729164</v>
      </c>
      <c r="G7" s="823">
        <f t="shared" si="0"/>
        <v>0</v>
      </c>
      <c r="H7" s="823">
        <f t="shared" si="0"/>
        <v>111988899</v>
      </c>
      <c r="I7" s="823">
        <f t="shared" si="0"/>
        <v>2669208</v>
      </c>
      <c r="J7" s="823">
        <f>SUM(J8:J12)</f>
        <v>4818208</v>
      </c>
      <c r="K7" s="806">
        <f>+E7+G7+I7</f>
        <v>2047264624</v>
      </c>
      <c r="L7" s="806">
        <f>+F7+H7+J7</f>
        <v>2495536271</v>
      </c>
    </row>
    <row r="8" spans="1:12" ht="26.25" customHeight="1" x14ac:dyDescent="0.25">
      <c r="A8" s="752" t="s">
        <v>188</v>
      </c>
      <c r="B8" s="753">
        <v>501</v>
      </c>
      <c r="C8" s="754" t="s">
        <v>1375</v>
      </c>
      <c r="D8" s="755" t="s">
        <v>1335</v>
      </c>
      <c r="E8" s="756">
        <f>+'11.b.sz.Állami támogatás'!F62+'11.b.sz.Állami támogatás'!F74</f>
        <v>2044595416</v>
      </c>
      <c r="F8" s="756">
        <f>+E8+2341175+2438905+15049440+97847411+29820208+10031736+1481000+2415415+2453191+2410752+7749312+2428666+3071390+4972100-5605636+2497867+2525837+399000+2549064+2450535+162737290+2332695+20071637+2341140+346731+2618056+883830+10886810-57411809</f>
        <v>2378729164</v>
      </c>
      <c r="G8" s="756"/>
      <c r="H8" s="756"/>
      <c r="I8" s="756"/>
      <c r="J8" s="757"/>
      <c r="K8" s="806">
        <f>+E8+G8+I8</f>
        <v>2044595416</v>
      </c>
      <c r="L8" s="806">
        <f>+F8+H8+J8</f>
        <v>2378729164</v>
      </c>
    </row>
    <row r="9" spans="1:12" s="879" customFormat="1" ht="26.25" customHeight="1" x14ac:dyDescent="0.25">
      <c r="A9" s="758" t="s">
        <v>189</v>
      </c>
      <c r="B9" s="1394" t="s">
        <v>1926</v>
      </c>
      <c r="C9" s="906" t="s">
        <v>1288</v>
      </c>
      <c r="D9" s="760" t="s">
        <v>1927</v>
      </c>
      <c r="E9" s="799"/>
      <c r="F9" s="799"/>
      <c r="G9" s="799"/>
      <c r="H9" s="799"/>
      <c r="I9" s="799"/>
      <c r="J9" s="1395">
        <v>665000</v>
      </c>
      <c r="K9" s="907">
        <f t="shared" ref="K9:K28" si="1">+E9+G9+I9</f>
        <v>0</v>
      </c>
      <c r="L9" s="806">
        <f t="shared" ref="L9:L28" si="2">+F9+H9+J9</f>
        <v>665000</v>
      </c>
    </row>
    <row r="10" spans="1:12" ht="26.25" customHeight="1" x14ac:dyDescent="0.25">
      <c r="A10" s="758" t="s">
        <v>190</v>
      </c>
      <c r="B10" s="1394" t="s">
        <v>1458</v>
      </c>
      <c r="C10" s="759" t="s">
        <v>1286</v>
      </c>
      <c r="D10" s="760" t="s">
        <v>1376</v>
      </c>
      <c r="E10" s="761"/>
      <c r="F10" s="761"/>
      <c r="G10" s="761"/>
      <c r="H10" s="761"/>
      <c r="I10" s="903">
        <v>2669208</v>
      </c>
      <c r="J10" s="904">
        <f>+I10</f>
        <v>2669208</v>
      </c>
      <c r="K10" s="806">
        <f t="shared" si="1"/>
        <v>2669208</v>
      </c>
      <c r="L10" s="806">
        <f t="shared" si="2"/>
        <v>2669208</v>
      </c>
    </row>
    <row r="11" spans="1:12" ht="27.75" customHeight="1" x14ac:dyDescent="0.25">
      <c r="A11" s="758" t="s">
        <v>191</v>
      </c>
      <c r="B11" s="768" t="s">
        <v>154</v>
      </c>
      <c r="C11" s="759" t="s">
        <v>1288</v>
      </c>
      <c r="D11" s="760" t="s">
        <v>2310</v>
      </c>
      <c r="E11" s="761"/>
      <c r="F11" s="761"/>
      <c r="G11" s="761"/>
      <c r="H11" s="761">
        <v>111988899</v>
      </c>
      <c r="I11" s="903"/>
      <c r="J11" s="904"/>
      <c r="K11" s="806">
        <f>+E11+G11+I11</f>
        <v>0</v>
      </c>
      <c r="L11" s="806">
        <f t="shared" ref="L11" si="3">+F11+H11+J11</f>
        <v>111988899</v>
      </c>
    </row>
    <row r="12" spans="1:12" ht="24.75" customHeight="1" x14ac:dyDescent="0.25">
      <c r="A12" s="792" t="s">
        <v>192</v>
      </c>
      <c r="B12" s="1413" t="s">
        <v>154</v>
      </c>
      <c r="C12" s="880" t="s">
        <v>166</v>
      </c>
      <c r="D12" s="793" t="s">
        <v>2482</v>
      </c>
      <c r="E12" s="794"/>
      <c r="F12" s="794"/>
      <c r="G12" s="794"/>
      <c r="H12" s="794"/>
      <c r="I12" s="994"/>
      <c r="J12" s="995">
        <v>1484000</v>
      </c>
      <c r="K12" s="806">
        <f>+E12+G12+I12</f>
        <v>0</v>
      </c>
      <c r="L12" s="806">
        <f>+F12+H12+J12</f>
        <v>1484000</v>
      </c>
    </row>
    <row r="13" spans="1:12" s="749" customFormat="1" ht="21.75" customHeight="1" x14ac:dyDescent="0.2">
      <c r="A13" s="1917" t="s">
        <v>1377</v>
      </c>
      <c r="B13" s="1918"/>
      <c r="C13" s="1918"/>
      <c r="D13" s="1918"/>
      <c r="E13" s="823">
        <f>+E22+E26+E29+E16+E14+E18+E20</f>
        <v>0</v>
      </c>
      <c r="F13" s="823">
        <f t="shared" ref="F13:I13" si="4">+F22+F26+F29+F16+F14+F18+F20</f>
        <v>0</v>
      </c>
      <c r="G13" s="823">
        <f t="shared" si="4"/>
        <v>0</v>
      </c>
      <c r="H13" s="823">
        <f t="shared" si="4"/>
        <v>0</v>
      </c>
      <c r="I13" s="823">
        <f t="shared" si="4"/>
        <v>92000000</v>
      </c>
      <c r="J13" s="823">
        <f>+J22+J26+J29+J16+J14+J18+J20</f>
        <v>105624600</v>
      </c>
      <c r="K13" s="806">
        <f>+E13+G13+I13</f>
        <v>92000000</v>
      </c>
      <c r="L13" s="806">
        <f>+F13+H13+J13</f>
        <v>105624600</v>
      </c>
    </row>
    <row r="14" spans="1:12" s="749" customFormat="1" ht="18.75" customHeight="1" x14ac:dyDescent="0.2">
      <c r="A14" s="1919" t="s">
        <v>88</v>
      </c>
      <c r="B14" s="1920"/>
      <c r="C14" s="1920"/>
      <c r="D14" s="1920"/>
      <c r="E14" s="823">
        <f>SUM(E15)</f>
        <v>0</v>
      </c>
      <c r="F14" s="823">
        <f t="shared" ref="F14:J14" si="5">SUM(F15)</f>
        <v>0</v>
      </c>
      <c r="G14" s="823">
        <f t="shared" si="5"/>
        <v>0</v>
      </c>
      <c r="H14" s="823">
        <f t="shared" si="5"/>
        <v>0</v>
      </c>
      <c r="I14" s="823">
        <f t="shared" si="5"/>
        <v>0</v>
      </c>
      <c r="J14" s="823">
        <f t="shared" si="5"/>
        <v>350000</v>
      </c>
      <c r="K14" s="806">
        <f t="shared" ref="K14:K15" si="6">+E14+G14+I14</f>
        <v>0</v>
      </c>
      <c r="L14" s="806">
        <f t="shared" ref="L14:L15" si="7">+F14+H14+J14</f>
        <v>350000</v>
      </c>
    </row>
    <row r="15" spans="1:12" s="749" customFormat="1" ht="27.75" customHeight="1" x14ac:dyDescent="0.2">
      <c r="A15" s="792" t="s">
        <v>188</v>
      </c>
      <c r="B15" s="1413" t="s">
        <v>133</v>
      </c>
      <c r="C15" s="880" t="s">
        <v>162</v>
      </c>
      <c r="D15" s="789" t="s">
        <v>1999</v>
      </c>
      <c r="E15" s="823"/>
      <c r="F15" s="823"/>
      <c r="G15" s="823"/>
      <c r="H15" s="823"/>
      <c r="I15" s="823"/>
      <c r="J15" s="1414">
        <v>350000</v>
      </c>
      <c r="K15" s="806">
        <f t="shared" si="6"/>
        <v>0</v>
      </c>
      <c r="L15" s="806">
        <f t="shared" si="7"/>
        <v>350000</v>
      </c>
    </row>
    <row r="16" spans="1:12" s="749" customFormat="1" ht="21.75" customHeight="1" x14ac:dyDescent="0.2">
      <c r="A16" s="1919" t="s">
        <v>24</v>
      </c>
      <c r="B16" s="1920"/>
      <c r="C16" s="1920"/>
      <c r="D16" s="1920"/>
      <c r="E16" s="823">
        <f>SUM(E17)</f>
        <v>0</v>
      </c>
      <c r="F16" s="823">
        <f t="shared" ref="F16:J16" si="8">SUM(F17)</f>
        <v>0</v>
      </c>
      <c r="G16" s="823">
        <f t="shared" si="8"/>
        <v>0</v>
      </c>
      <c r="H16" s="823">
        <f t="shared" si="8"/>
        <v>0</v>
      </c>
      <c r="I16" s="823">
        <f t="shared" si="8"/>
        <v>0</v>
      </c>
      <c r="J16" s="823">
        <f t="shared" si="8"/>
        <v>350000</v>
      </c>
      <c r="K16" s="806">
        <f t="shared" ref="K16:K17" si="9">+E16+G16+I16</f>
        <v>0</v>
      </c>
      <c r="L16" s="806">
        <f t="shared" ref="L16:L17" si="10">+F16+H16+J16</f>
        <v>350000</v>
      </c>
    </row>
    <row r="17" spans="1:12" s="749" customFormat="1" ht="27.75" customHeight="1" x14ac:dyDescent="0.25">
      <c r="A17" s="792" t="s">
        <v>188</v>
      </c>
      <c r="B17" s="1413" t="s">
        <v>152</v>
      </c>
      <c r="C17" s="880" t="s">
        <v>162</v>
      </c>
      <c r="D17" s="789" t="s">
        <v>1998</v>
      </c>
      <c r="E17" s="1412"/>
      <c r="F17" s="1412"/>
      <c r="G17" s="1412"/>
      <c r="H17" s="1412"/>
      <c r="I17" s="1412"/>
      <c r="J17" s="1414">
        <v>350000</v>
      </c>
      <c r="K17" s="806">
        <f t="shared" si="9"/>
        <v>0</v>
      </c>
      <c r="L17" s="806">
        <f t="shared" si="10"/>
        <v>350000</v>
      </c>
    </row>
    <row r="18" spans="1:12" s="749" customFormat="1" ht="22.5" customHeight="1" x14ac:dyDescent="0.2">
      <c r="A18" s="1919" t="s">
        <v>600</v>
      </c>
      <c r="B18" s="1920"/>
      <c r="C18" s="1920"/>
      <c r="D18" s="1920"/>
      <c r="E18" s="823">
        <f>SUM(E19)</f>
        <v>0</v>
      </c>
      <c r="F18" s="823">
        <f t="shared" ref="F18:J18" si="11">SUM(F19)</f>
        <v>0</v>
      </c>
      <c r="G18" s="823">
        <f t="shared" si="11"/>
        <v>0</v>
      </c>
      <c r="H18" s="823">
        <f t="shared" si="11"/>
        <v>0</v>
      </c>
      <c r="I18" s="823">
        <f t="shared" si="11"/>
        <v>0</v>
      </c>
      <c r="J18" s="823">
        <f t="shared" si="11"/>
        <v>100000</v>
      </c>
      <c r="K18" s="806">
        <f t="shared" ref="K18:K19" si="12">+E18+G18+I18</f>
        <v>0</v>
      </c>
      <c r="L18" s="806">
        <f t="shared" ref="L18:L19" si="13">+F18+H18+J18</f>
        <v>100000</v>
      </c>
    </row>
    <row r="19" spans="1:12" s="749" customFormat="1" ht="27.75" customHeight="1" x14ac:dyDescent="0.25">
      <c r="A19" s="1415" t="s">
        <v>188</v>
      </c>
      <c r="B19" s="1416" t="s">
        <v>152</v>
      </c>
      <c r="C19" s="1417" t="s">
        <v>162</v>
      </c>
      <c r="D19" s="1418" t="s">
        <v>2000</v>
      </c>
      <c r="E19" s="1412"/>
      <c r="F19" s="1412"/>
      <c r="G19" s="1412"/>
      <c r="H19" s="1412"/>
      <c r="I19" s="1412"/>
      <c r="J19" s="1419">
        <v>100000</v>
      </c>
      <c r="K19" s="806">
        <f t="shared" si="12"/>
        <v>0</v>
      </c>
      <c r="L19" s="806">
        <f t="shared" si="13"/>
        <v>100000</v>
      </c>
    </row>
    <row r="20" spans="1:12" s="749" customFormat="1" ht="21.75" customHeight="1" x14ac:dyDescent="0.2">
      <c r="A20" s="1919" t="s">
        <v>612</v>
      </c>
      <c r="B20" s="1920"/>
      <c r="C20" s="1920"/>
      <c r="D20" s="1920"/>
      <c r="E20" s="823">
        <f>SUM(E21)</f>
        <v>0</v>
      </c>
      <c r="F20" s="823">
        <f t="shared" ref="F20:J20" si="14">SUM(F21)</f>
        <v>0</v>
      </c>
      <c r="G20" s="823">
        <f t="shared" si="14"/>
        <v>0</v>
      </c>
      <c r="H20" s="823">
        <f t="shared" si="14"/>
        <v>0</v>
      </c>
      <c r="I20" s="823">
        <f t="shared" si="14"/>
        <v>0</v>
      </c>
      <c r="J20" s="823">
        <f t="shared" si="14"/>
        <v>20000</v>
      </c>
      <c r="K20" s="806">
        <f t="shared" ref="K20:K21" si="15">+E20+G20+I20</f>
        <v>0</v>
      </c>
      <c r="L20" s="806">
        <f t="shared" ref="L20" si="16">+F20+H20+J20</f>
        <v>20000</v>
      </c>
    </row>
    <row r="21" spans="1:12" s="749" customFormat="1" ht="27.75" customHeight="1" x14ac:dyDescent="0.25">
      <c r="A21" s="1415" t="s">
        <v>188</v>
      </c>
      <c r="B21" s="1416" t="s">
        <v>135</v>
      </c>
      <c r="C21" s="1417" t="s">
        <v>176</v>
      </c>
      <c r="D21" s="1211" t="s">
        <v>2353</v>
      </c>
      <c r="E21" s="1412"/>
      <c r="F21" s="1412"/>
      <c r="G21" s="1412"/>
      <c r="H21" s="1412"/>
      <c r="I21" s="1412"/>
      <c r="J21" s="1419">
        <v>20000</v>
      </c>
      <c r="K21" s="806">
        <f t="shared" si="15"/>
        <v>0</v>
      </c>
      <c r="L21" s="806">
        <f>+F21+H21+J21</f>
        <v>20000</v>
      </c>
    </row>
    <row r="22" spans="1:12" s="749" customFormat="1" ht="18.75" customHeight="1" x14ac:dyDescent="0.2">
      <c r="A22" s="1919" t="s">
        <v>87</v>
      </c>
      <c r="B22" s="1920"/>
      <c r="C22" s="1920"/>
      <c r="D22" s="1920"/>
      <c r="E22" s="823">
        <f>+E23+E24+E25</f>
        <v>0</v>
      </c>
      <c r="F22" s="823">
        <f t="shared" ref="F22:J22" si="17">+F23+F24+F25</f>
        <v>0</v>
      </c>
      <c r="G22" s="823">
        <f t="shared" si="17"/>
        <v>0</v>
      </c>
      <c r="H22" s="823">
        <f t="shared" si="17"/>
        <v>0</v>
      </c>
      <c r="I22" s="823">
        <f t="shared" si="17"/>
        <v>0</v>
      </c>
      <c r="J22" s="823">
        <f t="shared" si="17"/>
        <v>0</v>
      </c>
      <c r="K22" s="806">
        <f t="shared" si="1"/>
        <v>0</v>
      </c>
      <c r="L22" s="806">
        <f t="shared" si="2"/>
        <v>0</v>
      </c>
    </row>
    <row r="23" spans="1:12" x14ac:dyDescent="0.25">
      <c r="A23" s="771"/>
      <c r="B23" s="765"/>
      <c r="C23" s="765"/>
      <c r="D23" s="765"/>
      <c r="E23" s="767"/>
      <c r="F23" s="767"/>
      <c r="G23" s="767"/>
      <c r="H23" s="767"/>
      <c r="I23" s="767"/>
      <c r="J23" s="996"/>
      <c r="K23" s="806">
        <f>+E23+G23+I23</f>
        <v>0</v>
      </c>
      <c r="L23" s="806">
        <f t="shared" si="2"/>
        <v>0</v>
      </c>
    </row>
    <row r="24" spans="1:12" x14ac:dyDescent="0.25">
      <c r="A24" s="771"/>
      <c r="B24" s="765"/>
      <c r="C24" s="765"/>
      <c r="D24" s="765"/>
      <c r="E24" s="765"/>
      <c r="F24" s="765"/>
      <c r="G24" s="765"/>
      <c r="H24" s="765"/>
      <c r="I24" s="765"/>
      <c r="J24" s="770"/>
      <c r="K24" s="806">
        <f t="shared" si="1"/>
        <v>0</v>
      </c>
      <c r="L24" s="806">
        <f t="shared" si="2"/>
        <v>0</v>
      </c>
    </row>
    <row r="25" spans="1:12" x14ac:dyDescent="0.25">
      <c r="A25" s="771"/>
      <c r="B25" s="765"/>
      <c r="C25" s="765"/>
      <c r="D25" s="765"/>
      <c r="E25" s="775"/>
      <c r="F25" s="775"/>
      <c r="G25" s="775"/>
      <c r="H25" s="775"/>
      <c r="I25" s="775"/>
      <c r="J25" s="997"/>
      <c r="K25" s="806">
        <f t="shared" si="1"/>
        <v>0</v>
      </c>
      <c r="L25" s="806">
        <f t="shared" si="2"/>
        <v>0</v>
      </c>
    </row>
    <row r="26" spans="1:12" s="749" customFormat="1" ht="19.5" customHeight="1" x14ac:dyDescent="0.2">
      <c r="A26" s="1919" t="s">
        <v>25</v>
      </c>
      <c r="B26" s="1920"/>
      <c r="C26" s="1920"/>
      <c r="D26" s="1920"/>
      <c r="E26" s="823">
        <f>+E27+E28</f>
        <v>0</v>
      </c>
      <c r="F26" s="823">
        <f t="shared" ref="F26:I26" si="18">+F27+F28</f>
        <v>0</v>
      </c>
      <c r="G26" s="823">
        <f t="shared" si="18"/>
        <v>0</v>
      </c>
      <c r="H26" s="823">
        <f t="shared" si="18"/>
        <v>0</v>
      </c>
      <c r="I26" s="1525">
        <f t="shared" si="18"/>
        <v>92000000</v>
      </c>
      <c r="J26" s="1526">
        <f>+J27+J28</f>
        <v>104804600</v>
      </c>
      <c r="K26" s="806">
        <f>+E26+G26+I26</f>
        <v>92000000</v>
      </c>
      <c r="L26" s="806">
        <f>+F26+H26+J26</f>
        <v>104804600</v>
      </c>
    </row>
    <row r="27" spans="1:12" ht="27.75" customHeight="1" x14ac:dyDescent="0.25">
      <c r="A27" s="752" t="s">
        <v>188</v>
      </c>
      <c r="B27" s="754" t="s">
        <v>153</v>
      </c>
      <c r="C27" s="754" t="s">
        <v>168</v>
      </c>
      <c r="D27" s="1420" t="s">
        <v>1378</v>
      </c>
      <c r="E27" s="767"/>
      <c r="F27" s="767"/>
      <c r="G27" s="767"/>
      <c r="H27" s="767"/>
      <c r="I27" s="998">
        <v>90000000</v>
      </c>
      <c r="J27" s="805">
        <f>+I27</f>
        <v>90000000</v>
      </c>
      <c r="K27" s="806">
        <f t="shared" si="1"/>
        <v>90000000</v>
      </c>
      <c r="L27" s="806">
        <f t="shared" si="2"/>
        <v>90000000</v>
      </c>
    </row>
    <row r="28" spans="1:12" ht="26.25" customHeight="1" x14ac:dyDescent="0.25">
      <c r="A28" s="758" t="s">
        <v>189</v>
      </c>
      <c r="B28" s="768" t="s">
        <v>67</v>
      </c>
      <c r="C28" s="768" t="s">
        <v>169</v>
      </c>
      <c r="D28" s="1421" t="s">
        <v>2633</v>
      </c>
      <c r="E28" s="775"/>
      <c r="F28" s="775"/>
      <c r="G28" s="775"/>
      <c r="H28" s="775"/>
      <c r="I28" s="999">
        <v>2000000</v>
      </c>
      <c r="J28" s="1000">
        <f>+I28+6000000+1818500+2484100+2502000</f>
        <v>14804600</v>
      </c>
      <c r="K28" s="806">
        <f t="shared" si="1"/>
        <v>2000000</v>
      </c>
      <c r="L28" s="806">
        <f t="shared" si="2"/>
        <v>14804600</v>
      </c>
    </row>
    <row r="29" spans="1:12" s="749" customFormat="1" ht="17.25" customHeight="1" x14ac:dyDescent="0.2">
      <c r="A29" s="1921"/>
      <c r="B29" s="1922"/>
      <c r="C29" s="1922"/>
      <c r="D29" s="1923"/>
      <c r="E29" s="1629"/>
      <c r="F29" s="1629"/>
      <c r="G29" s="776"/>
      <c r="H29" s="776"/>
      <c r="I29" s="776"/>
      <c r="J29" s="777"/>
      <c r="K29" s="806"/>
      <c r="L29" s="806"/>
    </row>
    <row r="30" spans="1:12" s="749" customFormat="1" ht="30.75" customHeight="1" x14ac:dyDescent="0.2">
      <c r="A30" s="1913" t="s">
        <v>29</v>
      </c>
      <c r="B30" s="1914"/>
      <c r="C30" s="1914"/>
      <c r="D30" s="1914"/>
      <c r="E30" s="806">
        <f t="shared" ref="E30:I30" si="19">+E7+E13</f>
        <v>2044595416</v>
      </c>
      <c r="F30" s="806">
        <f t="shared" si="19"/>
        <v>2378729164</v>
      </c>
      <c r="G30" s="806">
        <f t="shared" si="19"/>
        <v>0</v>
      </c>
      <c r="H30" s="806">
        <f>+H7+H13</f>
        <v>111988899</v>
      </c>
      <c r="I30" s="806">
        <f t="shared" si="19"/>
        <v>94669208</v>
      </c>
      <c r="J30" s="806">
        <f>+J7+J13</f>
        <v>110442808</v>
      </c>
      <c r="K30" s="806">
        <f>+E30+G30+I30</f>
        <v>2139264624</v>
      </c>
      <c r="L30" s="806">
        <f>+F30+H30+J30</f>
        <v>2601160871</v>
      </c>
    </row>
    <row r="31" spans="1:12" x14ac:dyDescent="0.25">
      <c r="A31" s="781"/>
      <c r="B31" s="781"/>
      <c r="C31" s="781"/>
      <c r="D31" s="781"/>
      <c r="E31" s="781"/>
      <c r="F31" s="781"/>
      <c r="G31" s="781"/>
      <c r="H31" s="781"/>
      <c r="I31" s="781"/>
      <c r="J31" s="781"/>
      <c r="K31" s="781"/>
    </row>
    <row r="32" spans="1:12" x14ac:dyDescent="0.25">
      <c r="A32" s="781"/>
      <c r="B32" s="781"/>
      <c r="C32" s="781"/>
      <c r="D32" s="781"/>
      <c r="E32" s="781"/>
      <c r="F32" s="781"/>
      <c r="G32" s="781"/>
      <c r="H32" s="781"/>
      <c r="I32" s="781"/>
      <c r="J32" s="781"/>
      <c r="K32" s="781"/>
    </row>
    <row r="33" spans="1:11" x14ac:dyDescent="0.25">
      <c r="A33" s="781"/>
      <c r="B33" s="781"/>
      <c r="C33" s="781"/>
      <c r="D33" s="781"/>
      <c r="E33" s="781"/>
      <c r="F33" s="781"/>
      <c r="G33" s="781"/>
      <c r="H33" s="781"/>
      <c r="I33" s="781"/>
      <c r="J33" s="781"/>
      <c r="K33" s="781"/>
    </row>
    <row r="34" spans="1:11" x14ac:dyDescent="0.25">
      <c r="A34" s="781"/>
      <c r="B34" s="781"/>
      <c r="C34" s="781"/>
      <c r="D34" s="781"/>
      <c r="E34" s="781"/>
      <c r="F34" s="781"/>
      <c r="G34" s="781"/>
      <c r="H34" s="781"/>
      <c r="I34" s="781"/>
      <c r="J34" s="781"/>
      <c r="K34" s="781"/>
    </row>
    <row r="35" spans="1:11" x14ac:dyDescent="0.25">
      <c r="A35" s="781"/>
      <c r="B35" s="781"/>
      <c r="C35" s="781"/>
      <c r="D35" s="781"/>
      <c r="E35" s="781"/>
      <c r="F35" s="781"/>
      <c r="G35" s="781"/>
      <c r="H35" s="781"/>
      <c r="I35" s="781"/>
      <c r="J35" s="781"/>
      <c r="K35" s="781"/>
    </row>
  </sheetData>
  <mergeCells count="17">
    <mergeCell ref="A30:D30"/>
    <mergeCell ref="A6:D6"/>
    <mergeCell ref="A7:D7"/>
    <mergeCell ref="A13:D13"/>
    <mergeCell ref="A22:D22"/>
    <mergeCell ref="A26:D26"/>
    <mergeCell ref="A29:D29"/>
    <mergeCell ref="A16:D16"/>
    <mergeCell ref="A14:D14"/>
    <mergeCell ref="A18:D18"/>
    <mergeCell ref="A20:D20"/>
    <mergeCell ref="A1:L1"/>
    <mergeCell ref="A2:K2"/>
    <mergeCell ref="A4:A5"/>
    <mergeCell ref="B4:B5"/>
    <mergeCell ref="C4:C5"/>
    <mergeCell ref="D4:D5"/>
  </mergeCells>
  <printOptions horizontalCentered="1" verticalCentered="1"/>
  <pageMargins left="0.23622047244094491" right="0.23622047244094491" top="0.74803149606299213" bottom="0.74803149606299213" header="0.31496062992125984" footer="0.31496062992125984"/>
  <pageSetup paperSize="9" scale="67" orientation="landscape" r:id="rId1"/>
  <headerFooter>
    <oddHeader>&amp;C2023. évi költségvetés&amp;R11.a.sz. Műk.célú tám.ÁHbelül</oddHeader>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H88"/>
  <sheetViews>
    <sheetView view="pageBreakPreview" topLeftCell="A61" zoomScale="90" zoomScaleNormal="73" zoomScaleSheetLayoutView="90" workbookViewId="0">
      <selection activeCell="G77" activeCellId="1" sqref="G73 G77"/>
    </sheetView>
  </sheetViews>
  <sheetFormatPr defaultRowHeight="12.75" x14ac:dyDescent="0.2"/>
  <cols>
    <col min="1" max="1" width="13.85546875" style="348" customWidth="1"/>
    <col min="2" max="2" width="90.7109375" style="348" customWidth="1"/>
    <col min="3" max="3" width="23" style="850" customWidth="1"/>
    <col min="4" max="4" width="13.5703125" style="348" customWidth="1"/>
    <col min="5" max="5" width="13.85546875" style="348" customWidth="1"/>
    <col min="6" max="6" width="21.85546875" style="348" bestFit="1" customWidth="1"/>
    <col min="7" max="7" width="22.140625" style="348" customWidth="1"/>
    <col min="8" max="8" width="14.140625" style="348" bestFit="1" customWidth="1"/>
    <col min="9" max="16384" width="9.140625" style="348"/>
  </cols>
  <sheetData>
    <row r="1" spans="1:7" ht="16.5" customHeight="1" x14ac:dyDescent="0.2">
      <c r="A1" s="1872" t="s">
        <v>2642</v>
      </c>
      <c r="B1" s="1872"/>
      <c r="C1" s="1872"/>
      <c r="D1" s="1872"/>
      <c r="E1" s="1872"/>
      <c r="F1" s="1872"/>
      <c r="G1" s="1872"/>
    </row>
    <row r="2" spans="1:7" x14ac:dyDescent="0.2">
      <c r="A2" s="1942"/>
      <c r="B2" s="1942"/>
      <c r="C2" s="1942"/>
      <c r="D2" s="1942"/>
      <c r="E2" s="1942"/>
      <c r="F2" s="1942"/>
      <c r="G2" s="1942"/>
    </row>
    <row r="3" spans="1:7" ht="45.75" customHeight="1" x14ac:dyDescent="0.2">
      <c r="A3" s="861" t="s">
        <v>891</v>
      </c>
      <c r="B3" s="862"/>
      <c r="C3" s="862" t="s">
        <v>1441</v>
      </c>
      <c r="D3" s="863" t="s">
        <v>92</v>
      </c>
      <c r="E3" s="863" t="s">
        <v>93</v>
      </c>
      <c r="F3" s="1002" t="s">
        <v>1716</v>
      </c>
      <c r="G3" s="1511" t="s">
        <v>1717</v>
      </c>
    </row>
    <row r="4" spans="1:7" ht="17.25" customHeight="1" x14ac:dyDescent="0.2">
      <c r="A4" s="1936" t="s">
        <v>892</v>
      </c>
      <c r="B4" s="1937"/>
      <c r="C4" s="1937"/>
      <c r="D4" s="1937"/>
      <c r="E4" s="1937"/>
      <c r="F4" s="1937"/>
      <c r="G4" s="1938"/>
    </row>
    <row r="5" spans="1:7" ht="27.75" customHeight="1" x14ac:dyDescent="0.25">
      <c r="A5" s="1043" t="s">
        <v>893</v>
      </c>
      <c r="B5" s="1943" t="s">
        <v>894</v>
      </c>
      <c r="C5" s="1943"/>
      <c r="D5" s="1044"/>
      <c r="E5" s="1045"/>
      <c r="F5" s="1046">
        <f>+F6</f>
        <v>445954638</v>
      </c>
      <c r="G5" s="1047">
        <f>+G6</f>
        <v>461004078</v>
      </c>
    </row>
    <row r="6" spans="1:7" ht="15.75" x14ac:dyDescent="0.2">
      <c r="A6" s="1040" t="s">
        <v>895</v>
      </c>
      <c r="B6" s="1041" t="s">
        <v>896</v>
      </c>
      <c r="C6" s="1042"/>
      <c r="D6" s="1003"/>
      <c r="E6" s="1018"/>
      <c r="F6" s="1018">
        <f>+F7+F8+F9+F10+F11+F12+F13</f>
        <v>445954638</v>
      </c>
      <c r="G6" s="1081">
        <f>+G7+G8+G9+G10+G11+G12+G13</f>
        <v>461004078</v>
      </c>
    </row>
    <row r="7" spans="1:7" ht="31.5" x14ac:dyDescent="0.2">
      <c r="A7" s="864" t="s">
        <v>1905</v>
      </c>
      <c r="B7" s="1019" t="s">
        <v>897</v>
      </c>
      <c r="C7" s="1020" t="s">
        <v>1442</v>
      </c>
      <c r="D7" s="865">
        <v>44.79</v>
      </c>
      <c r="E7" s="866">
        <v>5537000</v>
      </c>
      <c r="F7" s="866">
        <f>+D7*E7</f>
        <v>248002230</v>
      </c>
      <c r="G7" s="1512">
        <f>+F7+15049440</f>
        <v>263051670</v>
      </c>
    </row>
    <row r="8" spans="1:7" ht="15.75" x14ac:dyDescent="0.2">
      <c r="A8" s="864" t="s">
        <v>898</v>
      </c>
      <c r="B8" s="1019" t="s">
        <v>899</v>
      </c>
      <c r="C8" s="1020" t="s">
        <v>1443</v>
      </c>
      <c r="D8" s="867"/>
      <c r="E8" s="866">
        <v>26000</v>
      </c>
      <c r="F8" s="866">
        <v>30139200</v>
      </c>
      <c r="G8" s="1512">
        <f t="shared" ref="G8:G13" si="0">+F8</f>
        <v>30139200</v>
      </c>
    </row>
    <row r="9" spans="1:7" ht="15.75" x14ac:dyDescent="0.2">
      <c r="A9" s="864" t="s">
        <v>900</v>
      </c>
      <c r="B9" s="1019" t="s">
        <v>901</v>
      </c>
      <c r="C9" s="1020" t="s">
        <v>1444</v>
      </c>
      <c r="D9" s="865"/>
      <c r="E9" s="866"/>
      <c r="F9" s="866">
        <v>61156800</v>
      </c>
      <c r="G9" s="1512">
        <f t="shared" si="0"/>
        <v>61156800</v>
      </c>
    </row>
    <row r="10" spans="1:7" ht="15.75" x14ac:dyDescent="0.2">
      <c r="A10" s="864" t="s">
        <v>902</v>
      </c>
      <c r="B10" s="1019" t="s">
        <v>903</v>
      </c>
      <c r="C10" s="1020" t="s">
        <v>1444</v>
      </c>
      <c r="D10" s="865"/>
      <c r="E10" s="866"/>
      <c r="F10" s="866">
        <v>5323695</v>
      </c>
      <c r="G10" s="1512">
        <f t="shared" si="0"/>
        <v>5323695</v>
      </c>
    </row>
    <row r="11" spans="1:7" ht="15.75" x14ac:dyDescent="0.2">
      <c r="A11" s="864" t="s">
        <v>904</v>
      </c>
      <c r="B11" s="1019" t="s">
        <v>905</v>
      </c>
      <c r="C11" s="1020" t="s">
        <v>1444</v>
      </c>
      <c r="D11" s="865"/>
      <c r="E11" s="866"/>
      <c r="F11" s="866">
        <v>33661313</v>
      </c>
      <c r="G11" s="1512">
        <f t="shared" si="0"/>
        <v>33661313</v>
      </c>
    </row>
    <row r="12" spans="1:7" ht="15.75" x14ac:dyDescent="0.2">
      <c r="A12" s="864" t="s">
        <v>906</v>
      </c>
      <c r="B12" s="1019" t="s">
        <v>531</v>
      </c>
      <c r="C12" s="1020" t="s">
        <v>1444</v>
      </c>
      <c r="D12" s="865"/>
      <c r="E12" s="866"/>
      <c r="F12" s="866">
        <v>67110400</v>
      </c>
      <c r="G12" s="1512">
        <f t="shared" si="0"/>
        <v>67110400</v>
      </c>
    </row>
    <row r="13" spans="1:7" ht="15.75" x14ac:dyDescent="0.2">
      <c r="A13" s="1048" t="s">
        <v>907</v>
      </c>
      <c r="B13" s="1049" t="s">
        <v>532</v>
      </c>
      <c r="C13" s="1050" t="s">
        <v>1444</v>
      </c>
      <c r="D13" s="1051"/>
      <c r="E13" s="942">
        <v>2550</v>
      </c>
      <c r="F13" s="942">
        <v>561000</v>
      </c>
      <c r="G13" s="1513">
        <f t="shared" si="0"/>
        <v>561000</v>
      </c>
    </row>
    <row r="14" spans="1:7" ht="39.75" customHeight="1" x14ac:dyDescent="0.25">
      <c r="A14" s="1052" t="s">
        <v>908</v>
      </c>
      <c r="B14" s="1944" t="s">
        <v>96</v>
      </c>
      <c r="C14" s="1944"/>
      <c r="D14" s="1044"/>
      <c r="E14" s="1045"/>
      <c r="F14" s="1046">
        <f>+F15+F17+F19+F30+F35</f>
        <v>797232290</v>
      </c>
      <c r="G14" s="1047">
        <f>+G15+G17+G19+G30+G35</f>
        <v>919106558</v>
      </c>
    </row>
    <row r="15" spans="1:7" ht="15" x14ac:dyDescent="0.25">
      <c r="A15" s="1088" t="s">
        <v>909</v>
      </c>
      <c r="B15" s="1100" t="s">
        <v>97</v>
      </c>
      <c r="C15" s="1101"/>
      <c r="D15" s="937"/>
      <c r="E15" s="1102"/>
      <c r="F15" s="1102">
        <f>+F16</f>
        <v>123110000</v>
      </c>
      <c r="G15" s="1079">
        <f>+G16</f>
        <v>129465000</v>
      </c>
    </row>
    <row r="16" spans="1:7" ht="15.75" x14ac:dyDescent="0.25">
      <c r="A16" s="1093" t="s">
        <v>3324</v>
      </c>
      <c r="B16" s="868" t="s">
        <v>910</v>
      </c>
      <c r="C16" s="1023" t="s">
        <v>1445</v>
      </c>
      <c r="D16" s="865">
        <v>947</v>
      </c>
      <c r="E16" s="868">
        <v>130000</v>
      </c>
      <c r="F16" s="868">
        <f>+E16*D16</f>
        <v>123110000</v>
      </c>
      <c r="G16" s="1512">
        <f>+F16+6629000+169000-14000-429000</f>
        <v>129465000</v>
      </c>
    </row>
    <row r="17" spans="1:7" ht="15.75" x14ac:dyDescent="0.25">
      <c r="A17" s="1093" t="s">
        <v>911</v>
      </c>
      <c r="B17" s="1021" t="s">
        <v>912</v>
      </c>
      <c r="C17" s="1022"/>
      <c r="D17" s="865"/>
      <c r="E17" s="932"/>
      <c r="F17" s="1021">
        <f>+F18</f>
        <v>431031510.00000006</v>
      </c>
      <c r="G17" s="870">
        <f>+G18</f>
        <v>512741152.00000006</v>
      </c>
    </row>
    <row r="18" spans="1:7" ht="30" x14ac:dyDescent="0.25">
      <c r="A18" s="842" t="s">
        <v>1906</v>
      </c>
      <c r="B18" s="1024" t="s">
        <v>913</v>
      </c>
      <c r="C18" s="1025" t="s">
        <v>1445</v>
      </c>
      <c r="D18" s="865">
        <v>81.900000000000006</v>
      </c>
      <c r="E18" s="837">
        <v>5262900</v>
      </c>
      <c r="F18" s="1026">
        <f>+E18*D18</f>
        <v>431031510.00000006</v>
      </c>
      <c r="G18" s="1512">
        <f>+F18+58795191+1578870+19230421+2105160</f>
        <v>512741152.00000006</v>
      </c>
    </row>
    <row r="19" spans="1:7" ht="30" x14ac:dyDescent="0.25">
      <c r="A19" s="842" t="s">
        <v>914</v>
      </c>
      <c r="B19" s="1103" t="s">
        <v>845</v>
      </c>
      <c r="C19" s="1104"/>
      <c r="D19" s="838"/>
      <c r="E19" s="837"/>
      <c r="F19" s="1105">
        <f>F20+F25</f>
        <v>20324780</v>
      </c>
      <c r="G19" s="1080">
        <f>G20+G25</f>
        <v>23156246</v>
      </c>
    </row>
    <row r="20" spans="1:7" ht="15" x14ac:dyDescent="0.25">
      <c r="A20" s="1106" t="s">
        <v>915</v>
      </c>
      <c r="B20" s="1027" t="s">
        <v>916</v>
      </c>
      <c r="C20" s="1028"/>
      <c r="D20" s="1027"/>
      <c r="E20" s="1027"/>
      <c r="F20" s="1027">
        <f>+F22</f>
        <v>20324780</v>
      </c>
      <c r="G20" s="1029">
        <f>+G22</f>
        <v>22521380</v>
      </c>
    </row>
    <row r="21" spans="1:7" ht="15" x14ac:dyDescent="0.25">
      <c r="A21" s="1093" t="s">
        <v>917</v>
      </c>
      <c r="B21" s="1946" t="s">
        <v>918</v>
      </c>
      <c r="C21" s="1946"/>
      <c r="D21" s="1946"/>
      <c r="E21" s="1946"/>
      <c r="F21" s="1946"/>
      <c r="G21" s="1514"/>
    </row>
    <row r="22" spans="1:7" ht="15" x14ac:dyDescent="0.25">
      <c r="A22" s="1093" t="s">
        <v>919</v>
      </c>
      <c r="B22" s="868" t="s">
        <v>920</v>
      </c>
      <c r="C22" s="1023"/>
      <c r="D22" s="838"/>
      <c r="E22" s="837"/>
      <c r="F22" s="868">
        <f>+F23+F24+F25+F26</f>
        <v>20324780</v>
      </c>
      <c r="G22" s="869">
        <f>+G23+G24+G26</f>
        <v>22521380</v>
      </c>
    </row>
    <row r="23" spans="1:7" ht="15" x14ac:dyDescent="0.25">
      <c r="A23" s="842" t="s">
        <v>1907</v>
      </c>
      <c r="B23" s="1014" t="s">
        <v>921</v>
      </c>
      <c r="C23" s="1030" t="s">
        <v>1445</v>
      </c>
      <c r="D23" s="838">
        <v>36</v>
      </c>
      <c r="E23" s="837">
        <v>467690</v>
      </c>
      <c r="F23" s="1014">
        <f>+D23*E23</f>
        <v>16836840</v>
      </c>
      <c r="G23" s="1512">
        <f>+F23+1667160+649070-467690</f>
        <v>18685380</v>
      </c>
    </row>
    <row r="24" spans="1:7" ht="15" x14ac:dyDescent="0.25">
      <c r="A24" s="842" t="s">
        <v>1908</v>
      </c>
      <c r="B24" s="1014" t="s">
        <v>922</v>
      </c>
      <c r="C24" s="1030" t="s">
        <v>1445</v>
      </c>
      <c r="D24" s="838">
        <v>2</v>
      </c>
      <c r="E24" s="837">
        <v>1743970</v>
      </c>
      <c r="F24" s="1014">
        <f>+D24*E24</f>
        <v>3487940</v>
      </c>
      <c r="G24" s="1512">
        <f>+F24+348060</f>
        <v>3836000</v>
      </c>
    </row>
    <row r="25" spans="1:7" ht="15" x14ac:dyDescent="0.25">
      <c r="A25" s="1106" t="s">
        <v>923</v>
      </c>
      <c r="B25" s="1027" t="s">
        <v>924</v>
      </c>
      <c r="C25" s="1028"/>
      <c r="D25" s="1027"/>
      <c r="E25" s="1027"/>
      <c r="F25" s="1027">
        <f>+F27</f>
        <v>0</v>
      </c>
      <c r="G25" s="1029">
        <f>+G27+G28</f>
        <v>634866</v>
      </c>
    </row>
    <row r="26" spans="1:7" ht="15" x14ac:dyDescent="0.25">
      <c r="A26" s="842" t="s">
        <v>925</v>
      </c>
      <c r="B26" s="1946" t="s">
        <v>918</v>
      </c>
      <c r="C26" s="1946"/>
      <c r="D26" s="1946"/>
      <c r="E26" s="1946"/>
      <c r="F26" s="1946"/>
      <c r="G26" s="1514"/>
    </row>
    <row r="27" spans="1:7" ht="15" x14ac:dyDescent="0.25">
      <c r="A27" s="1093" t="s">
        <v>926</v>
      </c>
      <c r="B27" s="868" t="s">
        <v>920</v>
      </c>
      <c r="C27" s="1023"/>
      <c r="D27" s="838"/>
      <c r="E27" s="932"/>
      <c r="F27" s="932"/>
      <c r="G27" s="1514"/>
    </row>
    <row r="28" spans="1:7" ht="15" x14ac:dyDescent="0.25">
      <c r="A28" s="842" t="s">
        <v>3325</v>
      </c>
      <c r="B28" s="1014" t="s">
        <v>921</v>
      </c>
      <c r="C28" s="1030"/>
      <c r="D28" s="838">
        <v>0</v>
      </c>
      <c r="E28" s="837">
        <v>428720</v>
      </c>
      <c r="F28" s="1014">
        <f>+E28*D28</f>
        <v>0</v>
      </c>
      <c r="G28" s="1512">
        <f>+F28+428720+145484+60662</f>
        <v>634866</v>
      </c>
    </row>
    <row r="29" spans="1:7" ht="15" x14ac:dyDescent="0.25">
      <c r="A29" s="1094" t="s">
        <v>927</v>
      </c>
      <c r="B29" s="1014" t="s">
        <v>922</v>
      </c>
      <c r="C29" s="1030"/>
      <c r="D29" s="838">
        <v>0</v>
      </c>
      <c r="E29" s="839">
        <v>1598640</v>
      </c>
      <c r="F29" s="1014">
        <f>+E29*D29</f>
        <v>0</v>
      </c>
      <c r="G29" s="1512">
        <f>+F29</f>
        <v>0</v>
      </c>
    </row>
    <row r="30" spans="1:7" ht="15" x14ac:dyDescent="0.25">
      <c r="A30" s="1093" t="s">
        <v>928</v>
      </c>
      <c r="B30" s="1031" t="s">
        <v>632</v>
      </c>
      <c r="C30" s="1032"/>
      <c r="D30" s="838"/>
      <c r="E30" s="871"/>
      <c r="F30" s="1033">
        <f>+F33</f>
        <v>5598000</v>
      </c>
      <c r="G30" s="872">
        <f>+G33+G32</f>
        <v>6168160</v>
      </c>
    </row>
    <row r="31" spans="1:7" ht="15" x14ac:dyDescent="0.25">
      <c r="A31" s="842" t="s">
        <v>929</v>
      </c>
      <c r="B31" s="1946" t="s">
        <v>918</v>
      </c>
      <c r="C31" s="1946"/>
      <c r="D31" s="1946"/>
      <c r="E31" s="1946"/>
      <c r="F31" s="1946"/>
      <c r="G31" s="1514"/>
    </row>
    <row r="32" spans="1:7" ht="15" x14ac:dyDescent="0.25">
      <c r="A32" s="842" t="s">
        <v>930</v>
      </c>
      <c r="B32" s="1014" t="s">
        <v>931</v>
      </c>
      <c r="C32" s="1030"/>
      <c r="D32" s="838">
        <v>0</v>
      </c>
      <c r="E32" s="837">
        <v>811600</v>
      </c>
      <c r="F32" s="1014">
        <f>D32*E32</f>
        <v>0</v>
      </c>
      <c r="G32" s="1512">
        <f>+F32+6492800-324640</f>
        <v>6168160</v>
      </c>
    </row>
    <row r="33" spans="1:7" ht="15" x14ac:dyDescent="0.25">
      <c r="A33" s="842" t="s">
        <v>932</v>
      </c>
      <c r="B33" s="1014" t="s">
        <v>933</v>
      </c>
      <c r="C33" s="1030" t="s">
        <v>1445</v>
      </c>
      <c r="D33" s="838">
        <v>9</v>
      </c>
      <c r="E33" s="837">
        <v>622000</v>
      </c>
      <c r="F33" s="1014">
        <f>+D33*E33</f>
        <v>5598000</v>
      </c>
      <c r="G33" s="1512">
        <f>+F33-5598000</f>
        <v>0</v>
      </c>
    </row>
    <row r="34" spans="1:7" ht="15" x14ac:dyDescent="0.25">
      <c r="A34" s="842" t="s">
        <v>934</v>
      </c>
      <c r="B34" s="1014" t="s">
        <v>935</v>
      </c>
      <c r="C34" s="1030"/>
      <c r="D34" s="838">
        <v>0</v>
      </c>
      <c r="E34" s="837">
        <v>249000</v>
      </c>
      <c r="F34" s="1014">
        <f>+D34*E34</f>
        <v>0</v>
      </c>
      <c r="G34" s="1512">
        <f>+F34</f>
        <v>0</v>
      </c>
    </row>
    <row r="35" spans="1:7" ht="30" x14ac:dyDescent="0.25">
      <c r="A35" s="842" t="s">
        <v>936</v>
      </c>
      <c r="B35" s="873" t="s">
        <v>937</v>
      </c>
      <c r="C35" s="874"/>
      <c r="D35" s="838"/>
      <c r="E35" s="837"/>
      <c r="F35" s="1034">
        <f>+F37+F38</f>
        <v>217168000</v>
      </c>
      <c r="G35" s="840">
        <f>+G37+G38</f>
        <v>247576000</v>
      </c>
    </row>
    <row r="36" spans="1:7" ht="15" x14ac:dyDescent="0.25">
      <c r="A36" s="842" t="s">
        <v>938</v>
      </c>
      <c r="B36" s="1946" t="s">
        <v>918</v>
      </c>
      <c r="C36" s="1946"/>
      <c r="D36" s="1946"/>
      <c r="E36" s="1946"/>
      <c r="F36" s="1946"/>
      <c r="G36" s="1514"/>
    </row>
    <row r="37" spans="1:7" ht="15" x14ac:dyDescent="0.25">
      <c r="A37" s="1093" t="s">
        <v>1909</v>
      </c>
      <c r="B37" s="875" t="s">
        <v>939</v>
      </c>
      <c r="C37" s="1035" t="s">
        <v>1445</v>
      </c>
      <c r="D37" s="838">
        <v>56</v>
      </c>
      <c r="E37" s="837">
        <v>3878000</v>
      </c>
      <c r="F37" s="875">
        <f>+E37*D37</f>
        <v>217168000</v>
      </c>
      <c r="G37" s="1515">
        <f>+F37+30408000</f>
        <v>247576000</v>
      </c>
    </row>
    <row r="38" spans="1:7" ht="15" x14ac:dyDescent="0.25">
      <c r="A38" s="1107" t="s">
        <v>940</v>
      </c>
      <c r="B38" s="1108" t="s">
        <v>941</v>
      </c>
      <c r="C38" s="1036"/>
      <c r="D38" s="946"/>
      <c r="E38" s="947">
        <v>5262900</v>
      </c>
      <c r="F38" s="1037"/>
      <c r="G38" s="1516"/>
    </row>
    <row r="39" spans="1:7" ht="39" customHeight="1" x14ac:dyDescent="0.3">
      <c r="A39" s="1053" t="s">
        <v>942</v>
      </c>
      <c r="B39" s="1947" t="s">
        <v>943</v>
      </c>
      <c r="C39" s="1948"/>
      <c r="D39" s="1054"/>
      <c r="E39" s="1045"/>
      <c r="F39" s="1046">
        <f>+F40+F41+F50</f>
        <v>283512932</v>
      </c>
      <c r="G39" s="1047">
        <f>+G40+G41+G50</f>
        <v>331533190</v>
      </c>
    </row>
    <row r="40" spans="1:7" ht="15" x14ac:dyDescent="0.25">
      <c r="A40" s="1088" t="s">
        <v>944</v>
      </c>
      <c r="B40" s="1089" t="s">
        <v>945</v>
      </c>
      <c r="C40" s="1090"/>
      <c r="D40" s="1091"/>
      <c r="E40" s="1092"/>
      <c r="F40" s="1089">
        <f>+D40*E40</f>
        <v>0</v>
      </c>
      <c r="G40" s="1517">
        <f>+F40</f>
        <v>0</v>
      </c>
    </row>
    <row r="41" spans="1:7" ht="15" x14ac:dyDescent="0.25">
      <c r="A41" s="842" t="s">
        <v>946</v>
      </c>
      <c r="B41" s="1034" t="s">
        <v>947</v>
      </c>
      <c r="C41" s="1038"/>
      <c r="D41" s="838"/>
      <c r="E41" s="837"/>
      <c r="F41" s="1034">
        <f>+F42+F44+F46+F47+F48</f>
        <v>49539632</v>
      </c>
      <c r="G41" s="840">
        <f>+G42+G44+G46+G47+G48</f>
        <v>58866080</v>
      </c>
    </row>
    <row r="42" spans="1:7" ht="15" x14ac:dyDescent="0.25">
      <c r="A42" s="842" t="s">
        <v>1910</v>
      </c>
      <c r="B42" s="1014" t="s">
        <v>948</v>
      </c>
      <c r="C42" s="1030" t="s">
        <v>1446</v>
      </c>
      <c r="D42" s="838">
        <f>+F42/E42</f>
        <v>4.8</v>
      </c>
      <c r="E42" s="837">
        <v>5128940</v>
      </c>
      <c r="F42" s="1014">
        <v>24618912</v>
      </c>
      <c r="G42" s="1512">
        <f>+F42+3835488</f>
        <v>28454400</v>
      </c>
    </row>
    <row r="43" spans="1:7" ht="15" x14ac:dyDescent="0.25">
      <c r="A43" s="842" t="s">
        <v>949</v>
      </c>
      <c r="B43" s="1945" t="s">
        <v>99</v>
      </c>
      <c r="C43" s="1945"/>
      <c r="D43" s="1945"/>
      <c r="E43" s="1945"/>
      <c r="F43" s="1945"/>
      <c r="G43" s="1514"/>
    </row>
    <row r="44" spans="1:7" ht="15" x14ac:dyDescent="0.25">
      <c r="A44" s="1093" t="s">
        <v>1911</v>
      </c>
      <c r="B44" s="1014" t="s">
        <v>950</v>
      </c>
      <c r="C44" s="1030"/>
      <c r="D44" s="838">
        <v>100</v>
      </c>
      <c r="E44" s="875">
        <v>73810</v>
      </c>
      <c r="F44" s="875">
        <f>+E44*D44</f>
        <v>7381000</v>
      </c>
      <c r="G44" s="1518">
        <f>+F44+580000+75400+959530</f>
        <v>8995930</v>
      </c>
    </row>
    <row r="45" spans="1:7" ht="15" x14ac:dyDescent="0.25">
      <c r="A45" s="842" t="s">
        <v>951</v>
      </c>
      <c r="B45" s="1945" t="s">
        <v>100</v>
      </c>
      <c r="C45" s="1945"/>
      <c r="D45" s="1945"/>
      <c r="E45" s="1945"/>
      <c r="F45" s="1945"/>
      <c r="G45" s="1514"/>
    </row>
    <row r="46" spans="1:7" ht="15" x14ac:dyDescent="0.25">
      <c r="A46" s="842" t="s">
        <v>952</v>
      </c>
      <c r="B46" s="1014" t="s">
        <v>534</v>
      </c>
      <c r="C46" s="1030"/>
      <c r="D46" s="838">
        <v>2</v>
      </c>
      <c r="E46" s="875">
        <v>25000</v>
      </c>
      <c r="F46" s="1014">
        <f>+E46*D46</f>
        <v>50000</v>
      </c>
      <c r="G46" s="1512">
        <f>+F46-25000</f>
        <v>25000</v>
      </c>
    </row>
    <row r="47" spans="1:7" ht="15" x14ac:dyDescent="0.25">
      <c r="A47" s="842" t="s">
        <v>1912</v>
      </c>
      <c r="B47" s="1014" t="s">
        <v>953</v>
      </c>
      <c r="C47" s="1030"/>
      <c r="D47" s="876">
        <v>28</v>
      </c>
      <c r="E47" s="837">
        <v>463130</v>
      </c>
      <c r="F47" s="1014">
        <f>+D47*E47</f>
        <v>12967640</v>
      </c>
      <c r="G47" s="1512">
        <f>+F47+2068360-221610-1389390</f>
        <v>13425000</v>
      </c>
    </row>
    <row r="48" spans="1:7" ht="15" x14ac:dyDescent="0.25">
      <c r="A48" s="1094" t="s">
        <v>954</v>
      </c>
      <c r="B48" s="839" t="s">
        <v>101</v>
      </c>
      <c r="C48" s="843"/>
      <c r="D48" s="938"/>
      <c r="E48" s="938"/>
      <c r="F48" s="938">
        <f>+F49</f>
        <v>4522080</v>
      </c>
      <c r="G48" s="1039">
        <f>+G49</f>
        <v>7965750</v>
      </c>
    </row>
    <row r="49" spans="1:8" ht="15" x14ac:dyDescent="0.25">
      <c r="A49" s="842" t="s">
        <v>1913</v>
      </c>
      <c r="B49" s="839" t="s">
        <v>955</v>
      </c>
      <c r="C49" s="843"/>
      <c r="D49" s="876">
        <v>16</v>
      </c>
      <c r="E49" s="837">
        <v>282630</v>
      </c>
      <c r="F49" s="1014">
        <f>+D49*E49</f>
        <v>4522080</v>
      </c>
      <c r="G49" s="1512">
        <f>+F49+576000+324000+2543670</f>
        <v>7965750</v>
      </c>
    </row>
    <row r="50" spans="1:8" ht="15.75" x14ac:dyDescent="0.25">
      <c r="A50" s="844" t="s">
        <v>956</v>
      </c>
      <c r="B50" s="1015" t="s">
        <v>603</v>
      </c>
      <c r="C50" s="1016"/>
      <c r="D50" s="1015"/>
      <c r="E50" s="1015"/>
      <c r="F50" s="871">
        <f>+F52+F53+F54</f>
        <v>233973300</v>
      </c>
      <c r="G50" s="1017">
        <f>+G52+G53+G54</f>
        <v>272667110</v>
      </c>
    </row>
    <row r="51" spans="1:8" ht="15.75" x14ac:dyDescent="0.25">
      <c r="A51" s="844" t="s">
        <v>957</v>
      </c>
      <c r="B51" s="1930" t="s">
        <v>958</v>
      </c>
      <c r="C51" s="1930"/>
      <c r="D51" s="1930"/>
      <c r="E51" s="1930"/>
      <c r="F51" s="1930"/>
      <c r="G51" s="1514"/>
    </row>
    <row r="52" spans="1:8" ht="15.75" x14ac:dyDescent="0.25">
      <c r="A52" s="844" t="s">
        <v>1914</v>
      </c>
      <c r="B52" s="845" t="s">
        <v>604</v>
      </c>
      <c r="C52" s="846"/>
      <c r="D52" s="847">
        <v>7</v>
      </c>
      <c r="E52" s="837">
        <v>6990700</v>
      </c>
      <c r="F52" s="845">
        <f>+E52*D52</f>
        <v>48934900</v>
      </c>
      <c r="G52" s="1518">
        <f>+F52+3991400+1587110</f>
        <v>54513410</v>
      </c>
    </row>
    <row r="53" spans="1:8" ht="15.75" x14ac:dyDescent="0.25">
      <c r="A53" s="844" t="s">
        <v>1915</v>
      </c>
      <c r="B53" s="845" t="s">
        <v>605</v>
      </c>
      <c r="C53" s="846"/>
      <c r="D53" s="847">
        <v>22.8</v>
      </c>
      <c r="E53" s="837">
        <v>5453000</v>
      </c>
      <c r="F53" s="845">
        <f>+E53*D53</f>
        <v>124328400</v>
      </c>
      <c r="G53" s="1518">
        <f>+F53+18768960+3817100+576240</f>
        <v>147490700</v>
      </c>
    </row>
    <row r="54" spans="1:8" ht="18.75" x14ac:dyDescent="0.3">
      <c r="A54" s="1095" t="s">
        <v>959</v>
      </c>
      <c r="B54" s="1096" t="s">
        <v>960</v>
      </c>
      <c r="C54" s="1097"/>
      <c r="D54" s="1098"/>
      <c r="E54" s="947"/>
      <c r="F54" s="1099">
        <v>60710000</v>
      </c>
      <c r="G54" s="1519">
        <f>+F54+1155000+8798000</f>
        <v>70663000</v>
      </c>
    </row>
    <row r="55" spans="1:8" ht="39" customHeight="1" x14ac:dyDescent="0.3">
      <c r="A55" s="1043" t="s">
        <v>961</v>
      </c>
      <c r="B55" s="1931" t="s">
        <v>962</v>
      </c>
      <c r="C55" s="1931"/>
      <c r="D55" s="1061"/>
      <c r="E55" s="1061"/>
      <c r="F55" s="1062">
        <f>+F56+F59</f>
        <v>221171898</v>
      </c>
      <c r="G55" s="1063">
        <f>+G56+G59</f>
        <v>168532920</v>
      </c>
    </row>
    <row r="56" spans="1:8" ht="15.75" x14ac:dyDescent="0.25">
      <c r="A56" s="1055" t="s">
        <v>963</v>
      </c>
      <c r="B56" s="1056" t="s">
        <v>964</v>
      </c>
      <c r="C56" s="1057"/>
      <c r="D56" s="1058"/>
      <c r="E56" s="1059"/>
      <c r="F56" s="1060">
        <f>+F57+F58</f>
        <v>220828188</v>
      </c>
      <c r="G56" s="1078">
        <f>+G57+G58</f>
        <v>168187500</v>
      </c>
    </row>
    <row r="57" spans="1:8" ht="15.75" x14ac:dyDescent="0.25">
      <c r="A57" s="848" t="s">
        <v>1916</v>
      </c>
      <c r="B57" s="845" t="s">
        <v>965</v>
      </c>
      <c r="C57" s="846"/>
      <c r="D57" s="847">
        <v>38.479999999999997</v>
      </c>
      <c r="E57" s="866">
        <v>2700300</v>
      </c>
      <c r="F57" s="1009">
        <f>+E57*D57</f>
        <v>103907543.99999999</v>
      </c>
      <c r="G57" s="1520">
        <f>+F57+10031736+346731+3591399</f>
        <v>117877409.99999999</v>
      </c>
    </row>
    <row r="58" spans="1:8" ht="15.75" x14ac:dyDescent="0.25">
      <c r="A58" s="849" t="s">
        <v>966</v>
      </c>
      <c r="B58" s="845" t="s">
        <v>967</v>
      </c>
      <c r="C58" s="846"/>
      <c r="D58" s="847"/>
      <c r="E58" s="866"/>
      <c r="F58" s="1009">
        <v>116920644</v>
      </c>
      <c r="G58" s="1520">
        <f>+F58-5611906-60998648</f>
        <v>50310090</v>
      </c>
    </row>
    <row r="59" spans="1:8" ht="15.75" x14ac:dyDescent="0.25">
      <c r="A59" s="940" t="s">
        <v>968</v>
      </c>
      <c r="B59" s="1064" t="s">
        <v>969</v>
      </c>
      <c r="C59" s="1065"/>
      <c r="D59" s="941">
        <v>1206</v>
      </c>
      <c r="E59" s="1066">
        <v>285</v>
      </c>
      <c r="F59" s="1067">
        <f>+E59*D59</f>
        <v>343710</v>
      </c>
      <c r="G59" s="1521">
        <f>+F59+6270-4560</f>
        <v>345420</v>
      </c>
    </row>
    <row r="60" spans="1:8" ht="30" customHeight="1" x14ac:dyDescent="0.3">
      <c r="A60" s="1074" t="s">
        <v>970</v>
      </c>
      <c r="B60" s="1932" t="s">
        <v>102</v>
      </c>
      <c r="C60" s="1933"/>
      <c r="D60" s="1075"/>
      <c r="E60" s="1075"/>
      <c r="F60" s="1076">
        <f>+F61</f>
        <v>53041184</v>
      </c>
      <c r="G60" s="1077">
        <f>+G61</f>
        <v>54522184</v>
      </c>
      <c r="H60" s="841">
        <f>+G71+G5</f>
        <v>688122198</v>
      </c>
    </row>
    <row r="61" spans="1:8" ht="15.75" x14ac:dyDescent="0.25">
      <c r="A61" s="1068" t="s">
        <v>1917</v>
      </c>
      <c r="B61" s="1069" t="s">
        <v>103</v>
      </c>
      <c r="C61" s="1070"/>
      <c r="D61" s="1071">
        <f>+F61/E61</f>
        <v>23968</v>
      </c>
      <c r="E61" s="1072">
        <v>2213</v>
      </c>
      <c r="F61" s="1073">
        <v>53041184</v>
      </c>
      <c r="G61" s="1522">
        <f>+F61+1481000</f>
        <v>54522184</v>
      </c>
    </row>
    <row r="62" spans="1:8" ht="21" x14ac:dyDescent="0.35">
      <c r="A62" s="1926" t="s">
        <v>104</v>
      </c>
      <c r="B62" s="1927"/>
      <c r="C62" s="1927"/>
      <c r="D62" s="1927"/>
      <c r="E62" s="1927"/>
      <c r="F62" s="1010">
        <f>+F5+F14+F39+F55+F60</f>
        <v>1800912942</v>
      </c>
      <c r="G62" s="944">
        <f>+G5+G14+G39+G55+G60</f>
        <v>1934698930</v>
      </c>
    </row>
    <row r="63" spans="1:8" ht="18.75" customHeight="1" x14ac:dyDescent="0.25">
      <c r="A63" s="1082"/>
      <c r="B63" s="1083"/>
      <c r="C63" s="1084"/>
      <c r="D63" s="1083"/>
      <c r="E63" s="1083"/>
      <c r="F63" s="878"/>
      <c r="G63" s="1523"/>
    </row>
    <row r="64" spans="1:8" ht="18.75" x14ac:dyDescent="0.25">
      <c r="A64" s="1934" t="s">
        <v>533</v>
      </c>
      <c r="B64" s="1935"/>
      <c r="C64" s="1935"/>
      <c r="D64" s="1935"/>
      <c r="E64" s="1935"/>
      <c r="F64" s="1011">
        <v>1258998974</v>
      </c>
      <c r="G64" s="936">
        <f>+F64</f>
        <v>1258998974</v>
      </c>
    </row>
    <row r="65" spans="1:8" ht="15.75" x14ac:dyDescent="0.25">
      <c r="A65" s="1085"/>
      <c r="B65" s="1086"/>
      <c r="C65" s="1087"/>
      <c r="D65" s="1086"/>
      <c r="E65" s="1086"/>
      <c r="F65" s="878"/>
      <c r="G65" s="1523"/>
      <c r="H65" s="841">
        <f>+G61+G72+G70</f>
        <v>71485538</v>
      </c>
    </row>
    <row r="66" spans="1:8" ht="18.75" x14ac:dyDescent="0.3">
      <c r="A66" s="1928" t="s">
        <v>1351</v>
      </c>
      <c r="B66" s="1929"/>
      <c r="C66" s="1929"/>
      <c r="D66" s="1929"/>
      <c r="E66" s="1929"/>
      <c r="F66" s="1012">
        <f>+F62-F64</f>
        <v>541913968</v>
      </c>
      <c r="G66" s="1013">
        <f>+G62-G64</f>
        <v>675699956</v>
      </c>
    </row>
    <row r="67" spans="1:8" ht="18.75" x14ac:dyDescent="0.3">
      <c r="A67" s="1004"/>
      <c r="B67" s="1005"/>
      <c r="C67" s="1005"/>
      <c r="D67" s="1006"/>
      <c r="E67" s="1006"/>
      <c r="F67" s="883"/>
      <c r="G67" s="1524"/>
      <c r="H67" s="836">
        <f>+G69+G50+G41</f>
        <v>360995348</v>
      </c>
    </row>
    <row r="68" spans="1:8" ht="18.75" customHeight="1" x14ac:dyDescent="0.2">
      <c r="A68" s="1936" t="s">
        <v>1463</v>
      </c>
      <c r="B68" s="1937"/>
      <c r="C68" s="1937"/>
      <c r="D68" s="1937"/>
      <c r="E68" s="1937"/>
      <c r="F68" s="1937"/>
      <c r="G68" s="1938"/>
    </row>
    <row r="69" spans="1:8" ht="18.75" customHeight="1" x14ac:dyDescent="0.2">
      <c r="A69" s="1109" t="s">
        <v>1718</v>
      </c>
      <c r="B69" s="83" t="s">
        <v>1719</v>
      </c>
      <c r="C69" s="1110"/>
      <c r="D69" s="1110"/>
      <c r="E69" s="1110"/>
      <c r="F69" s="1110"/>
      <c r="G69" s="1512">
        <f>2341175+2438905+2415415+2453191+2410752+2428666+2497867+2525837+2549064+2450535+2332695+2618056</f>
        <v>29462158</v>
      </c>
      <c r="H69" s="841">
        <f>+G39+G69</f>
        <v>360995348</v>
      </c>
    </row>
    <row r="70" spans="1:8" ht="18.75" customHeight="1" x14ac:dyDescent="0.2">
      <c r="A70" s="1109" t="s">
        <v>2818</v>
      </c>
      <c r="B70" s="83" t="s">
        <v>2819</v>
      </c>
      <c r="C70" s="1042"/>
      <c r="D70" s="1042"/>
      <c r="E70" s="1042"/>
      <c r="F70" s="1042"/>
      <c r="G70" s="1512">
        <v>399000</v>
      </c>
      <c r="H70" s="841"/>
    </row>
    <row r="71" spans="1:8" ht="15.75" x14ac:dyDescent="0.2">
      <c r="A71" s="939" t="s">
        <v>1465</v>
      </c>
      <c r="B71" s="149" t="s">
        <v>1466</v>
      </c>
      <c r="C71" s="161"/>
      <c r="D71" s="161"/>
      <c r="E71" s="161"/>
      <c r="F71" s="1111">
        <v>227118120</v>
      </c>
      <c r="G71" s="1512">
        <f>+F71</f>
        <v>227118120</v>
      </c>
    </row>
    <row r="72" spans="1:8" ht="16.5" customHeight="1" x14ac:dyDescent="0.2">
      <c r="A72" s="1109" t="s">
        <v>1467</v>
      </c>
      <c r="B72" s="83" t="s">
        <v>1468</v>
      </c>
      <c r="C72" s="161"/>
      <c r="D72" s="161"/>
      <c r="E72" s="161"/>
      <c r="F72" s="1111">
        <v>16564354</v>
      </c>
      <c r="G72" s="1512">
        <f>+F72</f>
        <v>16564354</v>
      </c>
    </row>
    <row r="73" spans="1:8" ht="31.5" customHeight="1" x14ac:dyDescent="0.2">
      <c r="A73" s="882" t="s">
        <v>3253</v>
      </c>
      <c r="B73" s="934" t="s">
        <v>3254</v>
      </c>
      <c r="C73" s="166"/>
      <c r="D73" s="166"/>
      <c r="E73" s="166"/>
      <c r="F73" s="1007"/>
      <c r="G73" s="1513">
        <v>162737290</v>
      </c>
    </row>
    <row r="74" spans="1:8" ht="21" x14ac:dyDescent="0.35">
      <c r="A74" s="1926" t="s">
        <v>1464</v>
      </c>
      <c r="B74" s="1927"/>
      <c r="C74" s="1927"/>
      <c r="D74" s="1927"/>
      <c r="E74" s="1927"/>
      <c r="F74" s="1008">
        <f>SUM(F71:F72)</f>
        <v>243682474</v>
      </c>
      <c r="G74" s="943">
        <f>SUM(G69:G73)</f>
        <v>436280922</v>
      </c>
    </row>
    <row r="75" spans="1:8" ht="21" x14ac:dyDescent="0.35">
      <c r="A75" s="1548"/>
      <c r="B75" s="1711"/>
      <c r="C75" s="1711"/>
      <c r="D75" s="1711"/>
      <c r="E75" s="1711"/>
      <c r="F75" s="1712"/>
      <c r="G75" s="1713"/>
    </row>
    <row r="76" spans="1:8" ht="60" x14ac:dyDescent="0.2">
      <c r="A76" s="1549" t="s">
        <v>2443</v>
      </c>
      <c r="B76" s="1550" t="s">
        <v>2</v>
      </c>
      <c r="C76" s="1044"/>
      <c r="D76" s="1550" t="s">
        <v>92</v>
      </c>
      <c r="E76" s="1550" t="s">
        <v>93</v>
      </c>
      <c r="F76" s="1550" t="s">
        <v>1716</v>
      </c>
      <c r="G76" s="1551" t="s">
        <v>1717</v>
      </c>
    </row>
    <row r="77" spans="1:8" ht="15.75" x14ac:dyDescent="0.25">
      <c r="A77" s="1556"/>
      <c r="B77" s="1557" t="s">
        <v>2444</v>
      </c>
      <c r="C77" s="1554"/>
      <c r="D77" s="1554"/>
      <c r="E77" s="1554"/>
      <c r="F77" s="1555"/>
      <c r="G77" s="1513">
        <v>7749312</v>
      </c>
    </row>
    <row r="78" spans="1:8" ht="21" x14ac:dyDescent="0.35">
      <c r="A78" s="1939" t="s">
        <v>119</v>
      </c>
      <c r="B78" s="1940"/>
      <c r="C78" s="1941"/>
      <c r="D78" s="1941"/>
      <c r="E78" s="1941"/>
      <c r="F78" s="1628"/>
      <c r="G78" s="943">
        <f>SUM(G77)</f>
        <v>7749312</v>
      </c>
    </row>
    <row r="79" spans="1:8" x14ac:dyDescent="0.2">
      <c r="A79" s="945"/>
      <c r="F79" s="1552"/>
      <c r="G79" s="1553"/>
    </row>
    <row r="80" spans="1:8" ht="21" customHeight="1" x14ac:dyDescent="0.35">
      <c r="A80" s="1924" t="s">
        <v>1469</v>
      </c>
      <c r="B80" s="1925"/>
      <c r="C80" s="1925"/>
      <c r="D80" s="1925"/>
      <c r="E80" s="1925"/>
      <c r="F80" s="1008">
        <f>+F74+F62</f>
        <v>2044595416</v>
      </c>
      <c r="G80" s="943">
        <f>+G74+G62+G78</f>
        <v>2378729164</v>
      </c>
    </row>
    <row r="82" spans="1:6" x14ac:dyDescent="0.2">
      <c r="A82" s="348" t="s">
        <v>1918</v>
      </c>
    </row>
    <row r="88" spans="1:6" x14ac:dyDescent="0.2">
      <c r="F88" s="836">
        <f>+F80-F64</f>
        <v>785596442</v>
      </c>
    </row>
  </sheetData>
  <mergeCells count="22">
    <mergeCell ref="A4:G4"/>
    <mergeCell ref="A1:G2"/>
    <mergeCell ref="B5:C5"/>
    <mergeCell ref="B14:C14"/>
    <mergeCell ref="B45:F45"/>
    <mergeCell ref="B21:F21"/>
    <mergeCell ref="B26:F26"/>
    <mergeCell ref="B31:F31"/>
    <mergeCell ref="B36:F36"/>
    <mergeCell ref="B43:F43"/>
    <mergeCell ref="B39:C39"/>
    <mergeCell ref="A80:E80"/>
    <mergeCell ref="A74:E74"/>
    <mergeCell ref="A66:E66"/>
    <mergeCell ref="B51:F51"/>
    <mergeCell ref="A62:E62"/>
    <mergeCell ref="B55:C55"/>
    <mergeCell ref="B60:C60"/>
    <mergeCell ref="A64:E64"/>
    <mergeCell ref="A68:G68"/>
    <mergeCell ref="A78:B78"/>
    <mergeCell ref="C78:E78"/>
  </mergeCells>
  <printOptions horizontalCentered="1" verticalCentered="1"/>
  <pageMargins left="0.31496062992125984" right="0.31496062992125984" top="0.35433070866141736" bottom="0.35433070866141736" header="0.31496062992125984" footer="0.31496062992125984"/>
  <pageSetup paperSize="9" scale="65" orientation="landscape" r:id="rId1"/>
  <headerFooter>
    <oddHeader>&amp;C2023. évi költségvetés&amp;R&amp;A</oddHeader>
    <oddFooter>&amp;C&amp;P/&amp;N</oddFooter>
  </headerFooter>
  <rowBreaks count="1" manualBreakCount="1">
    <brk id="38"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J34"/>
  <sheetViews>
    <sheetView view="pageBreakPreview" zoomScaleNormal="100" zoomScaleSheetLayoutView="100" workbookViewId="0">
      <selection activeCell="F14" sqref="F14"/>
    </sheetView>
  </sheetViews>
  <sheetFormatPr defaultRowHeight="15" x14ac:dyDescent="0.25"/>
  <cols>
    <col min="1" max="1" width="4.7109375" style="745" customWidth="1"/>
    <col min="2" max="2" width="5" style="745" customWidth="1"/>
    <col min="3" max="3" width="10.7109375" style="745" customWidth="1"/>
    <col min="4" max="4" width="36.28515625" style="745" customWidth="1"/>
    <col min="5" max="6" width="22.28515625" style="745" customWidth="1"/>
    <col min="7" max="8" width="24" style="745" customWidth="1"/>
    <col min="9" max="9" width="21.28515625" style="745" customWidth="1"/>
    <col min="10" max="10" width="20.85546875" style="745" customWidth="1"/>
    <col min="11" max="16384" width="9.140625" style="745"/>
  </cols>
  <sheetData>
    <row r="1" spans="1:10" ht="15.75" x14ac:dyDescent="0.25">
      <c r="A1" s="1910" t="s">
        <v>1332</v>
      </c>
      <c r="B1" s="1910"/>
      <c r="C1" s="1910"/>
      <c r="D1" s="1910"/>
      <c r="E1" s="1910"/>
      <c r="F1" s="1910"/>
      <c r="G1" s="1910"/>
      <c r="H1" s="1910"/>
      <c r="I1" s="1910"/>
      <c r="J1" s="1910"/>
    </row>
    <row r="2" spans="1:10" ht="16.5" customHeight="1" x14ac:dyDescent="0.25">
      <c r="A2" s="1949"/>
      <c r="B2" s="1949"/>
      <c r="C2" s="1949"/>
      <c r="D2" s="1949"/>
      <c r="E2" s="1949"/>
      <c r="F2" s="1949"/>
      <c r="G2" s="1949"/>
      <c r="H2" s="1949"/>
      <c r="I2" s="1949"/>
      <c r="J2" s="783"/>
    </row>
    <row r="3" spans="1:10" x14ac:dyDescent="0.25">
      <c r="A3" s="746"/>
      <c r="B3" s="746"/>
      <c r="C3" s="746"/>
      <c r="D3" s="746"/>
      <c r="E3" s="746"/>
      <c r="F3" s="746"/>
      <c r="G3" s="746"/>
      <c r="H3" s="746"/>
      <c r="J3" s="747" t="s">
        <v>431</v>
      </c>
    </row>
    <row r="4" spans="1:10" ht="24.75" customHeight="1" x14ac:dyDescent="0.25">
      <c r="A4" s="1789" t="s">
        <v>53</v>
      </c>
      <c r="B4" s="1789" t="s">
        <v>714</v>
      </c>
      <c r="C4" s="1791" t="s">
        <v>1</v>
      </c>
      <c r="D4" s="1912" t="s">
        <v>2</v>
      </c>
      <c r="E4" s="815" t="s">
        <v>273</v>
      </c>
      <c r="F4" s="959" t="s">
        <v>1561</v>
      </c>
      <c r="G4" s="815" t="s">
        <v>273</v>
      </c>
      <c r="H4" s="959" t="s">
        <v>1561</v>
      </c>
      <c r="I4" s="815" t="s">
        <v>273</v>
      </c>
      <c r="J4" s="959" t="s">
        <v>1561</v>
      </c>
    </row>
    <row r="5" spans="1:10" s="749" customFormat="1" ht="68.25" customHeight="1" x14ac:dyDescent="0.2">
      <c r="A5" s="1790"/>
      <c r="B5" s="1790"/>
      <c r="C5" s="1792"/>
      <c r="D5" s="1912"/>
      <c r="E5" s="748" t="s">
        <v>1379</v>
      </c>
      <c r="F5" s="748" t="s">
        <v>1379</v>
      </c>
      <c r="G5" s="748" t="s">
        <v>1380</v>
      </c>
      <c r="H5" s="748" t="s">
        <v>1380</v>
      </c>
      <c r="I5" s="1481" t="s">
        <v>119</v>
      </c>
      <c r="J5" s="1481" t="s">
        <v>119</v>
      </c>
    </row>
    <row r="6" spans="1:10" s="749" customFormat="1" ht="17.25" customHeight="1" x14ac:dyDescent="0.2">
      <c r="A6" s="1915" t="s">
        <v>55</v>
      </c>
      <c r="B6" s="1916"/>
      <c r="C6" s="1916"/>
      <c r="D6" s="1916"/>
      <c r="E6" s="784" t="s">
        <v>1381</v>
      </c>
      <c r="F6" s="784" t="s">
        <v>1381</v>
      </c>
      <c r="G6" s="784" t="s">
        <v>1382</v>
      </c>
      <c r="H6" s="784" t="s">
        <v>1382</v>
      </c>
      <c r="I6" s="817"/>
      <c r="J6" s="817"/>
    </row>
    <row r="7" spans="1:10" s="749" customFormat="1" ht="21.75" customHeight="1" x14ac:dyDescent="0.2">
      <c r="A7" s="1950" t="s">
        <v>1374</v>
      </c>
      <c r="B7" s="1951"/>
      <c r="C7" s="1951"/>
      <c r="D7" s="1951"/>
      <c r="E7" s="751">
        <f>+E8+E9+E10+E11</f>
        <v>0</v>
      </c>
      <c r="F7" s="751">
        <f>+F8+F9+F10+F11</f>
        <v>0</v>
      </c>
      <c r="G7" s="751">
        <f>+G8+G9+G10+G11</f>
        <v>0</v>
      </c>
      <c r="H7" s="801">
        <f>+H8+H9+H10+H11</f>
        <v>369680630</v>
      </c>
      <c r="I7" s="780">
        <f>+E7+G7</f>
        <v>0</v>
      </c>
      <c r="J7" s="780">
        <f>+F7+H7</f>
        <v>369680630</v>
      </c>
    </row>
    <row r="8" spans="1:10" ht="30" customHeight="1" x14ac:dyDescent="0.25">
      <c r="A8" s="752" t="s">
        <v>188</v>
      </c>
      <c r="B8" s="753">
        <v>152</v>
      </c>
      <c r="C8" s="754" t="s">
        <v>813</v>
      </c>
      <c r="D8" s="1404" t="s">
        <v>2215</v>
      </c>
      <c r="E8" s="786"/>
      <c r="F8" s="786"/>
      <c r="G8" s="786"/>
      <c r="H8" s="1113">
        <v>314960630</v>
      </c>
      <c r="I8" s="780">
        <f t="shared" ref="I8:I29" si="0">+E8+G8</f>
        <v>0</v>
      </c>
      <c r="J8" s="780">
        <f t="shared" ref="J8:J29" si="1">+F8+H8</f>
        <v>314960630</v>
      </c>
    </row>
    <row r="9" spans="1:10" ht="25.5" x14ac:dyDescent="0.25">
      <c r="A9" s="758" t="s">
        <v>189</v>
      </c>
      <c r="B9" s="1394" t="s">
        <v>830</v>
      </c>
      <c r="C9" s="768" t="s">
        <v>545</v>
      </c>
      <c r="D9" s="1598" t="s">
        <v>3394</v>
      </c>
      <c r="E9" s="787"/>
      <c r="F9" s="787"/>
      <c r="G9" s="787"/>
      <c r="H9" s="1597">
        <v>54720000</v>
      </c>
      <c r="I9" s="780">
        <f t="shared" si="0"/>
        <v>0</v>
      </c>
      <c r="J9" s="780">
        <f t="shared" si="1"/>
        <v>54720000</v>
      </c>
    </row>
    <row r="10" spans="1:10" x14ac:dyDescent="0.25">
      <c r="A10" s="771"/>
      <c r="B10" s="765"/>
      <c r="C10" s="772"/>
      <c r="D10" s="765"/>
      <c r="E10" s="765"/>
      <c r="F10" s="765"/>
      <c r="G10" s="765"/>
      <c r="H10" s="770"/>
      <c r="I10" s="780">
        <f t="shared" si="0"/>
        <v>0</v>
      </c>
      <c r="J10" s="780">
        <f t="shared" si="1"/>
        <v>0</v>
      </c>
    </row>
    <row r="11" spans="1:10" x14ac:dyDescent="0.25">
      <c r="A11" s="773"/>
      <c r="B11" s="775"/>
      <c r="C11" s="774"/>
      <c r="D11" s="775"/>
      <c r="E11" s="775"/>
      <c r="F11" s="775"/>
      <c r="G11" s="775"/>
      <c r="H11" s="997"/>
      <c r="I11" s="780">
        <f t="shared" si="0"/>
        <v>0</v>
      </c>
      <c r="J11" s="780">
        <f t="shared" si="1"/>
        <v>0</v>
      </c>
    </row>
    <row r="12" spans="1:10" s="749" customFormat="1" ht="23.25" customHeight="1" x14ac:dyDescent="0.2">
      <c r="A12" s="1950" t="s">
        <v>1377</v>
      </c>
      <c r="B12" s="1951"/>
      <c r="C12" s="1951"/>
      <c r="D12" s="1951"/>
      <c r="E12" s="763">
        <f>+E13+E17+E23</f>
        <v>0</v>
      </c>
      <c r="F12" s="763">
        <f>+F13+F17+F23</f>
        <v>0</v>
      </c>
      <c r="G12" s="763">
        <f>+G13+G17+G23</f>
        <v>0</v>
      </c>
      <c r="H12" s="1114">
        <f>+H13+H17+H23</f>
        <v>0</v>
      </c>
      <c r="I12" s="780">
        <f t="shared" si="0"/>
        <v>0</v>
      </c>
      <c r="J12" s="780">
        <f t="shared" si="1"/>
        <v>0</v>
      </c>
    </row>
    <row r="13" spans="1:10" s="749" customFormat="1" ht="17.25" customHeight="1" x14ac:dyDescent="0.2">
      <c r="A13" s="1952" t="s">
        <v>87</v>
      </c>
      <c r="B13" s="1953"/>
      <c r="C13" s="1953"/>
      <c r="D13" s="1953"/>
      <c r="E13" s="1629">
        <f>+E14+E15+E16</f>
        <v>0</v>
      </c>
      <c r="F13" s="1629"/>
      <c r="G13" s="1629">
        <f>+G14+G15+G16</f>
        <v>0</v>
      </c>
      <c r="H13" s="764"/>
      <c r="I13" s="780">
        <f t="shared" si="0"/>
        <v>0</v>
      </c>
      <c r="J13" s="780">
        <f t="shared" si="1"/>
        <v>0</v>
      </c>
    </row>
    <row r="14" spans="1:10" x14ac:dyDescent="0.25">
      <c r="A14" s="771"/>
      <c r="B14" s="765"/>
      <c r="C14" s="765"/>
      <c r="D14" s="765"/>
      <c r="E14" s="767"/>
      <c r="F14" s="767"/>
      <c r="G14" s="767"/>
      <c r="H14" s="996"/>
      <c r="I14" s="780">
        <f t="shared" si="0"/>
        <v>0</v>
      </c>
      <c r="J14" s="780">
        <f t="shared" si="1"/>
        <v>0</v>
      </c>
    </row>
    <row r="15" spans="1:10" x14ac:dyDescent="0.25">
      <c r="A15" s="771"/>
      <c r="B15" s="765"/>
      <c r="C15" s="765"/>
      <c r="D15" s="765"/>
      <c r="E15" s="765"/>
      <c r="F15" s="765"/>
      <c r="G15" s="765"/>
      <c r="H15" s="770"/>
      <c r="I15" s="780">
        <f t="shared" si="0"/>
        <v>0</v>
      </c>
      <c r="J15" s="780">
        <f t="shared" si="1"/>
        <v>0</v>
      </c>
    </row>
    <row r="16" spans="1:10" x14ac:dyDescent="0.25">
      <c r="A16" s="771"/>
      <c r="B16" s="765"/>
      <c r="C16" s="765"/>
      <c r="D16" s="765"/>
      <c r="E16" s="775"/>
      <c r="F16" s="775"/>
      <c r="G16" s="775"/>
      <c r="H16" s="997"/>
      <c r="I16" s="780">
        <f t="shared" si="0"/>
        <v>0</v>
      </c>
      <c r="J16" s="780">
        <f t="shared" si="1"/>
        <v>0</v>
      </c>
    </row>
    <row r="17" spans="1:10" s="749" customFormat="1" ht="17.25" customHeight="1" x14ac:dyDescent="0.2">
      <c r="A17" s="1952" t="s">
        <v>25</v>
      </c>
      <c r="B17" s="1953"/>
      <c r="C17" s="1953"/>
      <c r="D17" s="1953"/>
      <c r="E17" s="1629">
        <f>+E18+E19+E20+E21+E22</f>
        <v>0</v>
      </c>
      <c r="F17" s="1629">
        <f>+F18+F19+F20+F21+F22</f>
        <v>0</v>
      </c>
      <c r="G17" s="1629">
        <f>+G18+G19+G20+G21+G22</f>
        <v>0</v>
      </c>
      <c r="H17" s="1629">
        <f>+H18+H19+H20+H21+H22</f>
        <v>0</v>
      </c>
      <c r="I17" s="780">
        <f t="shared" si="0"/>
        <v>0</v>
      </c>
      <c r="J17" s="780">
        <f t="shared" si="1"/>
        <v>0</v>
      </c>
    </row>
    <row r="18" spans="1:10" x14ac:dyDescent="0.25">
      <c r="A18" s="752" t="s">
        <v>188</v>
      </c>
      <c r="B18" s="754"/>
      <c r="C18" s="754"/>
      <c r="D18" s="766"/>
      <c r="E18" s="767"/>
      <c r="F18" s="767"/>
      <c r="G18" s="767"/>
      <c r="H18" s="996"/>
      <c r="I18" s="780">
        <f t="shared" si="0"/>
        <v>0</v>
      </c>
      <c r="J18" s="780">
        <f t="shared" si="1"/>
        <v>0</v>
      </c>
    </row>
    <row r="19" spans="1:10" x14ac:dyDescent="0.25">
      <c r="A19" s="758" t="s">
        <v>189</v>
      </c>
      <c r="B19" s="768"/>
      <c r="C19" s="768"/>
      <c r="D19" s="769"/>
      <c r="E19" s="765"/>
      <c r="F19" s="765"/>
      <c r="G19" s="765"/>
      <c r="H19" s="770"/>
      <c r="I19" s="780">
        <f t="shared" si="0"/>
        <v>0</v>
      </c>
      <c r="J19" s="780">
        <f t="shared" si="1"/>
        <v>0</v>
      </c>
    </row>
    <row r="20" spans="1:10" x14ac:dyDescent="0.25">
      <c r="A20" s="771"/>
      <c r="B20" s="772"/>
      <c r="C20" s="772"/>
      <c r="D20" s="769"/>
      <c r="E20" s="765"/>
      <c r="F20" s="765"/>
      <c r="G20" s="765"/>
      <c r="H20" s="770"/>
      <c r="I20" s="780">
        <f t="shared" si="0"/>
        <v>0</v>
      </c>
      <c r="J20" s="780">
        <f t="shared" si="1"/>
        <v>0</v>
      </c>
    </row>
    <row r="21" spans="1:10" x14ac:dyDescent="0.25">
      <c r="A21" s="771"/>
      <c r="B21" s="772"/>
      <c r="C21" s="772"/>
      <c r="D21" s="765"/>
      <c r="E21" s="765"/>
      <c r="F21" s="765"/>
      <c r="G21" s="765"/>
      <c r="H21" s="770"/>
      <c r="I21" s="780">
        <f t="shared" si="0"/>
        <v>0</v>
      </c>
      <c r="J21" s="780">
        <f t="shared" si="1"/>
        <v>0</v>
      </c>
    </row>
    <row r="22" spans="1:10" x14ac:dyDescent="0.25">
      <c r="A22" s="773"/>
      <c r="B22" s="774"/>
      <c r="C22" s="774"/>
      <c r="D22" s="775"/>
      <c r="E22" s="775"/>
      <c r="F22" s="775"/>
      <c r="G22" s="775"/>
      <c r="H22" s="997"/>
      <c r="I22" s="780">
        <f t="shared" si="0"/>
        <v>0</v>
      </c>
      <c r="J22" s="780">
        <f t="shared" si="1"/>
        <v>0</v>
      </c>
    </row>
    <row r="23" spans="1:10" s="749" customFormat="1" ht="17.25" customHeight="1" x14ac:dyDescent="0.2">
      <c r="A23" s="1952"/>
      <c r="B23" s="1953"/>
      <c r="C23" s="1953"/>
      <c r="D23" s="1953"/>
      <c r="E23" s="1629"/>
      <c r="F23" s="1629"/>
      <c r="G23" s="776"/>
      <c r="H23" s="1112"/>
      <c r="I23" s="780">
        <f t="shared" si="0"/>
        <v>0</v>
      </c>
      <c r="J23" s="780">
        <f t="shared" si="1"/>
        <v>0</v>
      </c>
    </row>
    <row r="24" spans="1:10" x14ac:dyDescent="0.25">
      <c r="A24" s="778"/>
      <c r="B24" s="779"/>
      <c r="C24" s="779"/>
      <c r="D24" s="767"/>
      <c r="E24" s="767"/>
      <c r="F24" s="767"/>
      <c r="G24" s="767"/>
      <c r="H24" s="996"/>
      <c r="I24" s="780">
        <f t="shared" si="0"/>
        <v>0</v>
      </c>
      <c r="J24" s="780">
        <f t="shared" si="1"/>
        <v>0</v>
      </c>
    </row>
    <row r="25" spans="1:10" x14ac:dyDescent="0.25">
      <c r="A25" s="771"/>
      <c r="B25" s="772"/>
      <c r="C25" s="772"/>
      <c r="D25" s="765"/>
      <c r="E25" s="765"/>
      <c r="F25" s="765"/>
      <c r="G25" s="765"/>
      <c r="H25" s="770"/>
      <c r="I25" s="780">
        <f t="shared" si="0"/>
        <v>0</v>
      </c>
      <c r="J25" s="780">
        <f t="shared" si="1"/>
        <v>0</v>
      </c>
    </row>
    <row r="26" spans="1:10" x14ac:dyDescent="0.25">
      <c r="A26" s="771"/>
      <c r="B26" s="772"/>
      <c r="C26" s="772"/>
      <c r="D26" s="765"/>
      <c r="E26" s="765"/>
      <c r="F26" s="765"/>
      <c r="G26" s="765"/>
      <c r="H26" s="770"/>
      <c r="I26" s="780">
        <f t="shared" si="0"/>
        <v>0</v>
      </c>
      <c r="J26" s="780">
        <f t="shared" si="1"/>
        <v>0</v>
      </c>
    </row>
    <row r="27" spans="1:10" x14ac:dyDescent="0.25">
      <c r="A27" s="771"/>
      <c r="B27" s="765"/>
      <c r="C27" s="765"/>
      <c r="D27" s="765"/>
      <c r="E27" s="765"/>
      <c r="F27" s="765"/>
      <c r="G27" s="765"/>
      <c r="H27" s="770"/>
      <c r="I27" s="780">
        <f t="shared" si="0"/>
        <v>0</v>
      </c>
      <c r="J27" s="780">
        <f t="shared" si="1"/>
        <v>0</v>
      </c>
    </row>
    <row r="28" spans="1:10" x14ac:dyDescent="0.25">
      <c r="A28" s="773"/>
      <c r="B28" s="775"/>
      <c r="C28" s="775"/>
      <c r="D28" s="775"/>
      <c r="E28" s="775"/>
      <c r="F28" s="775"/>
      <c r="G28" s="775"/>
      <c r="H28" s="997"/>
      <c r="I28" s="780">
        <f t="shared" si="0"/>
        <v>0</v>
      </c>
      <c r="J28" s="780">
        <f t="shared" si="1"/>
        <v>0</v>
      </c>
    </row>
    <row r="29" spans="1:10" s="749" customFormat="1" ht="29.25" customHeight="1" x14ac:dyDescent="0.2">
      <c r="A29" s="1913" t="s">
        <v>29</v>
      </c>
      <c r="B29" s="1914"/>
      <c r="C29" s="1914"/>
      <c r="D29" s="1914"/>
      <c r="E29" s="780">
        <f>+E12+E7</f>
        <v>0</v>
      </c>
      <c r="F29" s="780">
        <f>+F12+F7</f>
        <v>0</v>
      </c>
      <c r="G29" s="780">
        <f>+G12+G7</f>
        <v>0</v>
      </c>
      <c r="H29" s="780">
        <f>+H12+H7</f>
        <v>369680630</v>
      </c>
      <c r="I29" s="780">
        <f t="shared" si="0"/>
        <v>0</v>
      </c>
      <c r="J29" s="780">
        <f t="shared" si="1"/>
        <v>369680630</v>
      </c>
    </row>
    <row r="30" spans="1:10" x14ac:dyDescent="0.25">
      <c r="A30" s="781"/>
      <c r="B30" s="781"/>
      <c r="C30" s="781"/>
      <c r="D30" s="781"/>
      <c r="E30" s="781"/>
      <c r="F30" s="781"/>
      <c r="G30" s="781"/>
      <c r="H30" s="781"/>
      <c r="I30" s="781"/>
    </row>
    <row r="31" spans="1:10" x14ac:dyDescent="0.25">
      <c r="A31" s="781"/>
      <c r="B31" s="781"/>
      <c r="C31" s="781"/>
      <c r="D31" s="781"/>
      <c r="E31" s="781"/>
      <c r="F31" s="781"/>
      <c r="G31" s="781"/>
      <c r="H31" s="781"/>
      <c r="I31" s="781"/>
    </row>
    <row r="32" spans="1:10" x14ac:dyDescent="0.25">
      <c r="A32" s="781"/>
      <c r="B32" s="781"/>
      <c r="C32" s="781"/>
      <c r="D32" s="781"/>
      <c r="E32" s="781"/>
      <c r="F32" s="781"/>
      <c r="G32" s="781"/>
      <c r="H32" s="781"/>
      <c r="I32" s="781"/>
    </row>
    <row r="33" spans="1:9" x14ac:dyDescent="0.25">
      <c r="A33" s="781"/>
      <c r="B33" s="781"/>
      <c r="C33" s="781"/>
      <c r="D33" s="781"/>
      <c r="E33" s="781"/>
      <c r="F33" s="781"/>
      <c r="G33" s="781"/>
      <c r="H33" s="781"/>
      <c r="I33" s="781"/>
    </row>
    <row r="34" spans="1:9" x14ac:dyDescent="0.25">
      <c r="A34" s="781"/>
      <c r="B34" s="781"/>
      <c r="C34" s="781"/>
      <c r="D34" s="781"/>
      <c r="E34" s="781"/>
      <c r="F34" s="781"/>
      <c r="G34" s="781"/>
      <c r="H34" s="781"/>
      <c r="I34" s="781"/>
    </row>
  </sheetData>
  <mergeCells count="13">
    <mergeCell ref="A1:J1"/>
    <mergeCell ref="A2:I2"/>
    <mergeCell ref="A29:D29"/>
    <mergeCell ref="A6:D6"/>
    <mergeCell ref="A7:D7"/>
    <mergeCell ref="A12:D12"/>
    <mergeCell ref="A13:D13"/>
    <mergeCell ref="A17:D17"/>
    <mergeCell ref="A23:D23"/>
    <mergeCell ref="A4:A5"/>
    <mergeCell ref="B4:B5"/>
    <mergeCell ref="C4:C5"/>
    <mergeCell ref="D4:D5"/>
  </mergeCells>
  <printOptions horizontalCentered="1" verticalCentered="1"/>
  <pageMargins left="0.23622047244094491" right="0.23622047244094491" top="0.74803149606299213" bottom="0.74803149606299213" header="0.31496062992125984" footer="0.31496062992125984"/>
  <pageSetup paperSize="9" scale="75" orientation="landscape" r:id="rId1"/>
  <headerFooter>
    <oddHeader>&amp;C2023. évi költségvetés&amp;R12.sz. Felh.célú tám.ÁHbelül</oddHeader>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Q27"/>
  <sheetViews>
    <sheetView view="pageBreakPreview" zoomScaleNormal="100" zoomScaleSheetLayoutView="100" workbookViewId="0">
      <selection activeCell="M22" sqref="M22"/>
    </sheetView>
  </sheetViews>
  <sheetFormatPr defaultRowHeight="15" x14ac:dyDescent="0.25"/>
  <cols>
    <col min="1" max="1" width="4.7109375" style="745" customWidth="1"/>
    <col min="2" max="2" width="5" style="745" customWidth="1"/>
    <col min="3" max="3" width="10.7109375" style="745" customWidth="1"/>
    <col min="4" max="4" width="36.28515625" style="745" customWidth="1"/>
    <col min="5" max="5" width="17.28515625" style="745" customWidth="1"/>
    <col min="6" max="6" width="17" style="745" customWidth="1"/>
    <col min="7" max="7" width="17.85546875" style="745" customWidth="1"/>
    <col min="8" max="8" width="17.140625" style="745" customWidth="1"/>
    <col min="9" max="9" width="17.7109375" style="745" customWidth="1"/>
    <col min="10" max="10" width="17.5703125" style="745" customWidth="1"/>
    <col min="11" max="11" width="16.140625" style="745" customWidth="1"/>
    <col min="12" max="12" width="15.140625" style="745" customWidth="1"/>
    <col min="13" max="13" width="16.85546875" style="745" customWidth="1"/>
    <col min="14" max="14" width="16.7109375" style="745" customWidth="1"/>
    <col min="15" max="16384" width="9.140625" style="745"/>
  </cols>
  <sheetData>
    <row r="1" spans="1:17" ht="15.75" x14ac:dyDescent="0.25">
      <c r="A1" s="1910" t="s">
        <v>1008</v>
      </c>
      <c r="B1" s="1910"/>
      <c r="C1" s="1910"/>
      <c r="D1" s="1910"/>
      <c r="E1" s="1910"/>
      <c r="F1" s="1910"/>
      <c r="G1" s="1910"/>
      <c r="H1" s="1910"/>
      <c r="I1" s="1910"/>
      <c r="J1" s="1910"/>
      <c r="K1" s="1910"/>
      <c r="L1" s="1910"/>
      <c r="M1" s="1910"/>
      <c r="N1" s="1910"/>
      <c r="O1" s="782"/>
      <c r="P1" s="782"/>
      <c r="Q1" s="782"/>
    </row>
    <row r="2" spans="1:17" ht="18.75" customHeight="1" x14ac:dyDescent="0.25">
      <c r="A2" s="1954"/>
      <c r="B2" s="1954"/>
      <c r="C2" s="1954"/>
      <c r="D2" s="1954"/>
      <c r="E2" s="1954"/>
      <c r="F2" s="1954"/>
      <c r="G2" s="1954"/>
      <c r="H2" s="1954"/>
      <c r="I2" s="1954"/>
      <c r="J2" s="1954"/>
      <c r="K2" s="1954"/>
      <c r="L2" s="1954"/>
      <c r="M2" s="1954"/>
      <c r="N2" s="788"/>
      <c r="O2" s="788"/>
      <c r="P2" s="788"/>
      <c r="Q2" s="788"/>
    </row>
    <row r="3" spans="1:17" x14ac:dyDescent="0.25">
      <c r="A3" s="746"/>
      <c r="B3" s="746"/>
      <c r="C3" s="746"/>
      <c r="D3" s="746"/>
      <c r="E3" s="746"/>
      <c r="F3" s="746"/>
      <c r="G3" s="746"/>
      <c r="H3" s="746"/>
      <c r="I3" s="746"/>
      <c r="J3" s="746"/>
      <c r="K3" s="746"/>
      <c r="L3" s="746"/>
      <c r="N3" s="747" t="s">
        <v>431</v>
      </c>
    </row>
    <row r="4" spans="1:17" ht="27.75" customHeight="1" x14ac:dyDescent="0.25">
      <c r="A4" s="1789" t="s">
        <v>53</v>
      </c>
      <c r="B4" s="1789" t="s">
        <v>714</v>
      </c>
      <c r="C4" s="1791" t="s">
        <v>1</v>
      </c>
      <c r="D4" s="1912" t="s">
        <v>2</v>
      </c>
      <c r="E4" s="815" t="s">
        <v>273</v>
      </c>
      <c r="F4" s="959" t="s">
        <v>1561</v>
      </c>
      <c r="G4" s="815" t="s">
        <v>273</v>
      </c>
      <c r="H4" s="959" t="s">
        <v>1561</v>
      </c>
      <c r="I4" s="815" t="s">
        <v>273</v>
      </c>
      <c r="J4" s="959" t="s">
        <v>1561</v>
      </c>
      <c r="K4" s="815" t="s">
        <v>273</v>
      </c>
      <c r="L4" s="959" t="s">
        <v>1561</v>
      </c>
      <c r="M4" s="815" t="s">
        <v>273</v>
      </c>
      <c r="N4" s="959" t="s">
        <v>1561</v>
      </c>
    </row>
    <row r="5" spans="1:17" s="749" customFormat="1" ht="68.25" customHeight="1" x14ac:dyDescent="0.2">
      <c r="A5" s="1790"/>
      <c r="B5" s="1790"/>
      <c r="C5" s="1792"/>
      <c r="D5" s="1912"/>
      <c r="E5" s="748" t="s">
        <v>1383</v>
      </c>
      <c r="F5" s="748" t="s">
        <v>1383</v>
      </c>
      <c r="G5" s="748" t="s">
        <v>1358</v>
      </c>
      <c r="H5" s="748" t="s">
        <v>1358</v>
      </c>
      <c r="I5" s="748" t="s">
        <v>704</v>
      </c>
      <c r="J5" s="748" t="s">
        <v>704</v>
      </c>
      <c r="K5" s="748" t="s">
        <v>1384</v>
      </c>
      <c r="L5" s="748" t="s">
        <v>1384</v>
      </c>
      <c r="M5" s="1481" t="s">
        <v>119</v>
      </c>
      <c r="N5" s="1481" t="s">
        <v>119</v>
      </c>
    </row>
    <row r="6" spans="1:17" s="749" customFormat="1" ht="17.25" customHeight="1" x14ac:dyDescent="0.2">
      <c r="A6" s="1915" t="s">
        <v>55</v>
      </c>
      <c r="B6" s="1916"/>
      <c r="C6" s="1916"/>
      <c r="D6" s="1916"/>
      <c r="E6" s="750" t="s">
        <v>1385</v>
      </c>
      <c r="F6" s="750" t="s">
        <v>1385</v>
      </c>
      <c r="G6" s="750" t="s">
        <v>1386</v>
      </c>
      <c r="H6" s="750" t="s">
        <v>1386</v>
      </c>
      <c r="I6" s="750" t="s">
        <v>1387</v>
      </c>
      <c r="J6" s="750" t="s">
        <v>1387</v>
      </c>
      <c r="K6" s="1001" t="s">
        <v>1388</v>
      </c>
      <c r="L6" s="803" t="s">
        <v>1388</v>
      </c>
      <c r="M6" s="816"/>
      <c r="N6" s="816"/>
    </row>
    <row r="7" spans="1:17" s="749" customFormat="1" ht="21" customHeight="1" x14ac:dyDescent="0.2">
      <c r="A7" s="1950" t="s">
        <v>1374</v>
      </c>
      <c r="B7" s="1951"/>
      <c r="C7" s="1951"/>
      <c r="D7" s="1951"/>
      <c r="E7" s="751">
        <f>+E8+E9+E10+E11+E12+E13+E14+E15</f>
        <v>1113230602</v>
      </c>
      <c r="F7" s="751">
        <f>+F8+F9+F10+F11+F12+F13+F14+F15</f>
        <v>1308391946</v>
      </c>
      <c r="G7" s="751">
        <f>+G8+G9+G10+G11+G12+G13+G14+G15</f>
        <v>162400</v>
      </c>
      <c r="H7" s="751">
        <f t="shared" ref="H7:K7" si="0">+H8+H9+H10+H11+H12+H13+H14+H15</f>
        <v>461921</v>
      </c>
      <c r="I7" s="751">
        <f>+I8+I9+I10+I11+I12+I13+I14+I15</f>
        <v>3673960667</v>
      </c>
      <c r="J7" s="751">
        <f>+J8+J9+J10+J11+J12+J13+J14+J15</f>
        <v>5351173953</v>
      </c>
      <c r="K7" s="751">
        <f t="shared" si="0"/>
        <v>8144087</v>
      </c>
      <c r="L7" s="801">
        <f>+L8+L9+L10+L11+L12+L13+L14+L15</f>
        <v>32981375</v>
      </c>
      <c r="M7" s="780">
        <f>+E7+G7+I7+K7</f>
        <v>4795497756</v>
      </c>
      <c r="N7" s="780">
        <f>+F7+H7+J7+L7</f>
        <v>6693009195</v>
      </c>
    </row>
    <row r="8" spans="1:17" ht="21.75" customHeight="1" x14ac:dyDescent="0.25">
      <c r="A8" s="752" t="s">
        <v>188</v>
      </c>
      <c r="B8" s="753">
        <v>500</v>
      </c>
      <c r="C8" s="754" t="s">
        <v>1399</v>
      </c>
      <c r="D8" s="789" t="s">
        <v>701</v>
      </c>
      <c r="E8" s="790">
        <v>790000000</v>
      </c>
      <c r="F8" s="790">
        <f>+E8+16658117+123744240+6000000+10000000+12734388</f>
        <v>959136745</v>
      </c>
      <c r="G8" s="756"/>
      <c r="H8" s="756"/>
      <c r="I8" s="756"/>
      <c r="J8" s="756"/>
      <c r="K8" s="756"/>
      <c r="L8" s="757"/>
      <c r="M8" s="780">
        <f t="shared" ref="M8:M22" si="1">+E8+G8+I8+K8</f>
        <v>790000000</v>
      </c>
      <c r="N8" s="780">
        <f t="shared" ref="N8:N20" si="2">+F8+H8+J8+L8</f>
        <v>959136745</v>
      </c>
    </row>
    <row r="9" spans="1:17" ht="21" customHeight="1" x14ac:dyDescent="0.25">
      <c r="A9" s="758" t="s">
        <v>189</v>
      </c>
      <c r="B9" s="759" t="s">
        <v>1389</v>
      </c>
      <c r="C9" s="759" t="s">
        <v>1399</v>
      </c>
      <c r="D9" s="760" t="s">
        <v>702</v>
      </c>
      <c r="E9" s="791">
        <v>230000000</v>
      </c>
      <c r="F9" s="791">
        <f>+E9+5592543+1116092+6000000+10000000+7970567</f>
        <v>260679202</v>
      </c>
      <c r="G9" s="761"/>
      <c r="H9" s="761"/>
      <c r="I9" s="761"/>
      <c r="J9" s="761"/>
      <c r="K9" s="761"/>
      <c r="L9" s="762"/>
      <c r="M9" s="780">
        <f t="shared" si="1"/>
        <v>230000000</v>
      </c>
      <c r="N9" s="780">
        <f t="shared" si="2"/>
        <v>260679202</v>
      </c>
    </row>
    <row r="10" spans="1:17" ht="21.75" customHeight="1" x14ac:dyDescent="0.25">
      <c r="A10" s="758" t="s">
        <v>190</v>
      </c>
      <c r="B10" s="759" t="s">
        <v>1389</v>
      </c>
      <c r="C10" s="759" t="s">
        <v>1399</v>
      </c>
      <c r="D10" s="760" t="s">
        <v>1357</v>
      </c>
      <c r="E10" s="791">
        <v>70000000</v>
      </c>
      <c r="F10" s="791">
        <f>+E10+979942+10722377+3000000+3873680</f>
        <v>88575999</v>
      </c>
      <c r="G10" s="761"/>
      <c r="H10" s="761"/>
      <c r="I10" s="761"/>
      <c r="J10" s="761"/>
      <c r="K10" s="761"/>
      <c r="L10" s="762"/>
      <c r="M10" s="780">
        <f t="shared" si="1"/>
        <v>70000000</v>
      </c>
      <c r="N10" s="780">
        <f t="shared" si="2"/>
        <v>88575999</v>
      </c>
    </row>
    <row r="11" spans="1:17" ht="20.25" customHeight="1" x14ac:dyDescent="0.25">
      <c r="A11" s="758" t="s">
        <v>191</v>
      </c>
      <c r="B11" s="759" t="s">
        <v>1389</v>
      </c>
      <c r="C11" s="759" t="s">
        <v>1399</v>
      </c>
      <c r="D11" s="760" t="s">
        <v>1358</v>
      </c>
      <c r="E11" s="791"/>
      <c r="F11" s="791"/>
      <c r="G11" s="791">
        <v>160000</v>
      </c>
      <c r="H11" s="791">
        <f>+G11+2400+299521</f>
        <v>461921</v>
      </c>
      <c r="I11" s="761"/>
      <c r="J11" s="761"/>
      <c r="K11" s="761"/>
      <c r="L11" s="762"/>
      <c r="M11" s="780">
        <f t="shared" si="1"/>
        <v>160000</v>
      </c>
      <c r="N11" s="780">
        <f t="shared" si="2"/>
        <v>461921</v>
      </c>
    </row>
    <row r="12" spans="1:17" ht="17.25" customHeight="1" x14ac:dyDescent="0.25">
      <c r="A12" s="758" t="s">
        <v>192</v>
      </c>
      <c r="B12" s="759" t="s">
        <v>1389</v>
      </c>
      <c r="C12" s="759" t="s">
        <v>1399</v>
      </c>
      <c r="D12" s="760" t="s">
        <v>704</v>
      </c>
      <c r="E12" s="791"/>
      <c r="F12" s="791"/>
      <c r="G12" s="761"/>
      <c r="H12" s="761"/>
      <c r="I12" s="791">
        <v>3650000000</v>
      </c>
      <c r="J12" s="791">
        <f>+I12+23960667+1409809603+120000000+100000000+47403683</f>
        <v>5351173953</v>
      </c>
      <c r="K12" s="761"/>
      <c r="L12" s="904"/>
      <c r="M12" s="780">
        <f t="shared" si="1"/>
        <v>3650000000</v>
      </c>
      <c r="N12" s="780">
        <f t="shared" si="2"/>
        <v>5351173953</v>
      </c>
    </row>
    <row r="13" spans="1:17" ht="21" customHeight="1" x14ac:dyDescent="0.25">
      <c r="A13" s="758" t="s">
        <v>193</v>
      </c>
      <c r="B13" s="759" t="s">
        <v>1389</v>
      </c>
      <c r="C13" s="759" t="s">
        <v>1399</v>
      </c>
      <c r="D13" s="760" t="s">
        <v>1359</v>
      </c>
      <c r="E13" s="761"/>
      <c r="F13" s="761"/>
      <c r="G13" s="761"/>
      <c r="H13" s="761"/>
      <c r="I13" s="761"/>
      <c r="J13" s="761"/>
      <c r="K13" s="761"/>
      <c r="L13" s="904">
        <f>240256+6387167+1516664+1083679+19867664+5154263+6000000-7329220</f>
        <v>32920473</v>
      </c>
      <c r="M13" s="780">
        <f>+E13+G13+I13+K13</f>
        <v>0</v>
      </c>
      <c r="N13" s="780">
        <f>+F13+H13+J13+L13</f>
        <v>32920473</v>
      </c>
    </row>
    <row r="14" spans="1:17" ht="19.5" customHeight="1" x14ac:dyDescent="0.25">
      <c r="A14" s="758" t="s">
        <v>194</v>
      </c>
      <c r="B14" s="759" t="s">
        <v>1390</v>
      </c>
      <c r="C14" s="759" t="s">
        <v>131</v>
      </c>
      <c r="D14" s="760" t="s">
        <v>1360</v>
      </c>
      <c r="E14" s="903">
        <v>23230602</v>
      </c>
      <c r="F14" s="903">
        <f>+E14-23230602</f>
        <v>0</v>
      </c>
      <c r="G14" s="903">
        <v>2400</v>
      </c>
      <c r="H14" s="903">
        <f>+G14-2400</f>
        <v>0</v>
      </c>
      <c r="I14" s="903">
        <v>23960667</v>
      </c>
      <c r="J14" s="903">
        <f>+I14-23960667</f>
        <v>0</v>
      </c>
      <c r="K14" s="903">
        <v>8144087</v>
      </c>
      <c r="L14" s="904">
        <f>+K14-8144087</f>
        <v>0</v>
      </c>
      <c r="M14" s="780">
        <f>+E14+G14+I14+K14</f>
        <v>55337756</v>
      </c>
      <c r="N14" s="780">
        <f t="shared" si="2"/>
        <v>0</v>
      </c>
    </row>
    <row r="15" spans="1:17" ht="18.75" customHeight="1" x14ac:dyDescent="0.25">
      <c r="A15" s="792" t="s">
        <v>195</v>
      </c>
      <c r="B15" s="759" t="s">
        <v>154</v>
      </c>
      <c r="C15" s="759" t="s">
        <v>74</v>
      </c>
      <c r="D15" s="793" t="s">
        <v>2448</v>
      </c>
      <c r="E15" s="794"/>
      <c r="F15" s="794"/>
      <c r="G15" s="794"/>
      <c r="H15" s="794"/>
      <c r="I15" s="794"/>
      <c r="J15" s="794"/>
      <c r="K15" s="794"/>
      <c r="L15" s="903">
        <v>60902</v>
      </c>
      <c r="M15" s="780">
        <f>+E15+G15+I15+K15</f>
        <v>0</v>
      </c>
      <c r="N15" s="780">
        <f>+F15+H15+J15+L15</f>
        <v>60902</v>
      </c>
    </row>
    <row r="16" spans="1:17" ht="20.25" customHeight="1" x14ac:dyDescent="0.25">
      <c r="A16" s="1950" t="s">
        <v>1377</v>
      </c>
      <c r="B16" s="1951"/>
      <c r="C16" s="1951"/>
      <c r="D16" s="1951"/>
      <c r="E16" s="820">
        <f>+E17</f>
        <v>0</v>
      </c>
      <c r="F16" s="820">
        <f t="shared" ref="F16:K16" si="3">+F17</f>
        <v>0</v>
      </c>
      <c r="G16" s="820">
        <f t="shared" si="3"/>
        <v>0</v>
      </c>
      <c r="H16" s="820">
        <f t="shared" si="3"/>
        <v>0</v>
      </c>
      <c r="I16" s="820">
        <f t="shared" si="3"/>
        <v>0</v>
      </c>
      <c r="J16" s="820">
        <f t="shared" si="3"/>
        <v>0</v>
      </c>
      <c r="K16" s="820">
        <f t="shared" si="3"/>
        <v>4130000</v>
      </c>
      <c r="L16" s="820">
        <f>+L17</f>
        <v>7244037</v>
      </c>
      <c r="M16" s="780">
        <f t="shared" si="1"/>
        <v>4130000</v>
      </c>
      <c r="N16" s="780">
        <f t="shared" si="2"/>
        <v>7244037</v>
      </c>
    </row>
    <row r="17" spans="1:14" s="749" customFormat="1" ht="18.75" customHeight="1" x14ac:dyDescent="0.2">
      <c r="A17" s="1921" t="s">
        <v>2224</v>
      </c>
      <c r="B17" s="1922"/>
      <c r="C17" s="1922"/>
      <c r="D17" s="1922"/>
      <c r="E17" s="821">
        <f>+E18+E19+E20</f>
        <v>0</v>
      </c>
      <c r="F17" s="821">
        <f t="shared" ref="F17:K17" si="4">+F18+F19+F20</f>
        <v>0</v>
      </c>
      <c r="G17" s="821">
        <f t="shared" si="4"/>
        <v>0</v>
      </c>
      <c r="H17" s="821">
        <f t="shared" si="4"/>
        <v>0</v>
      </c>
      <c r="I17" s="821">
        <f t="shared" si="4"/>
        <v>0</v>
      </c>
      <c r="J17" s="821">
        <f t="shared" si="4"/>
        <v>0</v>
      </c>
      <c r="K17" s="821">
        <f t="shared" si="4"/>
        <v>4130000</v>
      </c>
      <c r="L17" s="821">
        <f>+L18+L19+L20+L21</f>
        <v>7244037</v>
      </c>
      <c r="M17" s="780">
        <f t="shared" si="1"/>
        <v>4130000</v>
      </c>
      <c r="N17" s="780">
        <f t="shared" si="2"/>
        <v>7244037</v>
      </c>
    </row>
    <row r="18" spans="1:14" ht="18.75" customHeight="1" x14ac:dyDescent="0.25">
      <c r="A18" s="752" t="s">
        <v>188</v>
      </c>
      <c r="B18" s="819" t="s">
        <v>151</v>
      </c>
      <c r="C18" s="759" t="s">
        <v>508</v>
      </c>
      <c r="D18" s="789" t="s">
        <v>1361</v>
      </c>
      <c r="E18" s="767"/>
      <c r="F18" s="767"/>
      <c r="G18" s="767"/>
      <c r="H18" s="767"/>
      <c r="I18" s="767"/>
      <c r="J18" s="767"/>
      <c r="K18" s="790">
        <v>4000000</v>
      </c>
      <c r="L18" s="1115">
        <f>+K18+2000000-290000</f>
        <v>5710000</v>
      </c>
      <c r="M18" s="780">
        <f t="shared" si="1"/>
        <v>4000000</v>
      </c>
      <c r="N18" s="780">
        <f t="shared" si="2"/>
        <v>5710000</v>
      </c>
    </row>
    <row r="19" spans="1:14" ht="29.25" customHeight="1" x14ac:dyDescent="0.25">
      <c r="A19" s="758" t="s">
        <v>189</v>
      </c>
      <c r="B19" s="819" t="s">
        <v>91</v>
      </c>
      <c r="C19" s="759" t="s">
        <v>74</v>
      </c>
      <c r="D19" s="760" t="s">
        <v>2541</v>
      </c>
      <c r="E19" s="765"/>
      <c r="F19" s="765"/>
      <c r="G19" s="765"/>
      <c r="H19" s="765"/>
      <c r="I19" s="765"/>
      <c r="J19" s="765"/>
      <c r="K19" s="791">
        <v>30000</v>
      </c>
      <c r="L19" s="1116">
        <f>+K19+903037+120000</f>
        <v>1053037</v>
      </c>
      <c r="M19" s="780">
        <f t="shared" si="1"/>
        <v>30000</v>
      </c>
      <c r="N19" s="780">
        <f t="shared" si="2"/>
        <v>1053037</v>
      </c>
    </row>
    <row r="20" spans="1:14" ht="21" customHeight="1" x14ac:dyDescent="0.25">
      <c r="A20" s="758" t="s">
        <v>190</v>
      </c>
      <c r="B20" s="1559" t="s">
        <v>2540</v>
      </c>
      <c r="C20" s="759" t="s">
        <v>161</v>
      </c>
      <c r="D20" s="760" t="s">
        <v>1391</v>
      </c>
      <c r="E20" s="765"/>
      <c r="F20" s="765"/>
      <c r="G20" s="765"/>
      <c r="H20" s="765"/>
      <c r="I20" s="765"/>
      <c r="J20" s="765"/>
      <c r="K20" s="791">
        <v>100000</v>
      </c>
      <c r="L20" s="1116">
        <f>+K20-100000</f>
        <v>0</v>
      </c>
      <c r="M20" s="780">
        <f t="shared" si="1"/>
        <v>100000</v>
      </c>
      <c r="N20" s="780">
        <f t="shared" si="2"/>
        <v>0</v>
      </c>
    </row>
    <row r="21" spans="1:14" ht="21" customHeight="1" x14ac:dyDescent="0.25">
      <c r="A21" s="792" t="s">
        <v>191</v>
      </c>
      <c r="B21" s="1593" t="s">
        <v>134</v>
      </c>
      <c r="C21" s="880" t="s">
        <v>626</v>
      </c>
      <c r="D21" s="793" t="s">
        <v>3125</v>
      </c>
      <c r="E21" s="775"/>
      <c r="F21" s="775"/>
      <c r="G21" s="775"/>
      <c r="H21" s="775"/>
      <c r="I21" s="775"/>
      <c r="J21" s="775"/>
      <c r="K21" s="1117"/>
      <c r="L21" s="1118">
        <f>800000-319000</f>
        <v>481000</v>
      </c>
      <c r="M21" s="780">
        <f t="shared" ref="M21" si="5">+E21+G21+I21+K21</f>
        <v>0</v>
      </c>
      <c r="N21" s="780">
        <f t="shared" ref="N21" si="6">+F21+H21+J21+L21</f>
        <v>481000</v>
      </c>
    </row>
    <row r="22" spans="1:14" s="749" customFormat="1" ht="27.75" customHeight="1" x14ac:dyDescent="0.2">
      <c r="A22" s="1913" t="s">
        <v>29</v>
      </c>
      <c r="B22" s="1914"/>
      <c r="C22" s="1914"/>
      <c r="D22" s="1914"/>
      <c r="E22" s="780">
        <f>+E16+E7</f>
        <v>1113230602</v>
      </c>
      <c r="F22" s="780">
        <f t="shared" ref="F22:K22" si="7">+F16+F7</f>
        <v>1308391946</v>
      </c>
      <c r="G22" s="780">
        <f t="shared" si="7"/>
        <v>162400</v>
      </c>
      <c r="H22" s="780">
        <f t="shared" si="7"/>
        <v>461921</v>
      </c>
      <c r="I22" s="780">
        <f t="shared" si="7"/>
        <v>3673960667</v>
      </c>
      <c r="J22" s="780">
        <f t="shared" si="7"/>
        <v>5351173953</v>
      </c>
      <c r="K22" s="780">
        <f t="shared" si="7"/>
        <v>12274087</v>
      </c>
      <c r="L22" s="780">
        <f>+L16+L7</f>
        <v>40225412</v>
      </c>
      <c r="M22" s="780">
        <f t="shared" si="1"/>
        <v>4799627756</v>
      </c>
      <c r="N22" s="780">
        <f>+F22+H22+J22+L22</f>
        <v>6700253232</v>
      </c>
    </row>
    <row r="23" spans="1:14" x14ac:dyDescent="0.25">
      <c r="A23" s="781"/>
      <c r="B23" s="781"/>
      <c r="C23" s="781"/>
      <c r="D23" s="781"/>
      <c r="E23" s="781"/>
      <c r="F23" s="781"/>
      <c r="G23" s="781"/>
      <c r="H23" s="781"/>
      <c r="I23" s="781"/>
      <c r="J23" s="781"/>
      <c r="K23" s="781"/>
      <c r="L23" s="781"/>
      <c r="M23" s="781"/>
    </row>
    <row r="24" spans="1:14" x14ac:dyDescent="0.25">
      <c r="A24" s="781"/>
      <c r="B24" s="781"/>
      <c r="C24" s="781"/>
      <c r="D24" s="781"/>
      <c r="E24" s="781"/>
      <c r="F24" s="781"/>
      <c r="G24" s="781"/>
      <c r="H24" s="781"/>
      <c r="I24" s="781"/>
      <c r="J24" s="781"/>
      <c r="K24" s="781"/>
      <c r="L24" s="781"/>
      <c r="M24" s="781"/>
    </row>
    <row r="25" spans="1:14" x14ac:dyDescent="0.25">
      <c r="A25" s="781"/>
      <c r="B25" s="781"/>
      <c r="C25" s="781"/>
      <c r="D25" s="781"/>
      <c r="E25" s="781"/>
      <c r="F25" s="781"/>
      <c r="G25" s="781"/>
      <c r="H25" s="781"/>
      <c r="I25" s="781"/>
      <c r="J25" s="781"/>
      <c r="K25" s="781"/>
      <c r="L25" s="781"/>
      <c r="M25" s="781"/>
    </row>
    <row r="26" spans="1:14" x14ac:dyDescent="0.25">
      <c r="A26" s="781"/>
      <c r="B26" s="781"/>
      <c r="C26" s="781"/>
      <c r="D26" s="781"/>
      <c r="E26" s="781"/>
      <c r="F26" s="781"/>
      <c r="G26" s="781"/>
      <c r="H26" s="781"/>
      <c r="I26" s="781"/>
      <c r="J26" s="781"/>
      <c r="K26" s="781"/>
      <c r="L26" s="781"/>
      <c r="M26" s="781"/>
    </row>
    <row r="27" spans="1:14" x14ac:dyDescent="0.25">
      <c r="A27" s="781"/>
      <c r="B27" s="781"/>
      <c r="C27" s="781"/>
      <c r="D27" s="781"/>
      <c r="E27" s="781"/>
      <c r="F27" s="781"/>
      <c r="G27" s="781"/>
      <c r="H27" s="781"/>
      <c r="I27" s="781"/>
      <c r="J27" s="781"/>
      <c r="K27" s="781"/>
      <c r="L27" s="781"/>
      <c r="M27" s="781"/>
    </row>
  </sheetData>
  <mergeCells count="11">
    <mergeCell ref="A1:N1"/>
    <mergeCell ref="A17:D17"/>
    <mergeCell ref="A22:D22"/>
    <mergeCell ref="A2:M2"/>
    <mergeCell ref="A6:D6"/>
    <mergeCell ref="A7:D7"/>
    <mergeCell ref="A16:D16"/>
    <mergeCell ref="A4:A5"/>
    <mergeCell ref="B4:B5"/>
    <mergeCell ref="C4:C5"/>
    <mergeCell ref="D4:D5"/>
  </mergeCells>
  <printOptions horizontalCentered="1" verticalCentered="1"/>
  <pageMargins left="0.59055118110236227" right="0.43307086614173229" top="0.74803149606299213" bottom="0.74803149606299213" header="0.31496062992125984" footer="0.31496062992125984"/>
  <pageSetup paperSize="9" scale="60" orientation="landscape" r:id="rId1"/>
  <headerFooter>
    <oddHeader>&amp;C2023. évi költségvetés&amp;R13.sz. Közhatalmi bevételek</oddHeader>
    <oddFooter>&amp;C&amp;P/&amp;N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K24"/>
  <sheetViews>
    <sheetView view="pageBreakPreview" topLeftCell="A4" zoomScaleNormal="100" zoomScaleSheetLayoutView="100" workbookViewId="0">
      <selection activeCell="I19" sqref="I19"/>
    </sheetView>
  </sheetViews>
  <sheetFormatPr defaultRowHeight="15" x14ac:dyDescent="0.25"/>
  <cols>
    <col min="1" max="1" width="4.7109375" style="745" customWidth="1"/>
    <col min="2" max="2" width="5" style="745" customWidth="1"/>
    <col min="3" max="3" width="10.7109375" style="745" customWidth="1"/>
    <col min="4" max="4" width="36.28515625" style="745" customWidth="1"/>
    <col min="5" max="6" width="20.5703125" style="745" customWidth="1"/>
    <col min="7" max="8" width="21.28515625" style="745" customWidth="1"/>
    <col min="9" max="9" width="18" style="745" customWidth="1"/>
    <col min="10" max="10" width="17.5703125" style="745" customWidth="1"/>
    <col min="11" max="16384" width="9.140625" style="745"/>
  </cols>
  <sheetData>
    <row r="1" spans="1:11" ht="15.75" x14ac:dyDescent="0.25">
      <c r="A1" s="1910" t="s">
        <v>1333</v>
      </c>
      <c r="B1" s="1910"/>
      <c r="C1" s="1910"/>
      <c r="D1" s="1910"/>
      <c r="E1" s="1910"/>
      <c r="F1" s="1910"/>
      <c r="G1" s="1910"/>
      <c r="H1" s="1910"/>
      <c r="I1" s="1910"/>
      <c r="J1" s="1910"/>
      <c r="K1" s="798"/>
    </row>
    <row r="2" spans="1:11" ht="18" customHeight="1" x14ac:dyDescent="0.25">
      <c r="A2" s="1954"/>
      <c r="B2" s="1954"/>
      <c r="C2" s="1954"/>
      <c r="D2" s="1954"/>
      <c r="E2" s="1954"/>
      <c r="F2" s="1954"/>
      <c r="G2" s="1954"/>
      <c r="H2" s="1954"/>
      <c r="I2" s="1954"/>
      <c r="J2" s="788"/>
      <c r="K2" s="788"/>
    </row>
    <row r="3" spans="1:11" x14ac:dyDescent="0.25">
      <c r="A3" s="746"/>
      <c r="B3" s="746"/>
      <c r="C3" s="746"/>
      <c r="D3" s="746"/>
      <c r="E3" s="746"/>
      <c r="F3" s="746"/>
      <c r="G3" s="746"/>
      <c r="H3" s="746"/>
      <c r="J3" s="747" t="s">
        <v>431</v>
      </c>
    </row>
    <row r="4" spans="1:11" ht="24.75" customHeight="1" x14ac:dyDescent="0.25">
      <c r="A4" s="1789" t="s">
        <v>53</v>
      </c>
      <c r="B4" s="1789" t="s">
        <v>714</v>
      </c>
      <c r="C4" s="1791" t="s">
        <v>1</v>
      </c>
      <c r="D4" s="1912" t="s">
        <v>2</v>
      </c>
      <c r="E4" s="815" t="s">
        <v>273</v>
      </c>
      <c r="F4" s="959" t="s">
        <v>1561</v>
      </c>
      <c r="G4" s="815" t="s">
        <v>273</v>
      </c>
      <c r="H4" s="959" t="s">
        <v>1561</v>
      </c>
      <c r="I4" s="815" t="s">
        <v>273</v>
      </c>
      <c r="J4" s="959" t="s">
        <v>1561</v>
      </c>
    </row>
    <row r="5" spans="1:11" s="749" customFormat="1" ht="68.25" customHeight="1" x14ac:dyDescent="0.2">
      <c r="A5" s="1790"/>
      <c r="B5" s="1790"/>
      <c r="C5" s="1792"/>
      <c r="D5" s="1912"/>
      <c r="E5" s="748" t="s">
        <v>1392</v>
      </c>
      <c r="F5" s="748" t="s">
        <v>1392</v>
      </c>
      <c r="G5" s="748" t="s">
        <v>1393</v>
      </c>
      <c r="H5" s="748" t="s">
        <v>1393</v>
      </c>
      <c r="I5" s="1481" t="s">
        <v>119</v>
      </c>
      <c r="J5" s="1481" t="s">
        <v>119</v>
      </c>
    </row>
    <row r="6" spans="1:11" s="749" customFormat="1" ht="17.25" customHeight="1" x14ac:dyDescent="0.2">
      <c r="A6" s="1915" t="s">
        <v>55</v>
      </c>
      <c r="B6" s="1916"/>
      <c r="C6" s="1916"/>
      <c r="D6" s="1916"/>
      <c r="E6" s="750" t="s">
        <v>1394</v>
      </c>
      <c r="F6" s="750" t="s">
        <v>1394</v>
      </c>
      <c r="G6" s="750" t="s">
        <v>1395</v>
      </c>
      <c r="H6" s="800" t="s">
        <v>1395</v>
      </c>
      <c r="I6" s="818"/>
      <c r="J6" s="818"/>
    </row>
    <row r="7" spans="1:11" s="749" customFormat="1" ht="21" customHeight="1" x14ac:dyDescent="0.2">
      <c r="A7" s="1950" t="s">
        <v>1374</v>
      </c>
      <c r="B7" s="1951"/>
      <c r="C7" s="1951"/>
      <c r="D7" s="1951"/>
      <c r="E7" s="751">
        <f>SUM(E8:E13)</f>
        <v>51854877</v>
      </c>
      <c r="F7" s="751">
        <f>SUM(F8:F13)</f>
        <v>1730596</v>
      </c>
      <c r="G7" s="751">
        <f>SUM(G8:G13)</f>
        <v>0</v>
      </c>
      <c r="H7" s="801">
        <f>SUM(H8:H13)</f>
        <v>120000</v>
      </c>
      <c r="I7" s="780">
        <f>+E7+G7</f>
        <v>51854877</v>
      </c>
      <c r="J7" s="780">
        <f>+F7+H7</f>
        <v>1850596</v>
      </c>
    </row>
    <row r="8" spans="1:11" ht="27" customHeight="1" x14ac:dyDescent="0.25">
      <c r="A8" s="752" t="s">
        <v>188</v>
      </c>
      <c r="B8" s="754" t="s">
        <v>68</v>
      </c>
      <c r="C8" s="754" t="s">
        <v>620</v>
      </c>
      <c r="D8" s="1119" t="s">
        <v>1454</v>
      </c>
      <c r="E8" s="786">
        <v>522522</v>
      </c>
      <c r="F8" s="786">
        <f>+E8-522522</f>
        <v>0</v>
      </c>
      <c r="G8" s="1120"/>
      <c r="H8" s="1121"/>
      <c r="I8" s="780">
        <f>+E8+G8</f>
        <v>522522</v>
      </c>
      <c r="J8" s="780">
        <f t="shared" ref="J8:J18" si="0">+F8+H8</f>
        <v>0</v>
      </c>
    </row>
    <row r="9" spans="1:11" ht="25.5" x14ac:dyDescent="0.25">
      <c r="A9" s="758" t="s">
        <v>189</v>
      </c>
      <c r="B9" s="759" t="s">
        <v>68</v>
      </c>
      <c r="C9" s="759" t="s">
        <v>620</v>
      </c>
      <c r="D9" s="853" t="s">
        <v>2354</v>
      </c>
      <c r="E9" s="860">
        <v>50074200</v>
      </c>
      <c r="F9" s="860">
        <f>+E9-50074200</f>
        <v>0</v>
      </c>
      <c r="G9" s="799"/>
      <c r="H9" s="802"/>
      <c r="I9" s="780">
        <f>+E9+G9</f>
        <v>50074200</v>
      </c>
      <c r="J9" s="780">
        <f t="shared" si="0"/>
        <v>0</v>
      </c>
    </row>
    <row r="10" spans="1:11" ht="27" customHeight="1" x14ac:dyDescent="0.25">
      <c r="A10" s="758" t="s">
        <v>190</v>
      </c>
      <c r="B10" s="759" t="s">
        <v>68</v>
      </c>
      <c r="C10" s="759" t="s">
        <v>620</v>
      </c>
      <c r="D10" s="928" t="s">
        <v>2002</v>
      </c>
      <c r="E10" s="860">
        <v>34470</v>
      </c>
      <c r="F10" s="860">
        <f>+E10</f>
        <v>34470</v>
      </c>
      <c r="G10" s="799"/>
      <c r="H10" s="802"/>
      <c r="I10" s="780">
        <f t="shared" ref="I10:I18" si="1">+E10+G10</f>
        <v>34470</v>
      </c>
      <c r="J10" s="780">
        <f>+F10+H10</f>
        <v>34470</v>
      </c>
    </row>
    <row r="11" spans="1:11" ht="28.5" customHeight="1" x14ac:dyDescent="0.25">
      <c r="A11" s="758" t="s">
        <v>191</v>
      </c>
      <c r="B11" s="759" t="s">
        <v>68</v>
      </c>
      <c r="C11" s="759" t="s">
        <v>620</v>
      </c>
      <c r="D11" s="928" t="s">
        <v>2003</v>
      </c>
      <c r="E11" s="860">
        <v>1223685</v>
      </c>
      <c r="F11" s="860">
        <f>+E11</f>
        <v>1223685</v>
      </c>
      <c r="G11" s="799"/>
      <c r="H11" s="802"/>
      <c r="I11" s="780">
        <f>+E11+G11</f>
        <v>1223685</v>
      </c>
      <c r="J11" s="780">
        <f>+F11+H11</f>
        <v>1223685</v>
      </c>
    </row>
    <row r="12" spans="1:11" ht="23.25" customHeight="1" x14ac:dyDescent="0.25">
      <c r="A12" s="758" t="s">
        <v>192</v>
      </c>
      <c r="B12" s="759" t="s">
        <v>68</v>
      </c>
      <c r="C12" s="759" t="s">
        <v>620</v>
      </c>
      <c r="D12" s="760" t="s">
        <v>2139</v>
      </c>
      <c r="E12" s="860"/>
      <c r="F12" s="860"/>
      <c r="G12" s="799"/>
      <c r="H12" s="1395">
        <f>100000+20000</f>
        <v>120000</v>
      </c>
      <c r="I12" s="780">
        <f t="shared" si="1"/>
        <v>0</v>
      </c>
      <c r="J12" s="780">
        <f>+F12+H12</f>
        <v>120000</v>
      </c>
    </row>
    <row r="13" spans="1:11" ht="25.5" customHeight="1" x14ac:dyDescent="0.25">
      <c r="A13" s="758" t="s">
        <v>193</v>
      </c>
      <c r="B13" s="759" t="s">
        <v>68</v>
      </c>
      <c r="C13" s="759" t="s">
        <v>620</v>
      </c>
      <c r="D13" s="760" t="s">
        <v>2326</v>
      </c>
      <c r="E13" s="860"/>
      <c r="F13" s="860">
        <f>600000-127559</f>
        <v>472441</v>
      </c>
      <c r="G13" s="799"/>
      <c r="H13" s="802"/>
      <c r="I13" s="780">
        <f t="shared" si="1"/>
        <v>0</v>
      </c>
      <c r="J13" s="780">
        <f>+F13+H13</f>
        <v>472441</v>
      </c>
    </row>
    <row r="14" spans="1:11" ht="21.75" customHeight="1" x14ac:dyDescent="0.25">
      <c r="A14" s="1955" t="s">
        <v>1377</v>
      </c>
      <c r="B14" s="1956"/>
      <c r="C14" s="1956"/>
      <c r="D14" s="1956"/>
      <c r="E14" s="785">
        <f>+E15</f>
        <v>0</v>
      </c>
      <c r="F14" s="785">
        <f>+F15</f>
        <v>0</v>
      </c>
      <c r="G14" s="785">
        <f>+G15</f>
        <v>0</v>
      </c>
      <c r="H14" s="804">
        <f>+H15</f>
        <v>10000</v>
      </c>
      <c r="I14" s="780">
        <f t="shared" si="1"/>
        <v>0</v>
      </c>
      <c r="J14" s="780">
        <f>+F14+H14</f>
        <v>10000</v>
      </c>
    </row>
    <row r="15" spans="1:11" s="749" customFormat="1" ht="17.25" customHeight="1" x14ac:dyDescent="0.2">
      <c r="A15" s="1921" t="s">
        <v>87</v>
      </c>
      <c r="B15" s="1922"/>
      <c r="C15" s="1922"/>
      <c r="D15" s="1922"/>
      <c r="E15" s="785">
        <f>+E16+E17+E18</f>
        <v>0</v>
      </c>
      <c r="F15" s="785">
        <f t="shared" ref="F15:G15" si="2">+F16+F17+F18</f>
        <v>0</v>
      </c>
      <c r="G15" s="785">
        <f t="shared" si="2"/>
        <v>0</v>
      </c>
      <c r="H15" s="785">
        <f>+H16+H17+H18</f>
        <v>10000</v>
      </c>
      <c r="I15" s="780">
        <f t="shared" si="1"/>
        <v>0</v>
      </c>
      <c r="J15" s="780">
        <f t="shared" si="0"/>
        <v>10000</v>
      </c>
    </row>
    <row r="16" spans="1:11" ht="18.75" customHeight="1" x14ac:dyDescent="0.25">
      <c r="A16" s="752" t="s">
        <v>188</v>
      </c>
      <c r="B16" s="759" t="s">
        <v>91</v>
      </c>
      <c r="C16" s="759" t="s">
        <v>74</v>
      </c>
      <c r="D16" s="789" t="s">
        <v>1946</v>
      </c>
      <c r="E16" s="767"/>
      <c r="F16" s="767"/>
      <c r="G16" s="767"/>
      <c r="H16" s="860">
        <v>10000</v>
      </c>
      <c r="I16" s="780">
        <f t="shared" si="1"/>
        <v>0</v>
      </c>
      <c r="J16" s="780">
        <f t="shared" si="0"/>
        <v>10000</v>
      </c>
    </row>
    <row r="17" spans="1:10" x14ac:dyDescent="0.25">
      <c r="A17" s="758"/>
      <c r="B17" s="795"/>
      <c r="C17" s="765"/>
      <c r="D17" s="796"/>
      <c r="E17" s="765"/>
      <c r="F17" s="765"/>
      <c r="G17" s="765"/>
      <c r="H17" s="770"/>
      <c r="I17" s="780">
        <f t="shared" si="1"/>
        <v>0</v>
      </c>
      <c r="J17" s="780">
        <f t="shared" si="0"/>
        <v>0</v>
      </c>
    </row>
    <row r="18" spans="1:10" x14ac:dyDescent="0.25">
      <c r="A18" s="792"/>
      <c r="B18" s="1122"/>
      <c r="C18" s="775"/>
      <c r="D18" s="797"/>
      <c r="E18" s="775"/>
      <c r="F18" s="775"/>
      <c r="G18" s="775"/>
      <c r="H18" s="997"/>
      <c r="I18" s="780">
        <f t="shared" si="1"/>
        <v>0</v>
      </c>
      <c r="J18" s="780">
        <f t="shared" si="0"/>
        <v>0</v>
      </c>
    </row>
    <row r="19" spans="1:10" s="749" customFormat="1" ht="28.5" customHeight="1" x14ac:dyDescent="0.2">
      <c r="A19" s="1913" t="s">
        <v>29</v>
      </c>
      <c r="B19" s="1914"/>
      <c r="C19" s="1914"/>
      <c r="D19" s="1914"/>
      <c r="E19" s="780">
        <f>+E14+E7</f>
        <v>51854877</v>
      </c>
      <c r="F19" s="780">
        <f>+F14+F7</f>
        <v>1730596</v>
      </c>
      <c r="G19" s="780">
        <f>+G14+G7</f>
        <v>0</v>
      </c>
      <c r="H19" s="780">
        <f>+H14+H7</f>
        <v>130000</v>
      </c>
      <c r="I19" s="780">
        <f>+E19+G19</f>
        <v>51854877</v>
      </c>
      <c r="J19" s="780">
        <f>+F19+H19</f>
        <v>1860596</v>
      </c>
    </row>
    <row r="20" spans="1:10" x14ac:dyDescent="0.25">
      <c r="A20" s="781"/>
      <c r="B20" s="781"/>
      <c r="C20" s="781"/>
      <c r="D20" s="781"/>
      <c r="E20" s="781"/>
      <c r="F20" s="781"/>
      <c r="G20" s="781"/>
      <c r="H20" s="781"/>
      <c r="I20" s="781"/>
    </row>
    <row r="21" spans="1:10" x14ac:dyDescent="0.25">
      <c r="A21" s="781"/>
      <c r="B21" s="781"/>
      <c r="C21" s="781"/>
      <c r="D21" s="781"/>
      <c r="E21" s="781"/>
      <c r="F21" s="781"/>
      <c r="G21" s="781"/>
      <c r="H21" s="781"/>
      <c r="I21" s="781"/>
    </row>
    <row r="22" spans="1:10" x14ac:dyDescent="0.25">
      <c r="A22" s="781"/>
      <c r="B22" s="781"/>
      <c r="C22" s="781"/>
      <c r="D22" s="781"/>
      <c r="E22" s="781"/>
      <c r="F22" s="781"/>
      <c r="G22" s="781"/>
      <c r="H22" s="781"/>
      <c r="I22" s="781"/>
    </row>
    <row r="23" spans="1:10" x14ac:dyDescent="0.25">
      <c r="A23" s="781"/>
      <c r="B23" s="781"/>
      <c r="C23" s="781"/>
      <c r="D23" s="781"/>
      <c r="E23" s="781"/>
      <c r="F23" s="781"/>
      <c r="G23" s="781"/>
      <c r="H23" s="781"/>
      <c r="I23" s="781"/>
    </row>
    <row r="24" spans="1:10" x14ac:dyDescent="0.25">
      <c r="A24" s="781"/>
      <c r="B24" s="781"/>
      <c r="C24" s="781"/>
      <c r="D24" s="781"/>
      <c r="E24" s="781"/>
      <c r="F24" s="781"/>
      <c r="G24" s="781"/>
      <c r="H24" s="781"/>
      <c r="I24" s="781"/>
    </row>
  </sheetData>
  <mergeCells count="11">
    <mergeCell ref="A1:J1"/>
    <mergeCell ref="A15:D15"/>
    <mergeCell ref="A19:D19"/>
    <mergeCell ref="A2:I2"/>
    <mergeCell ref="A6:D6"/>
    <mergeCell ref="A7:D7"/>
    <mergeCell ref="A14:D14"/>
    <mergeCell ref="A4:A5"/>
    <mergeCell ref="B4:B5"/>
    <mergeCell ref="C4:C5"/>
    <mergeCell ref="D4:D5"/>
  </mergeCells>
  <printOptions horizontalCentered="1" verticalCentered="1"/>
  <pageMargins left="0.31496062992125984" right="0.31496062992125984" top="0.74803149606299213" bottom="0.74803149606299213" header="0.31496062992125984" footer="0.31496062992125984"/>
  <pageSetup paperSize="9" scale="78" orientation="landscape" r:id="rId1"/>
  <headerFooter>
    <oddHeader>&amp;C2023. évi költségvetés&amp;R14.sz. Felhalm. bevételek</oddHeader>
    <oddFooter>&amp;C&amp;P/&amp;N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H51"/>
  <sheetViews>
    <sheetView view="pageBreakPreview" zoomScale="76" zoomScaleNormal="76" zoomScaleSheetLayoutView="76" workbookViewId="0">
      <pane xSplit="2" ySplit="3" topLeftCell="C4" activePane="bottomRight" state="frozen"/>
      <selection pane="topRight" activeCell="C1" sqref="C1"/>
      <selection pane="bottomLeft" activeCell="A4" sqref="A4"/>
      <selection pane="bottomRight" activeCell="C6" sqref="C6"/>
    </sheetView>
  </sheetViews>
  <sheetFormatPr defaultRowHeight="12.75" x14ac:dyDescent="0.2"/>
  <cols>
    <col min="1" max="1" width="39.28515625" customWidth="1"/>
    <col min="3" max="4" width="16" customWidth="1"/>
    <col min="5" max="5" width="16" style="668" customWidth="1"/>
    <col min="6" max="6" width="15.5703125" customWidth="1"/>
    <col min="7" max="7" width="22.140625" bestFit="1" customWidth="1"/>
    <col min="8" max="8" width="17.85546875" customWidth="1"/>
  </cols>
  <sheetData>
    <row r="1" spans="1:8" ht="42.75" customHeight="1" x14ac:dyDescent="0.2">
      <c r="A1" s="1957" t="s">
        <v>497</v>
      </c>
      <c r="B1" s="1957"/>
      <c r="C1" s="1957"/>
      <c r="D1" s="1957"/>
      <c r="E1" s="1957"/>
      <c r="F1" s="1957"/>
      <c r="G1" s="1957"/>
      <c r="H1" s="1957"/>
    </row>
    <row r="2" spans="1:8" s="137" customFormat="1" ht="109.5" customHeight="1" x14ac:dyDescent="0.25">
      <c r="A2" s="135" t="s">
        <v>436</v>
      </c>
      <c r="B2" s="378" t="s">
        <v>714</v>
      </c>
      <c r="C2" s="136" t="s">
        <v>492</v>
      </c>
      <c r="D2" s="136" t="s">
        <v>2931</v>
      </c>
      <c r="E2" s="136" t="s">
        <v>1352</v>
      </c>
      <c r="F2" s="136" t="s">
        <v>493</v>
      </c>
      <c r="G2" s="136" t="s">
        <v>494</v>
      </c>
      <c r="H2" s="136" t="s">
        <v>495</v>
      </c>
    </row>
    <row r="3" spans="1:8" s="138" customFormat="1" ht="31.5" customHeight="1" x14ac:dyDescent="0.25">
      <c r="A3" s="185" t="s">
        <v>438</v>
      </c>
      <c r="B3" s="186"/>
      <c r="C3" s="187">
        <f t="shared" ref="C3:G3" si="0">SUM(C4:C13)</f>
        <v>25</v>
      </c>
      <c r="D3" s="187">
        <f>SUM(D4:D13)</f>
        <v>24</v>
      </c>
      <c r="E3" s="187">
        <f t="shared" si="0"/>
        <v>6</v>
      </c>
      <c r="F3" s="187">
        <f t="shared" si="0"/>
        <v>23.9</v>
      </c>
      <c r="G3" s="187">
        <f t="shared" si="0"/>
        <v>20</v>
      </c>
      <c r="H3" s="187">
        <f>SUM(H4:H11)</f>
        <v>19</v>
      </c>
    </row>
    <row r="4" spans="1:8" s="137" customFormat="1" ht="25.5" customHeight="1" x14ac:dyDescent="0.25">
      <c r="A4" s="188" t="s">
        <v>439</v>
      </c>
      <c r="B4" s="184" t="s">
        <v>440</v>
      </c>
      <c r="C4" s="189">
        <v>1</v>
      </c>
      <c r="D4" s="189">
        <f t="shared" ref="D4:D13" si="1">+C4</f>
        <v>1</v>
      </c>
      <c r="E4" s="189">
        <v>0</v>
      </c>
      <c r="F4" s="189">
        <v>1</v>
      </c>
      <c r="G4" s="189">
        <v>1</v>
      </c>
      <c r="H4" s="189">
        <v>1</v>
      </c>
    </row>
    <row r="5" spans="1:8" s="137" customFormat="1" ht="25.5" customHeight="1" x14ac:dyDescent="0.25">
      <c r="A5" s="188" t="s">
        <v>537</v>
      </c>
      <c r="B5" s="190" t="s">
        <v>538</v>
      </c>
      <c r="C5" s="189">
        <v>2</v>
      </c>
      <c r="D5" s="189">
        <f t="shared" si="1"/>
        <v>2</v>
      </c>
      <c r="E5" s="189">
        <v>1</v>
      </c>
      <c r="F5" s="189">
        <v>2</v>
      </c>
      <c r="G5" s="189">
        <v>1</v>
      </c>
      <c r="H5" s="189">
        <v>1</v>
      </c>
    </row>
    <row r="6" spans="1:8" s="137" customFormat="1" ht="25.5" customHeight="1" x14ac:dyDescent="0.25">
      <c r="A6" s="188" t="s">
        <v>441</v>
      </c>
      <c r="B6" s="184" t="s">
        <v>442</v>
      </c>
      <c r="C6" s="189">
        <v>2</v>
      </c>
      <c r="D6" s="189">
        <f t="shared" si="1"/>
        <v>2</v>
      </c>
      <c r="E6" s="189">
        <v>1</v>
      </c>
      <c r="F6" s="189">
        <v>1.1499999999999999</v>
      </c>
      <c r="G6" s="189">
        <v>2</v>
      </c>
      <c r="H6" s="189">
        <v>1</v>
      </c>
    </row>
    <row r="7" spans="1:8" s="137" customFormat="1" ht="25.5" customHeight="1" x14ac:dyDescent="0.25">
      <c r="A7" s="188" t="s">
        <v>443</v>
      </c>
      <c r="B7" s="184" t="s">
        <v>444</v>
      </c>
      <c r="C7" s="189">
        <v>2</v>
      </c>
      <c r="D7" s="189">
        <f t="shared" si="1"/>
        <v>2</v>
      </c>
      <c r="E7" s="189">
        <v>1</v>
      </c>
      <c r="F7" s="189">
        <v>2</v>
      </c>
      <c r="G7" s="189">
        <v>1</v>
      </c>
      <c r="H7" s="189">
        <v>1</v>
      </c>
    </row>
    <row r="8" spans="1:8" s="137" customFormat="1" ht="30.75" customHeight="1" x14ac:dyDescent="0.25">
      <c r="A8" s="188" t="s">
        <v>445</v>
      </c>
      <c r="B8" s="184" t="s">
        <v>136</v>
      </c>
      <c r="C8" s="189">
        <v>3</v>
      </c>
      <c r="D8" s="189">
        <f t="shared" si="1"/>
        <v>3</v>
      </c>
      <c r="E8" s="189">
        <v>1</v>
      </c>
      <c r="F8" s="189">
        <v>2.75</v>
      </c>
      <c r="G8" s="189">
        <v>2.6</v>
      </c>
      <c r="H8" s="189">
        <v>2</v>
      </c>
    </row>
    <row r="9" spans="1:8" s="137" customFormat="1" ht="25.5" customHeight="1" x14ac:dyDescent="0.25">
      <c r="A9" s="188" t="s">
        <v>446</v>
      </c>
      <c r="B9" s="184" t="s">
        <v>447</v>
      </c>
      <c r="C9" s="189">
        <v>2</v>
      </c>
      <c r="D9" s="189">
        <f t="shared" si="1"/>
        <v>2</v>
      </c>
      <c r="E9" s="189">
        <v>1</v>
      </c>
      <c r="F9" s="189">
        <v>2</v>
      </c>
      <c r="G9" s="189">
        <v>0.6</v>
      </c>
      <c r="H9" s="189">
        <v>1</v>
      </c>
    </row>
    <row r="10" spans="1:8" s="137" customFormat="1" ht="25.5" customHeight="1" x14ac:dyDescent="0.25">
      <c r="A10" s="188" t="s">
        <v>448</v>
      </c>
      <c r="B10" s="184" t="s">
        <v>449</v>
      </c>
      <c r="C10" s="189">
        <v>5</v>
      </c>
      <c r="D10" s="189">
        <f t="shared" si="1"/>
        <v>5</v>
      </c>
      <c r="E10" s="189">
        <v>0</v>
      </c>
      <c r="F10" s="189">
        <v>5</v>
      </c>
      <c r="G10" s="189">
        <v>4</v>
      </c>
      <c r="H10" s="189">
        <v>5</v>
      </c>
    </row>
    <row r="11" spans="1:8" s="137" customFormat="1" ht="25.5" customHeight="1" x14ac:dyDescent="0.25">
      <c r="A11" s="188" t="s">
        <v>611</v>
      </c>
      <c r="B11" s="190" t="s">
        <v>526</v>
      </c>
      <c r="C11" s="189">
        <v>7</v>
      </c>
      <c r="D11" s="189">
        <f t="shared" si="1"/>
        <v>7</v>
      </c>
      <c r="E11" s="189">
        <v>0</v>
      </c>
      <c r="F11" s="189">
        <v>7</v>
      </c>
      <c r="G11" s="189">
        <v>6.8</v>
      </c>
      <c r="H11" s="189">
        <v>7</v>
      </c>
    </row>
    <row r="12" spans="1:8" s="137" customFormat="1" ht="25.5" customHeight="1" x14ac:dyDescent="0.25">
      <c r="A12" s="188" t="s">
        <v>1259</v>
      </c>
      <c r="B12" s="190" t="s">
        <v>1260</v>
      </c>
      <c r="C12" s="189">
        <v>1</v>
      </c>
      <c r="D12" s="189">
        <f>+C12-1</f>
        <v>0</v>
      </c>
      <c r="E12" s="189">
        <v>1</v>
      </c>
      <c r="F12" s="189">
        <v>1</v>
      </c>
      <c r="G12" s="189">
        <v>1</v>
      </c>
      <c r="H12" s="189">
        <v>0</v>
      </c>
    </row>
    <row r="13" spans="1:8" s="137" customFormat="1" ht="25.5" customHeight="1" x14ac:dyDescent="0.25">
      <c r="A13" s="188" t="s">
        <v>1261</v>
      </c>
      <c r="B13" s="190" t="s">
        <v>637</v>
      </c>
      <c r="C13" s="189">
        <v>0</v>
      </c>
      <c r="D13" s="189">
        <f t="shared" si="1"/>
        <v>0</v>
      </c>
      <c r="E13" s="189">
        <v>0</v>
      </c>
      <c r="F13" s="189">
        <v>0</v>
      </c>
      <c r="G13" s="189">
        <v>0</v>
      </c>
      <c r="H13" s="189">
        <v>0</v>
      </c>
    </row>
    <row r="14" spans="1:8" s="138" customFormat="1" ht="29.25" customHeight="1" x14ac:dyDescent="0.25">
      <c r="A14" s="185" t="s">
        <v>87</v>
      </c>
      <c r="B14" s="186"/>
      <c r="C14" s="187">
        <f t="shared" ref="C14:H14" si="2">SUM(C15:C18)</f>
        <v>71</v>
      </c>
      <c r="D14" s="187">
        <f t="shared" si="2"/>
        <v>71</v>
      </c>
      <c r="E14" s="187">
        <f t="shared" si="2"/>
        <v>7</v>
      </c>
      <c r="F14" s="187">
        <f t="shared" si="2"/>
        <v>71</v>
      </c>
      <c r="G14" s="187">
        <f t="shared" si="2"/>
        <v>61.999999999999993</v>
      </c>
      <c r="H14" s="187">
        <f t="shared" si="2"/>
        <v>64</v>
      </c>
    </row>
    <row r="15" spans="1:8" s="137" customFormat="1" ht="25.5" customHeight="1" x14ac:dyDescent="0.25">
      <c r="A15" s="188" t="s">
        <v>450</v>
      </c>
      <c r="B15" s="184" t="s">
        <v>91</v>
      </c>
      <c r="C15" s="189">
        <v>49</v>
      </c>
      <c r="D15" s="189">
        <f>+C15</f>
        <v>49</v>
      </c>
      <c r="E15" s="189">
        <v>5</v>
      </c>
      <c r="F15" s="189">
        <v>47</v>
      </c>
      <c r="G15" s="189">
        <v>42.8</v>
      </c>
      <c r="H15" s="189">
        <v>44</v>
      </c>
    </row>
    <row r="16" spans="1:8" s="137" customFormat="1" ht="25.5" customHeight="1" x14ac:dyDescent="0.25">
      <c r="A16" s="188" t="s">
        <v>451</v>
      </c>
      <c r="B16" s="184" t="s">
        <v>132</v>
      </c>
      <c r="C16" s="189">
        <v>7</v>
      </c>
      <c r="D16" s="189">
        <f>+C16</f>
        <v>7</v>
      </c>
      <c r="E16" s="189">
        <v>0</v>
      </c>
      <c r="F16" s="189">
        <v>8</v>
      </c>
      <c r="G16" s="189">
        <v>6.8</v>
      </c>
      <c r="H16" s="189">
        <v>7</v>
      </c>
    </row>
    <row r="17" spans="1:8" s="137" customFormat="1" ht="25.5" customHeight="1" x14ac:dyDescent="0.25">
      <c r="A17" s="188" t="s">
        <v>452</v>
      </c>
      <c r="B17" s="184" t="s">
        <v>151</v>
      </c>
      <c r="C17" s="189">
        <v>2</v>
      </c>
      <c r="D17" s="189">
        <f>+C17</f>
        <v>2</v>
      </c>
      <c r="E17" s="189">
        <v>0</v>
      </c>
      <c r="F17" s="189">
        <v>2</v>
      </c>
      <c r="G17" s="189">
        <v>2</v>
      </c>
      <c r="H17" s="189">
        <v>2</v>
      </c>
    </row>
    <row r="18" spans="1:8" s="137" customFormat="1" ht="25.5" customHeight="1" x14ac:dyDescent="0.25">
      <c r="A18" s="188" t="s">
        <v>856</v>
      </c>
      <c r="B18" s="184" t="s">
        <v>134</v>
      </c>
      <c r="C18" s="189">
        <v>13</v>
      </c>
      <c r="D18" s="189">
        <f>+C18</f>
        <v>13</v>
      </c>
      <c r="E18" s="189">
        <v>2</v>
      </c>
      <c r="F18" s="189">
        <v>14</v>
      </c>
      <c r="G18" s="189">
        <v>10.4</v>
      </c>
      <c r="H18" s="189">
        <v>11</v>
      </c>
    </row>
    <row r="19" spans="1:8" s="138" customFormat="1" ht="25.5" customHeight="1" x14ac:dyDescent="0.25">
      <c r="A19" s="185" t="s">
        <v>23</v>
      </c>
      <c r="B19" s="186"/>
      <c r="C19" s="187">
        <f t="shared" ref="C19:H19" si="3">SUM(C20:C22)</f>
        <v>49</v>
      </c>
      <c r="D19" s="187">
        <f t="shared" si="3"/>
        <v>49</v>
      </c>
      <c r="E19" s="187">
        <f t="shared" si="3"/>
        <v>0</v>
      </c>
      <c r="F19" s="187">
        <f t="shared" si="3"/>
        <v>49</v>
      </c>
      <c r="G19" s="187">
        <f t="shared" si="3"/>
        <v>47.7</v>
      </c>
      <c r="H19" s="187">
        <f t="shared" si="3"/>
        <v>50</v>
      </c>
    </row>
    <row r="20" spans="1:8" s="137" customFormat="1" ht="25.5" customHeight="1" x14ac:dyDescent="0.25">
      <c r="A20" s="188" t="s">
        <v>453</v>
      </c>
      <c r="B20" s="184" t="s">
        <v>91</v>
      </c>
      <c r="C20" s="189">
        <v>5</v>
      </c>
      <c r="D20" s="189">
        <f>+C20</f>
        <v>5</v>
      </c>
      <c r="E20" s="189">
        <v>0</v>
      </c>
      <c r="F20" s="189">
        <v>5</v>
      </c>
      <c r="G20" s="189">
        <v>3.8</v>
      </c>
      <c r="H20" s="189">
        <v>5</v>
      </c>
    </row>
    <row r="21" spans="1:8" s="137" customFormat="1" ht="25.5" customHeight="1" x14ac:dyDescent="0.25">
      <c r="A21" s="188" t="s">
        <v>454</v>
      </c>
      <c r="B21" s="184" t="s">
        <v>132</v>
      </c>
      <c r="C21" s="189">
        <v>24</v>
      </c>
      <c r="D21" s="189">
        <f>+C21</f>
        <v>24</v>
      </c>
      <c r="E21" s="189">
        <v>0</v>
      </c>
      <c r="F21" s="189">
        <v>24</v>
      </c>
      <c r="G21" s="189">
        <v>24.9</v>
      </c>
      <c r="H21" s="189">
        <v>25</v>
      </c>
    </row>
    <row r="22" spans="1:8" s="137" customFormat="1" ht="25.5" customHeight="1" x14ac:dyDescent="0.25">
      <c r="A22" s="188" t="s">
        <v>454</v>
      </c>
      <c r="B22" s="190" t="s">
        <v>151</v>
      </c>
      <c r="C22" s="189">
        <v>20</v>
      </c>
      <c r="D22" s="189">
        <f>+C22</f>
        <v>20</v>
      </c>
      <c r="E22" s="189">
        <v>0</v>
      </c>
      <c r="F22" s="189">
        <v>20</v>
      </c>
      <c r="G22" s="189">
        <v>19</v>
      </c>
      <c r="H22" s="189">
        <v>20</v>
      </c>
    </row>
    <row r="23" spans="1:8" s="138" customFormat="1" ht="25.5" customHeight="1" x14ac:dyDescent="0.25">
      <c r="A23" s="185" t="s">
        <v>24</v>
      </c>
      <c r="B23" s="186"/>
      <c r="C23" s="187">
        <f t="shared" ref="C23:H23" si="4">C24+C25</f>
        <v>52</v>
      </c>
      <c r="D23" s="187">
        <f t="shared" si="4"/>
        <v>53</v>
      </c>
      <c r="E23" s="187">
        <f t="shared" si="4"/>
        <v>0</v>
      </c>
      <c r="F23" s="187">
        <f t="shared" si="4"/>
        <v>52</v>
      </c>
      <c r="G23" s="187">
        <f t="shared" si="4"/>
        <v>48.9</v>
      </c>
      <c r="H23" s="187">
        <f t="shared" si="4"/>
        <v>55</v>
      </c>
    </row>
    <row r="24" spans="1:8" s="137" customFormat="1" ht="25.5" customHeight="1" x14ac:dyDescent="0.25">
      <c r="A24" s="188" t="s">
        <v>455</v>
      </c>
      <c r="B24" s="184" t="s">
        <v>91</v>
      </c>
      <c r="C24" s="189">
        <v>48</v>
      </c>
      <c r="D24" s="189">
        <f>+C24+1</f>
        <v>49</v>
      </c>
      <c r="E24" s="189">
        <v>0</v>
      </c>
      <c r="F24" s="189">
        <v>48</v>
      </c>
      <c r="G24" s="189">
        <v>46.9</v>
      </c>
      <c r="H24" s="189">
        <v>53</v>
      </c>
    </row>
    <row r="25" spans="1:8" s="137" customFormat="1" ht="37.5" customHeight="1" x14ac:dyDescent="0.25">
      <c r="A25" s="188" t="s">
        <v>639</v>
      </c>
      <c r="B25" s="190" t="s">
        <v>132</v>
      </c>
      <c r="C25" s="189">
        <v>4</v>
      </c>
      <c r="D25" s="189">
        <f>+C25</f>
        <v>4</v>
      </c>
      <c r="E25" s="189">
        <v>0</v>
      </c>
      <c r="F25" s="189">
        <v>4</v>
      </c>
      <c r="G25" s="189">
        <v>2</v>
      </c>
      <c r="H25" s="189">
        <v>2</v>
      </c>
    </row>
    <row r="26" spans="1:8" s="137" customFormat="1" ht="25.5" customHeight="1" x14ac:dyDescent="0.25">
      <c r="A26" s="185" t="s">
        <v>600</v>
      </c>
      <c r="B26" s="186"/>
      <c r="C26" s="187">
        <f t="shared" ref="C26:H26" si="5">SUM(C27:C28)</f>
        <v>46</v>
      </c>
      <c r="D26" s="187">
        <f t="shared" si="5"/>
        <v>48</v>
      </c>
      <c r="E26" s="187">
        <f t="shared" si="5"/>
        <v>1</v>
      </c>
      <c r="F26" s="187">
        <f t="shared" si="5"/>
        <v>46</v>
      </c>
      <c r="G26" s="187">
        <f t="shared" si="5"/>
        <v>42.7</v>
      </c>
      <c r="H26" s="187">
        <f t="shared" si="5"/>
        <v>45</v>
      </c>
    </row>
    <row r="27" spans="1:8" s="137" customFormat="1" ht="25.5" customHeight="1" x14ac:dyDescent="0.25">
      <c r="A27" s="188" t="s">
        <v>456</v>
      </c>
      <c r="B27" s="184" t="s">
        <v>132</v>
      </c>
      <c r="C27" s="189">
        <v>16</v>
      </c>
      <c r="D27" s="189">
        <f>+C27+1</f>
        <v>17</v>
      </c>
      <c r="E27" s="189">
        <v>0</v>
      </c>
      <c r="F27" s="189">
        <v>16</v>
      </c>
      <c r="G27" s="189">
        <v>13</v>
      </c>
      <c r="H27" s="189">
        <v>16</v>
      </c>
    </row>
    <row r="28" spans="1:8" s="137" customFormat="1" ht="25.5" customHeight="1" x14ac:dyDescent="0.25">
      <c r="A28" s="188" t="s">
        <v>457</v>
      </c>
      <c r="B28" s="184" t="s">
        <v>91</v>
      </c>
      <c r="C28" s="189">
        <v>30</v>
      </c>
      <c r="D28" s="189">
        <f>+C28+1</f>
        <v>31</v>
      </c>
      <c r="E28" s="189">
        <v>1</v>
      </c>
      <c r="F28" s="189">
        <v>30</v>
      </c>
      <c r="G28" s="189">
        <v>29.7</v>
      </c>
      <c r="H28" s="189">
        <v>29</v>
      </c>
    </row>
    <row r="29" spans="1:8" s="138" customFormat="1" ht="25.5" customHeight="1" x14ac:dyDescent="0.25">
      <c r="A29" s="185" t="s">
        <v>88</v>
      </c>
      <c r="B29" s="191"/>
      <c r="C29" s="187">
        <f t="shared" ref="C29:H29" si="6">SUM(C30:C31)</f>
        <v>75</v>
      </c>
      <c r="D29" s="187">
        <f t="shared" si="6"/>
        <v>76</v>
      </c>
      <c r="E29" s="187">
        <f t="shared" si="6"/>
        <v>1</v>
      </c>
      <c r="F29" s="187">
        <f t="shared" si="6"/>
        <v>75</v>
      </c>
      <c r="G29" s="187">
        <f t="shared" si="6"/>
        <v>73.900000000000006</v>
      </c>
      <c r="H29" s="187">
        <f t="shared" si="6"/>
        <v>75</v>
      </c>
    </row>
    <row r="30" spans="1:8" s="137" customFormat="1" ht="25.5" customHeight="1" x14ac:dyDescent="0.25">
      <c r="A30" s="188" t="s">
        <v>458</v>
      </c>
      <c r="B30" s="184" t="s">
        <v>91</v>
      </c>
      <c r="C30" s="189">
        <v>51</v>
      </c>
      <c r="D30" s="189">
        <f>+C30+1</f>
        <v>52</v>
      </c>
      <c r="E30" s="189">
        <v>1</v>
      </c>
      <c r="F30" s="189">
        <v>51</v>
      </c>
      <c r="G30" s="189">
        <v>51.2</v>
      </c>
      <c r="H30" s="189">
        <v>50</v>
      </c>
    </row>
    <row r="31" spans="1:8" s="137" customFormat="1" ht="25.5" customHeight="1" x14ac:dyDescent="0.25">
      <c r="A31" s="188" t="s">
        <v>459</v>
      </c>
      <c r="B31" s="184" t="s">
        <v>132</v>
      </c>
      <c r="C31" s="189">
        <v>24</v>
      </c>
      <c r="D31" s="189">
        <f>+C31</f>
        <v>24</v>
      </c>
      <c r="E31" s="189">
        <v>0</v>
      </c>
      <c r="F31" s="189">
        <v>24</v>
      </c>
      <c r="G31" s="189">
        <v>22.7</v>
      </c>
      <c r="H31" s="189">
        <v>25</v>
      </c>
    </row>
    <row r="32" spans="1:8" s="138" customFormat="1" ht="30" x14ac:dyDescent="0.25">
      <c r="A32" s="185" t="s">
        <v>25</v>
      </c>
      <c r="B32" s="192"/>
      <c r="C32" s="187">
        <f t="shared" ref="C32:H32" si="7">SUM(C33:C42)</f>
        <v>37</v>
      </c>
      <c r="D32" s="187">
        <f t="shared" si="7"/>
        <v>37</v>
      </c>
      <c r="E32" s="187">
        <f t="shared" si="7"/>
        <v>2</v>
      </c>
      <c r="F32" s="187">
        <f t="shared" si="7"/>
        <v>36</v>
      </c>
      <c r="G32" s="187">
        <f t="shared" si="7"/>
        <v>34.200000000000003</v>
      </c>
      <c r="H32" s="187">
        <f t="shared" si="7"/>
        <v>35</v>
      </c>
    </row>
    <row r="33" spans="1:8" s="137" customFormat="1" ht="25.5" customHeight="1" x14ac:dyDescent="0.25">
      <c r="A33" s="188" t="s">
        <v>460</v>
      </c>
      <c r="B33" s="184" t="s">
        <v>91</v>
      </c>
      <c r="C33" s="189">
        <v>11</v>
      </c>
      <c r="D33" s="189">
        <f t="shared" ref="D33:D42" si="8">+C33</f>
        <v>11</v>
      </c>
      <c r="E33" s="189">
        <v>2</v>
      </c>
      <c r="F33" s="189">
        <v>11</v>
      </c>
      <c r="G33" s="189">
        <v>8</v>
      </c>
      <c r="H33" s="189">
        <v>9</v>
      </c>
    </row>
    <row r="34" spans="1:8" s="137" customFormat="1" ht="25.5" customHeight="1" x14ac:dyDescent="0.25">
      <c r="A34" s="188" t="s">
        <v>461</v>
      </c>
      <c r="B34" s="184" t="s">
        <v>132</v>
      </c>
      <c r="C34" s="189">
        <v>1</v>
      </c>
      <c r="D34" s="189">
        <f t="shared" si="8"/>
        <v>1</v>
      </c>
      <c r="E34" s="189">
        <v>0</v>
      </c>
      <c r="F34" s="189">
        <v>1</v>
      </c>
      <c r="G34" s="189">
        <v>1</v>
      </c>
      <c r="H34" s="189">
        <v>1</v>
      </c>
    </row>
    <row r="35" spans="1:8" s="137" customFormat="1" ht="25.5" customHeight="1" x14ac:dyDescent="0.25">
      <c r="A35" s="188" t="s">
        <v>462</v>
      </c>
      <c r="B35" s="184" t="s">
        <v>151</v>
      </c>
      <c r="C35" s="189">
        <v>4</v>
      </c>
      <c r="D35" s="189">
        <f t="shared" si="8"/>
        <v>4</v>
      </c>
      <c r="E35" s="189">
        <v>0</v>
      </c>
      <c r="F35" s="189">
        <v>3.5</v>
      </c>
      <c r="G35" s="189">
        <v>4.4000000000000004</v>
      </c>
      <c r="H35" s="189">
        <v>4</v>
      </c>
    </row>
    <row r="36" spans="1:8" s="137" customFormat="1" ht="32.25" customHeight="1" x14ac:dyDescent="0.25">
      <c r="A36" s="188" t="s">
        <v>463</v>
      </c>
      <c r="B36" s="184" t="s">
        <v>152</v>
      </c>
      <c r="C36" s="189">
        <v>2</v>
      </c>
      <c r="D36" s="189">
        <f t="shared" si="8"/>
        <v>2</v>
      </c>
      <c r="E36" s="189">
        <v>0</v>
      </c>
      <c r="F36" s="189">
        <v>2</v>
      </c>
      <c r="G36" s="189">
        <v>2</v>
      </c>
      <c r="H36" s="189">
        <v>2</v>
      </c>
    </row>
    <row r="37" spans="1:8" s="137" customFormat="1" ht="25.5" customHeight="1" x14ac:dyDescent="0.25">
      <c r="A37" s="188" t="s">
        <v>464</v>
      </c>
      <c r="B37" s="184" t="s">
        <v>135</v>
      </c>
      <c r="C37" s="189">
        <v>1</v>
      </c>
      <c r="D37" s="189">
        <f t="shared" si="8"/>
        <v>1</v>
      </c>
      <c r="E37" s="189">
        <v>0</v>
      </c>
      <c r="F37" s="189">
        <v>1</v>
      </c>
      <c r="G37" s="189">
        <v>0.8</v>
      </c>
      <c r="H37" s="189">
        <v>1</v>
      </c>
    </row>
    <row r="38" spans="1:8" s="137" customFormat="1" ht="35.25" customHeight="1" x14ac:dyDescent="0.25">
      <c r="A38" s="188" t="s">
        <v>465</v>
      </c>
      <c r="B38" s="184" t="s">
        <v>466</v>
      </c>
      <c r="C38" s="189">
        <v>2</v>
      </c>
      <c r="D38" s="189">
        <f t="shared" si="8"/>
        <v>2</v>
      </c>
      <c r="E38" s="189">
        <v>0</v>
      </c>
      <c r="F38" s="189">
        <v>1.5</v>
      </c>
      <c r="G38" s="189">
        <v>2</v>
      </c>
      <c r="H38" s="189">
        <v>2</v>
      </c>
    </row>
    <row r="39" spans="1:8" s="137" customFormat="1" ht="25.5" customHeight="1" x14ac:dyDescent="0.25">
      <c r="A39" s="188" t="s">
        <v>467</v>
      </c>
      <c r="B39" s="184" t="s">
        <v>468</v>
      </c>
      <c r="C39" s="189">
        <v>2</v>
      </c>
      <c r="D39" s="189">
        <f t="shared" si="8"/>
        <v>2</v>
      </c>
      <c r="E39" s="189">
        <v>0</v>
      </c>
      <c r="F39" s="189">
        <v>2</v>
      </c>
      <c r="G39" s="189">
        <v>2</v>
      </c>
      <c r="H39" s="189">
        <v>2</v>
      </c>
    </row>
    <row r="40" spans="1:8" s="137" customFormat="1" ht="33.75" customHeight="1" x14ac:dyDescent="0.25">
      <c r="A40" s="188" t="s">
        <v>469</v>
      </c>
      <c r="B40" s="184" t="s">
        <v>153</v>
      </c>
      <c r="C40" s="189">
        <v>10</v>
      </c>
      <c r="D40" s="189">
        <f t="shared" si="8"/>
        <v>10</v>
      </c>
      <c r="E40" s="189">
        <v>0</v>
      </c>
      <c r="F40" s="189">
        <v>10</v>
      </c>
      <c r="G40" s="189">
        <v>10</v>
      </c>
      <c r="H40" s="189">
        <v>10</v>
      </c>
    </row>
    <row r="41" spans="1:8" s="137" customFormat="1" ht="25.5" customHeight="1" x14ac:dyDescent="0.25">
      <c r="A41" s="188" t="s">
        <v>470</v>
      </c>
      <c r="B41" s="184" t="s">
        <v>67</v>
      </c>
      <c r="C41" s="189">
        <v>3</v>
      </c>
      <c r="D41" s="189">
        <f t="shared" si="8"/>
        <v>3</v>
      </c>
      <c r="E41" s="189">
        <v>0</v>
      </c>
      <c r="F41" s="189">
        <v>3</v>
      </c>
      <c r="G41" s="189">
        <v>3</v>
      </c>
      <c r="H41" s="189">
        <v>3</v>
      </c>
    </row>
    <row r="42" spans="1:8" s="137" customFormat="1" ht="25.5" customHeight="1" x14ac:dyDescent="0.25">
      <c r="A42" s="188" t="s">
        <v>543</v>
      </c>
      <c r="B42" s="184" t="s">
        <v>154</v>
      </c>
      <c r="C42" s="189">
        <v>1</v>
      </c>
      <c r="D42" s="189">
        <f t="shared" si="8"/>
        <v>1</v>
      </c>
      <c r="E42" s="189">
        <v>0</v>
      </c>
      <c r="F42" s="189">
        <v>1</v>
      </c>
      <c r="G42" s="189">
        <v>1</v>
      </c>
      <c r="H42" s="189">
        <v>1</v>
      </c>
    </row>
    <row r="43" spans="1:8" s="138" customFormat="1" ht="32.25" customHeight="1" x14ac:dyDescent="0.25">
      <c r="A43" s="185" t="s">
        <v>612</v>
      </c>
      <c r="B43" s="192"/>
      <c r="C43" s="187">
        <f t="shared" ref="C43:H43" si="9">C44</f>
        <v>7</v>
      </c>
      <c r="D43" s="187">
        <f t="shared" si="9"/>
        <v>7</v>
      </c>
      <c r="E43" s="187">
        <f t="shared" si="9"/>
        <v>0</v>
      </c>
      <c r="F43" s="187">
        <f t="shared" si="9"/>
        <v>7</v>
      </c>
      <c r="G43" s="187">
        <f t="shared" si="9"/>
        <v>6.3</v>
      </c>
      <c r="H43" s="187">
        <f t="shared" si="9"/>
        <v>7</v>
      </c>
    </row>
    <row r="44" spans="1:8" s="137" customFormat="1" ht="25.5" customHeight="1" x14ac:dyDescent="0.25">
      <c r="A44" s="188" t="s">
        <v>471</v>
      </c>
      <c r="B44" s="184" t="s">
        <v>151</v>
      </c>
      <c r="C44" s="189">
        <v>7</v>
      </c>
      <c r="D44" s="189">
        <f>+C44</f>
        <v>7</v>
      </c>
      <c r="E44" s="189">
        <v>0</v>
      </c>
      <c r="F44" s="189">
        <v>7</v>
      </c>
      <c r="G44" s="189">
        <v>6.3</v>
      </c>
      <c r="H44" s="189">
        <v>7</v>
      </c>
    </row>
    <row r="45" spans="1:8" s="137" customFormat="1" ht="25.5" customHeight="1" x14ac:dyDescent="0.25">
      <c r="A45" s="185" t="s">
        <v>601</v>
      </c>
      <c r="B45" s="192"/>
      <c r="C45" s="187">
        <f t="shared" ref="C45:H45" si="10">SUM(C46:C47)</f>
        <v>11</v>
      </c>
      <c r="D45" s="187">
        <f>SUM(D46:D47)</f>
        <v>12</v>
      </c>
      <c r="E45" s="187">
        <f t="shared" si="10"/>
        <v>0</v>
      </c>
      <c r="F45" s="187">
        <f t="shared" si="10"/>
        <v>11</v>
      </c>
      <c r="G45" s="187">
        <f t="shared" si="10"/>
        <v>10.4</v>
      </c>
      <c r="H45" s="187">
        <f t="shared" si="10"/>
        <v>11</v>
      </c>
    </row>
    <row r="46" spans="1:8" s="137" customFormat="1" ht="25.5" customHeight="1" x14ac:dyDescent="0.25">
      <c r="A46" s="188" t="s">
        <v>614</v>
      </c>
      <c r="B46" s="184" t="s">
        <v>91</v>
      </c>
      <c r="C46" s="189">
        <v>4</v>
      </c>
      <c r="D46" s="189">
        <f>+C46</f>
        <v>4</v>
      </c>
      <c r="E46" s="189">
        <v>0</v>
      </c>
      <c r="F46" s="189">
        <v>4</v>
      </c>
      <c r="G46" s="189">
        <v>3.6</v>
      </c>
      <c r="H46" s="189">
        <v>4</v>
      </c>
    </row>
    <row r="47" spans="1:8" s="137" customFormat="1" ht="25.5" customHeight="1" x14ac:dyDescent="0.25">
      <c r="A47" s="188" t="s">
        <v>472</v>
      </c>
      <c r="B47" s="184" t="s">
        <v>132</v>
      </c>
      <c r="C47" s="189">
        <v>7</v>
      </c>
      <c r="D47" s="189">
        <f>+C47+1</f>
        <v>8</v>
      </c>
      <c r="E47" s="189">
        <v>0</v>
      </c>
      <c r="F47" s="189">
        <v>7</v>
      </c>
      <c r="G47" s="189">
        <v>6.8</v>
      </c>
      <c r="H47" s="189">
        <v>7</v>
      </c>
    </row>
    <row r="48" spans="1:8" s="137" customFormat="1" ht="25.5" customHeight="1" x14ac:dyDescent="0.25">
      <c r="A48" s="188" t="s">
        <v>615</v>
      </c>
      <c r="B48" s="184" t="s">
        <v>151</v>
      </c>
      <c r="C48" s="189">
        <v>0</v>
      </c>
      <c r="D48" s="189">
        <f>+C48</f>
        <v>0</v>
      </c>
      <c r="E48" s="189">
        <v>0</v>
      </c>
      <c r="F48" s="189">
        <v>0</v>
      </c>
      <c r="G48" s="189">
        <v>0</v>
      </c>
      <c r="H48" s="189">
        <v>0</v>
      </c>
    </row>
    <row r="49" spans="1:8" s="138" customFormat="1" ht="31.5" customHeight="1" x14ac:dyDescent="0.25">
      <c r="A49" s="185" t="s">
        <v>473</v>
      </c>
      <c r="B49" s="192"/>
      <c r="C49" s="187">
        <f t="shared" ref="C49:H49" si="11">SUM(C50:C50)</f>
        <v>10</v>
      </c>
      <c r="D49" s="187">
        <f t="shared" si="11"/>
        <v>10</v>
      </c>
      <c r="E49" s="187">
        <f t="shared" si="11"/>
        <v>1</v>
      </c>
      <c r="F49" s="187">
        <f t="shared" si="11"/>
        <v>10</v>
      </c>
      <c r="G49" s="187">
        <f t="shared" si="11"/>
        <v>7.8</v>
      </c>
      <c r="H49" s="187">
        <f t="shared" si="11"/>
        <v>9</v>
      </c>
    </row>
    <row r="50" spans="1:8" s="137" customFormat="1" ht="32.25" customHeight="1" x14ac:dyDescent="0.25">
      <c r="A50" s="188" t="s">
        <v>613</v>
      </c>
      <c r="B50" s="184" t="s">
        <v>91</v>
      </c>
      <c r="C50" s="189">
        <v>10</v>
      </c>
      <c r="D50" s="189">
        <f>+C50</f>
        <v>10</v>
      </c>
      <c r="E50" s="189">
        <v>1</v>
      </c>
      <c r="F50" s="189">
        <v>10</v>
      </c>
      <c r="G50" s="189">
        <v>7.8</v>
      </c>
      <c r="H50" s="189">
        <v>9</v>
      </c>
    </row>
    <row r="51" spans="1:8" s="129" customFormat="1" ht="29.25" customHeight="1" x14ac:dyDescent="0.25">
      <c r="A51" s="1958" t="s">
        <v>474</v>
      </c>
      <c r="B51" s="1958"/>
      <c r="C51" s="193">
        <f>+C3+C14+C23+C19+C29+C32+C43+C49+C45+C26</f>
        <v>383</v>
      </c>
      <c r="D51" s="193">
        <f>+D3+D14+D19+D23+D26+D29+D32+D43+D45+D49</f>
        <v>387</v>
      </c>
      <c r="E51" s="193">
        <f>+E3+E14+E23+E19+E29+E32+E43+E49+E45+E26</f>
        <v>18</v>
      </c>
      <c r="F51" s="193">
        <f>+F3+F14+F23+F19+F29+F32+F43+F49+F45+F26</f>
        <v>380.9</v>
      </c>
      <c r="G51" s="193">
        <f>+G3+G14+G23+G19+G29+G32+G43+G49+G45+G26</f>
        <v>353.90000000000003</v>
      </c>
      <c r="H51" s="193">
        <f>+H3+H14+H23+H19+H29+H32+H43+H49+H45+H26</f>
        <v>370</v>
      </c>
    </row>
  </sheetData>
  <mergeCells count="2">
    <mergeCell ref="A1:H1"/>
    <mergeCell ref="A51:B51"/>
  </mergeCells>
  <printOptions horizontalCentered="1" verticalCentered="1"/>
  <pageMargins left="0.31496062992125984" right="0.31496062992125984" top="0.35433070866141736" bottom="0.35433070866141736" header="0.31496062992125984" footer="0.31496062992125984"/>
  <pageSetup paperSize="9" scale="53" orientation="portrait" r:id="rId1"/>
  <headerFooter>
    <oddHeader>&amp;C2023. évi költségvetés&amp;R&amp;A</oddHeader>
    <oddFooter>&amp;C&amp;P/&amp;N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30"/>
  <sheetViews>
    <sheetView view="pageBreakPreview" topLeftCell="A13" zoomScaleNormal="100" zoomScaleSheetLayoutView="100" workbookViewId="0">
      <selection activeCell="M24" sqref="M24"/>
    </sheetView>
  </sheetViews>
  <sheetFormatPr defaultRowHeight="12.75" x14ac:dyDescent="0.2"/>
  <cols>
    <col min="1" max="1" width="4.28515625" customWidth="1"/>
    <col min="4" max="4" width="14.42578125" customWidth="1"/>
    <col min="5" max="6" width="14.7109375" customWidth="1"/>
    <col min="7" max="8" width="15.7109375" customWidth="1"/>
    <col min="9" max="9" width="13.140625" customWidth="1"/>
    <col min="10" max="10" width="13.7109375" customWidth="1"/>
  </cols>
  <sheetData>
    <row r="1" spans="1:10" ht="32.25" customHeight="1" x14ac:dyDescent="0.2">
      <c r="A1" s="1962" t="s">
        <v>1353</v>
      </c>
      <c r="B1" s="1962"/>
      <c r="C1" s="1962"/>
      <c r="D1" s="1962"/>
      <c r="E1" s="1962"/>
      <c r="F1" s="1962"/>
      <c r="G1" s="1962"/>
      <c r="H1" s="1962"/>
      <c r="I1" s="1962"/>
      <c r="J1" s="1962"/>
    </row>
    <row r="2" spans="1:10" x14ac:dyDescent="0.2">
      <c r="A2" s="21"/>
      <c r="B2" s="21"/>
      <c r="C2" s="21"/>
      <c r="D2" s="21"/>
      <c r="E2" s="21"/>
      <c r="F2" s="21"/>
      <c r="G2" s="21"/>
      <c r="H2" s="21"/>
      <c r="I2" s="21"/>
      <c r="J2" s="21"/>
    </row>
    <row r="3" spans="1:10" x14ac:dyDescent="0.2">
      <c r="A3" s="327" t="s">
        <v>688</v>
      </c>
      <c r="B3" s="327"/>
      <c r="C3" s="327"/>
      <c r="D3" s="327"/>
      <c r="E3" s="327"/>
      <c r="F3" s="327"/>
      <c r="G3" s="328"/>
      <c r="H3" s="328"/>
      <c r="I3" s="328"/>
      <c r="J3" s="45" t="s">
        <v>431</v>
      </c>
    </row>
    <row r="4" spans="1:10" ht="71.25" customHeight="1" x14ac:dyDescent="0.2">
      <c r="A4" s="329" t="s">
        <v>689</v>
      </c>
      <c r="B4" s="1963" t="s">
        <v>690</v>
      </c>
      <c r="C4" s="1963"/>
      <c r="D4" s="1964"/>
      <c r="E4" s="1128" t="s">
        <v>691</v>
      </c>
      <c r="F4" s="1124" t="s">
        <v>1720</v>
      </c>
      <c r="G4" s="330" t="s">
        <v>692</v>
      </c>
      <c r="H4" s="1133" t="s">
        <v>1721</v>
      </c>
      <c r="I4" s="833" t="s">
        <v>693</v>
      </c>
      <c r="J4" s="834" t="s">
        <v>694</v>
      </c>
    </row>
    <row r="5" spans="1:10" ht="18.75" customHeight="1" x14ac:dyDescent="0.2">
      <c r="A5" s="388" t="s">
        <v>188</v>
      </c>
      <c r="B5" s="1965" t="s">
        <v>695</v>
      </c>
      <c r="C5" s="1966"/>
      <c r="D5" s="1967"/>
      <c r="E5" s="1129"/>
      <c r="F5" s="1125"/>
      <c r="G5" s="1135">
        <v>7500000</v>
      </c>
      <c r="H5" s="1134">
        <v>16000000</v>
      </c>
      <c r="I5" s="379"/>
      <c r="J5" s="379"/>
    </row>
    <row r="6" spans="1:10" ht="18.75" customHeight="1" x14ac:dyDescent="0.2">
      <c r="A6" s="389" t="s">
        <v>189</v>
      </c>
      <c r="B6" s="1968" t="s">
        <v>696</v>
      </c>
      <c r="C6" s="1969"/>
      <c r="D6" s="1970"/>
      <c r="E6" s="1130"/>
      <c r="F6" s="1126"/>
      <c r="G6" s="1130"/>
      <c r="H6" s="1126"/>
      <c r="I6" s="380"/>
      <c r="J6" s="380"/>
    </row>
    <row r="7" spans="1:10" ht="18.75" customHeight="1" x14ac:dyDescent="0.2">
      <c r="A7" s="390" t="s">
        <v>190</v>
      </c>
      <c r="B7" s="1971" t="s">
        <v>697</v>
      </c>
      <c r="C7" s="1972"/>
      <c r="D7" s="1973"/>
      <c r="E7" s="1131"/>
      <c r="F7" s="1127"/>
      <c r="G7" s="1131"/>
      <c r="H7" s="1127"/>
      <c r="I7" s="381"/>
      <c r="J7" s="381"/>
    </row>
    <row r="8" spans="1:10" ht="20.25" customHeight="1" x14ac:dyDescent="0.2">
      <c r="A8" s="1959" t="s">
        <v>698</v>
      </c>
      <c r="B8" s="1960"/>
      <c r="C8" s="1960"/>
      <c r="D8" s="1961"/>
      <c r="E8" s="1132">
        <f t="shared" ref="E8:J8" si="0">SUM(E5:E7)</f>
        <v>0</v>
      </c>
      <c r="F8" s="1132">
        <f t="shared" si="0"/>
        <v>0</v>
      </c>
      <c r="G8" s="1132">
        <f t="shared" si="0"/>
        <v>7500000</v>
      </c>
      <c r="H8" s="1132">
        <f t="shared" si="0"/>
        <v>16000000</v>
      </c>
      <c r="I8" s="835">
        <f t="shared" si="0"/>
        <v>0</v>
      </c>
      <c r="J8" s="835">
        <f t="shared" si="0"/>
        <v>0</v>
      </c>
    </row>
    <row r="9" spans="1:10" x14ac:dyDescent="0.2">
      <c r="A9" s="832"/>
      <c r="B9" s="832"/>
      <c r="C9" s="832"/>
      <c r="D9" s="336"/>
      <c r="E9" s="333"/>
      <c r="F9" s="333"/>
      <c r="G9" s="334"/>
      <c r="H9" s="334"/>
      <c r="I9" s="334"/>
      <c r="J9" s="21"/>
    </row>
    <row r="10" spans="1:10" x14ac:dyDescent="0.2">
      <c r="A10" s="327" t="s">
        <v>699</v>
      </c>
      <c r="B10" s="335"/>
      <c r="C10" s="335"/>
      <c r="D10" s="335"/>
      <c r="E10" s="335"/>
      <c r="F10" s="327"/>
      <c r="G10" s="334"/>
      <c r="H10" s="334"/>
      <c r="I10" s="334"/>
      <c r="J10" s="21"/>
    </row>
    <row r="11" spans="1:10" x14ac:dyDescent="0.2">
      <c r="A11" s="336"/>
      <c r="B11" s="336"/>
      <c r="C11" s="336"/>
      <c r="D11" s="336"/>
      <c r="E11" s="336"/>
      <c r="F11" s="336"/>
      <c r="G11" s="334"/>
      <c r="H11" s="334"/>
      <c r="I11" s="334"/>
      <c r="J11" s="21"/>
    </row>
    <row r="12" spans="1:10" x14ac:dyDescent="0.2">
      <c r="A12" s="327" t="s">
        <v>700</v>
      </c>
      <c r="B12" s="327"/>
      <c r="C12" s="327"/>
      <c r="D12" s="327"/>
      <c r="E12" s="327"/>
      <c r="F12" s="327"/>
      <c r="G12" s="328"/>
      <c r="H12" s="328"/>
      <c r="I12" s="328"/>
      <c r="J12" s="21"/>
    </row>
    <row r="13" spans="1:10" ht="70.5" customHeight="1" x14ac:dyDescent="0.2">
      <c r="A13" s="337" t="s">
        <v>689</v>
      </c>
      <c r="B13" s="1974" t="s">
        <v>690</v>
      </c>
      <c r="C13" s="1974"/>
      <c r="D13" s="1974"/>
      <c r="E13" s="830" t="s">
        <v>691</v>
      </c>
      <c r="F13" s="830" t="s">
        <v>1720</v>
      </c>
      <c r="G13" s="831" t="s">
        <v>692</v>
      </c>
      <c r="H13" s="831" t="s">
        <v>1722</v>
      </c>
      <c r="I13" s="331" t="s">
        <v>693</v>
      </c>
      <c r="J13" s="332" t="s">
        <v>694</v>
      </c>
    </row>
    <row r="14" spans="1:10" ht="18.75" customHeight="1" x14ac:dyDescent="0.2">
      <c r="A14" s="391" t="s">
        <v>188</v>
      </c>
      <c r="B14" s="1975" t="s">
        <v>701</v>
      </c>
      <c r="C14" s="1976"/>
      <c r="D14" s="1977"/>
      <c r="E14" s="382"/>
      <c r="F14" s="382"/>
      <c r="G14" s="736">
        <v>3000000</v>
      </c>
      <c r="H14" s="736">
        <f>+G14</f>
        <v>3000000</v>
      </c>
      <c r="I14" s="382"/>
      <c r="J14" s="382"/>
    </row>
    <row r="15" spans="1:10" ht="18.75" customHeight="1" x14ac:dyDescent="0.2">
      <c r="A15" s="392" t="s">
        <v>189</v>
      </c>
      <c r="B15" s="1978" t="s">
        <v>702</v>
      </c>
      <c r="C15" s="1979"/>
      <c r="D15" s="1980"/>
      <c r="E15" s="383"/>
      <c r="F15" s="383"/>
      <c r="G15" s="737">
        <v>8000000</v>
      </c>
      <c r="H15" s="737">
        <v>9000000</v>
      </c>
      <c r="I15" s="383"/>
      <c r="J15" s="383"/>
    </row>
    <row r="16" spans="1:10" ht="18.75" customHeight="1" x14ac:dyDescent="0.2">
      <c r="A16" s="392" t="s">
        <v>190</v>
      </c>
      <c r="B16" s="1978" t="s">
        <v>703</v>
      </c>
      <c r="C16" s="1979"/>
      <c r="D16" s="1980"/>
      <c r="E16" s="383"/>
      <c r="F16" s="383"/>
      <c r="G16" s="737">
        <v>12000000</v>
      </c>
      <c r="H16" s="737">
        <v>25000000</v>
      </c>
      <c r="I16" s="383"/>
      <c r="J16" s="383"/>
    </row>
    <row r="17" spans="1:12" ht="18.75" customHeight="1" x14ac:dyDescent="0.2">
      <c r="A17" s="392" t="s">
        <v>191</v>
      </c>
      <c r="B17" s="1978" t="s">
        <v>704</v>
      </c>
      <c r="C17" s="1979"/>
      <c r="D17" s="1980"/>
      <c r="E17" s="383"/>
      <c r="F17" s="383"/>
      <c r="G17" s="737">
        <v>2000000</v>
      </c>
      <c r="H17" s="737">
        <f>+G17</f>
        <v>2000000</v>
      </c>
      <c r="I17" s="383"/>
      <c r="J17" s="383"/>
    </row>
    <row r="18" spans="1:12" ht="18.75" customHeight="1" x14ac:dyDescent="0.2">
      <c r="A18" s="392" t="s">
        <v>192</v>
      </c>
      <c r="B18" s="1978" t="s">
        <v>705</v>
      </c>
      <c r="C18" s="1979"/>
      <c r="D18" s="1980"/>
      <c r="E18" s="383"/>
      <c r="F18" s="383"/>
      <c r="G18" s="737"/>
      <c r="H18" s="737"/>
      <c r="I18" s="383"/>
      <c r="J18" s="383"/>
    </row>
    <row r="19" spans="1:12" ht="18.75" customHeight="1" x14ac:dyDescent="0.2">
      <c r="A19" s="392" t="s">
        <v>193</v>
      </c>
      <c r="B19" s="1978" t="s">
        <v>706</v>
      </c>
      <c r="C19" s="1979"/>
      <c r="D19" s="1980"/>
      <c r="E19" s="383"/>
      <c r="F19" s="383"/>
      <c r="G19" s="737">
        <v>5000000</v>
      </c>
      <c r="H19" s="737">
        <f>+G19</f>
        <v>5000000</v>
      </c>
      <c r="I19" s="383"/>
      <c r="J19" s="383"/>
    </row>
    <row r="20" spans="1:12" ht="18.75" customHeight="1" x14ac:dyDescent="0.2">
      <c r="A20" s="393" t="s">
        <v>194</v>
      </c>
      <c r="B20" s="1983" t="s">
        <v>707</v>
      </c>
      <c r="C20" s="1984"/>
      <c r="D20" s="1985"/>
      <c r="E20" s="384"/>
      <c r="F20" s="384"/>
      <c r="G20" s="738">
        <v>1000000</v>
      </c>
      <c r="H20" s="738">
        <f>+G20</f>
        <v>1000000</v>
      </c>
      <c r="I20" s="384"/>
      <c r="J20" s="384"/>
    </row>
    <row r="21" spans="1:12" ht="24" customHeight="1" x14ac:dyDescent="0.2">
      <c r="A21" s="1986" t="s">
        <v>698</v>
      </c>
      <c r="B21" s="1987"/>
      <c r="C21" s="1987"/>
      <c r="D21" s="1988"/>
      <c r="E21" s="385">
        <f t="shared" ref="E21:J21" si="1">SUM(E14:E20)</f>
        <v>0</v>
      </c>
      <c r="F21" s="385">
        <f t="shared" si="1"/>
        <v>0</v>
      </c>
      <c r="G21" s="386">
        <f t="shared" si="1"/>
        <v>31000000</v>
      </c>
      <c r="H21" s="386">
        <f t="shared" si="1"/>
        <v>45000000</v>
      </c>
      <c r="I21" s="387">
        <f t="shared" si="1"/>
        <v>0</v>
      </c>
      <c r="J21" s="387">
        <f t="shared" si="1"/>
        <v>0</v>
      </c>
    </row>
    <row r="22" spans="1:12" x14ac:dyDescent="0.2">
      <c r="A22" s="336"/>
      <c r="B22" s="336"/>
      <c r="C22" s="336"/>
      <c r="D22" s="336"/>
      <c r="E22" s="336"/>
      <c r="F22" s="336"/>
      <c r="G22" s="334"/>
      <c r="H22" s="334"/>
      <c r="I22" s="334"/>
      <c r="J22" s="21"/>
    </row>
    <row r="23" spans="1:12" x14ac:dyDescent="0.2">
      <c r="A23" s="1989" t="s">
        <v>708</v>
      </c>
      <c r="B23" s="1989"/>
      <c r="C23" s="1989"/>
      <c r="D23" s="1989"/>
      <c r="E23" s="1989"/>
      <c r="F23" s="1989"/>
      <c r="G23" s="1989"/>
      <c r="H23" s="1989"/>
      <c r="I23" s="1989"/>
      <c r="J23" s="1989"/>
      <c r="K23" s="1989"/>
      <c r="L23" s="1989"/>
    </row>
    <row r="24" spans="1:12" ht="74.25" customHeight="1" x14ac:dyDescent="0.2">
      <c r="A24" s="829" t="s">
        <v>689</v>
      </c>
      <c r="B24" s="1990" t="s">
        <v>690</v>
      </c>
      <c r="C24" s="1990"/>
      <c r="D24" s="1991"/>
      <c r="E24" s="830" t="s">
        <v>691</v>
      </c>
      <c r="F24" s="830" t="s">
        <v>1720</v>
      </c>
      <c r="G24" s="831" t="s">
        <v>692</v>
      </c>
      <c r="H24" s="831" t="s">
        <v>1723</v>
      </c>
      <c r="I24" s="331" t="s">
        <v>693</v>
      </c>
      <c r="J24" s="332" t="s">
        <v>694</v>
      </c>
    </row>
    <row r="25" spans="1:12" ht="20.25" customHeight="1" x14ac:dyDescent="0.2">
      <c r="A25" s="338" t="s">
        <v>188</v>
      </c>
      <c r="B25" s="1992" t="s">
        <v>709</v>
      </c>
      <c r="C25" s="1992"/>
      <c r="D25" s="1992"/>
      <c r="E25" s="339"/>
      <c r="F25" s="1123"/>
      <c r="G25" s="340"/>
      <c r="H25" s="340"/>
      <c r="I25" s="339"/>
      <c r="J25" s="339"/>
    </row>
    <row r="26" spans="1:12" ht="20.25" customHeight="1" x14ac:dyDescent="0.2">
      <c r="A26" s="341" t="s">
        <v>189</v>
      </c>
      <c r="B26" s="1981" t="s">
        <v>710</v>
      </c>
      <c r="C26" s="1981"/>
      <c r="D26" s="1981"/>
      <c r="E26" s="342"/>
      <c r="F26" s="342"/>
      <c r="G26" s="925">
        <v>6500000</v>
      </c>
      <c r="H26" s="925">
        <v>9000000</v>
      </c>
      <c r="I26" s="342"/>
      <c r="J26" s="342"/>
    </row>
    <row r="27" spans="1:12" ht="23.25" customHeight="1" x14ac:dyDescent="0.2">
      <c r="A27" s="1982" t="s">
        <v>698</v>
      </c>
      <c r="B27" s="1982"/>
      <c r="C27" s="1982"/>
      <c r="D27" s="1982"/>
      <c r="E27" s="343">
        <f t="shared" ref="E27:J27" si="2">SUM(E25:E26)</f>
        <v>0</v>
      </c>
      <c r="F27" s="343">
        <f t="shared" si="2"/>
        <v>0</v>
      </c>
      <c r="G27" s="344">
        <f t="shared" si="2"/>
        <v>6500000</v>
      </c>
      <c r="H27" s="344">
        <f t="shared" si="2"/>
        <v>9000000</v>
      </c>
      <c r="I27" s="343">
        <f t="shared" si="2"/>
        <v>0</v>
      </c>
      <c r="J27" s="343">
        <f t="shared" si="2"/>
        <v>0</v>
      </c>
    </row>
    <row r="28" spans="1:12" x14ac:dyDescent="0.2">
      <c r="A28" s="1136"/>
      <c r="B28" s="1136"/>
      <c r="C28" s="1137"/>
      <c r="D28" s="1138"/>
      <c r="E28" s="1138"/>
      <c r="F28" s="1138"/>
      <c r="G28" s="1139"/>
      <c r="H28" s="1139"/>
      <c r="I28" s="1139"/>
      <c r="J28" s="305"/>
    </row>
    <row r="29" spans="1:12" x14ac:dyDescent="0.2">
      <c r="A29" s="1140" t="s">
        <v>711</v>
      </c>
      <c r="B29" s="1140"/>
      <c r="C29" s="1140"/>
      <c r="D29" s="1140"/>
      <c r="E29" s="1140"/>
      <c r="F29" s="1140"/>
      <c r="G29" s="1141"/>
      <c r="H29" s="1141"/>
      <c r="I29" s="1141"/>
      <c r="J29" s="305"/>
    </row>
    <row r="30" spans="1:12" x14ac:dyDescent="0.2">
      <c r="A30" s="348"/>
      <c r="B30" s="348"/>
      <c r="C30" s="348"/>
      <c r="D30" s="348"/>
      <c r="E30" s="348"/>
      <c r="F30" s="348"/>
      <c r="G30" s="348"/>
      <c r="H30" s="348"/>
      <c r="I30" s="348"/>
      <c r="J30" s="348"/>
    </row>
  </sheetData>
  <mergeCells count="20">
    <mergeCell ref="B26:D26"/>
    <mergeCell ref="A27:D27"/>
    <mergeCell ref="B18:D18"/>
    <mergeCell ref="B19:D19"/>
    <mergeCell ref="B20:D20"/>
    <mergeCell ref="A21:D21"/>
    <mergeCell ref="A23:L23"/>
    <mergeCell ref="B24:D24"/>
    <mergeCell ref="B25:D25"/>
    <mergeCell ref="B13:D13"/>
    <mergeCell ref="B14:D14"/>
    <mergeCell ref="B15:D15"/>
    <mergeCell ref="B16:D16"/>
    <mergeCell ref="B17:D17"/>
    <mergeCell ref="A8:D8"/>
    <mergeCell ref="A1:J1"/>
    <mergeCell ref="B4:D4"/>
    <mergeCell ref="B5:D5"/>
    <mergeCell ref="B6:D6"/>
    <mergeCell ref="B7:D7"/>
  </mergeCells>
  <printOptions horizontalCentered="1"/>
  <pageMargins left="0.70866141732283472" right="0.70866141732283472" top="0.74803149606299213" bottom="0.74803149606299213" header="0.31496062992125984" footer="0.31496062992125984"/>
  <pageSetup paperSize="9" scale="70" orientation="portrait" r:id="rId1"/>
  <headerFooter>
    <oddHeader>&amp;C2023. évi költségvetés&amp;R&amp;A</oddHeader>
    <oddFooter xml:space="preserve">&amp;C&amp;P/&amp;N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42"/>
  <sheetViews>
    <sheetView view="pageBreakPreview" topLeftCell="A16" zoomScale="80" zoomScaleNormal="100" zoomScaleSheetLayoutView="80" workbookViewId="0">
      <selection activeCell="E39" sqref="E39"/>
    </sheetView>
  </sheetViews>
  <sheetFormatPr defaultColWidth="8.85546875" defaultRowHeight="15" x14ac:dyDescent="0.25"/>
  <cols>
    <col min="1" max="1" width="5.140625" style="19" customWidth="1"/>
    <col min="2" max="2" width="61.42578125" style="19" customWidth="1"/>
    <col min="3" max="3" width="7.140625" style="19" bestFit="1" customWidth="1"/>
    <col min="4" max="4" width="17" style="19" customWidth="1"/>
    <col min="5" max="5" width="18.5703125" style="19" customWidth="1"/>
    <col min="6" max="6" width="3.85546875" style="19" customWidth="1"/>
    <col min="7" max="7" width="68.140625" style="19" customWidth="1"/>
    <col min="8" max="8" width="7.140625" style="19" bestFit="1" customWidth="1"/>
    <col min="9" max="9" width="17.140625" style="19" customWidth="1"/>
    <col min="10" max="10" width="17.7109375" style="672" bestFit="1" customWidth="1"/>
    <col min="11" max="11" width="17.42578125" style="672" bestFit="1" customWidth="1"/>
    <col min="12" max="16384" width="8.85546875" style="19"/>
  </cols>
  <sheetData>
    <row r="1" spans="1:11" ht="35.450000000000003" customHeight="1" x14ac:dyDescent="0.25">
      <c r="A1" s="1996" t="s">
        <v>1522</v>
      </c>
      <c r="B1" s="1996"/>
      <c r="C1" s="1996"/>
      <c r="D1" s="1996"/>
      <c r="E1" s="1996"/>
      <c r="F1" s="1996"/>
      <c r="G1" s="1996"/>
      <c r="H1" s="1996"/>
      <c r="I1" s="1996"/>
      <c r="J1" s="1996"/>
    </row>
    <row r="2" spans="1:11" s="431" customFormat="1" ht="3.75" customHeight="1" x14ac:dyDescent="0.2">
      <c r="A2" s="1142"/>
      <c r="B2" s="1142"/>
      <c r="C2" s="1142"/>
      <c r="D2" s="1142"/>
      <c r="E2" s="1142"/>
      <c r="F2" s="1142"/>
      <c r="G2" s="1142"/>
      <c r="H2" s="1142"/>
      <c r="I2" s="1142"/>
      <c r="J2" s="1143"/>
      <c r="K2" s="673"/>
    </row>
    <row r="3" spans="1:11" s="431" customFormat="1" ht="23.25" customHeight="1" x14ac:dyDescent="0.2">
      <c r="A3" s="948"/>
      <c r="B3" s="948"/>
      <c r="C3" s="948"/>
      <c r="D3" s="948"/>
      <c r="E3" s="948"/>
      <c r="F3" s="948"/>
      <c r="G3" s="949"/>
      <c r="H3" s="949"/>
      <c r="J3" s="950" t="s">
        <v>431</v>
      </c>
      <c r="K3" s="673"/>
    </row>
    <row r="4" spans="1:11" ht="18.75" x14ac:dyDescent="0.25">
      <c r="A4" s="1997" t="s">
        <v>37</v>
      </c>
      <c r="B4" s="1993" t="s">
        <v>971</v>
      </c>
      <c r="C4" s="1994"/>
      <c r="D4" s="1994"/>
      <c r="E4" s="1995"/>
      <c r="F4" s="434"/>
      <c r="G4" s="1993" t="s">
        <v>252</v>
      </c>
      <c r="H4" s="1994"/>
      <c r="I4" s="1994"/>
      <c r="J4" s="1995"/>
    </row>
    <row r="5" spans="1:11" ht="38.25" customHeight="1" x14ac:dyDescent="0.25">
      <c r="A5" s="1997"/>
      <c r="B5" s="435" t="s">
        <v>2</v>
      </c>
      <c r="C5" s="435" t="s">
        <v>55</v>
      </c>
      <c r="D5" s="435" t="s">
        <v>1523</v>
      </c>
      <c r="E5" s="435" t="s">
        <v>1724</v>
      </c>
      <c r="F5" s="436"/>
      <c r="G5" s="435" t="s">
        <v>2</v>
      </c>
      <c r="H5" s="435" t="s">
        <v>55</v>
      </c>
      <c r="I5" s="435" t="s">
        <v>1523</v>
      </c>
      <c r="J5" s="435" t="s">
        <v>1724</v>
      </c>
    </row>
    <row r="6" spans="1:11" ht="22.5" customHeight="1" x14ac:dyDescent="0.25">
      <c r="A6" s="429" t="s">
        <v>188</v>
      </c>
      <c r="B6" s="437" t="s">
        <v>52</v>
      </c>
      <c r="C6" s="101" t="s">
        <v>209</v>
      </c>
      <c r="D6" s="438">
        <f>+'3. sz.Városi szintű összesen'!J30</f>
        <v>2139264624</v>
      </c>
      <c r="E6" s="438">
        <f>+'3. sz.Városi szintű összesen'!K30</f>
        <v>2601160871</v>
      </c>
      <c r="F6" s="439"/>
      <c r="G6" s="440" t="s">
        <v>329</v>
      </c>
      <c r="H6" s="98" t="s">
        <v>199</v>
      </c>
      <c r="I6" s="438">
        <f>+'3. sz.Városi szintű összesen'!J8</f>
        <v>2885384444</v>
      </c>
      <c r="J6" s="438">
        <f>+'3. sz.Városi szintű összesen'!K8</f>
        <v>3040832223</v>
      </c>
    </row>
    <row r="7" spans="1:11" ht="22.5" customHeight="1" x14ac:dyDescent="0.25">
      <c r="A7" s="429" t="s">
        <v>189</v>
      </c>
      <c r="B7" s="437" t="s">
        <v>220</v>
      </c>
      <c r="C7" s="101" t="s">
        <v>210</v>
      </c>
      <c r="D7" s="438">
        <f>+'3. sz.Városi szintű összesen'!J31</f>
        <v>0</v>
      </c>
      <c r="E7" s="438">
        <f>+'3. sz.Városi szintű összesen'!K31</f>
        <v>369680630</v>
      </c>
      <c r="F7" s="439"/>
      <c r="G7" s="437" t="s">
        <v>200</v>
      </c>
      <c r="H7" s="98" t="s">
        <v>201</v>
      </c>
      <c r="I7" s="438">
        <f>+'3. sz.Városi szintű összesen'!J9</f>
        <v>424087076</v>
      </c>
      <c r="J7" s="438">
        <f>+'3. sz.Városi szintű összesen'!K9</f>
        <v>448268717</v>
      </c>
    </row>
    <row r="8" spans="1:11" ht="22.5" customHeight="1" x14ac:dyDescent="0.25">
      <c r="A8" s="429" t="s">
        <v>190</v>
      </c>
      <c r="B8" s="437" t="s">
        <v>219</v>
      </c>
      <c r="C8" s="101" t="s">
        <v>211</v>
      </c>
      <c r="D8" s="438">
        <f>+'3. sz.Városi szintű összesen'!J32</f>
        <v>4799627756</v>
      </c>
      <c r="E8" s="438">
        <f>+'3. sz.Városi szintű összesen'!K32</f>
        <v>6700253232</v>
      </c>
      <c r="F8" s="439"/>
      <c r="G8" s="437" t="s">
        <v>330</v>
      </c>
      <c r="H8" s="98" t="s">
        <v>202</v>
      </c>
      <c r="I8" s="438">
        <f>+'3. sz.Városi szintű összesen'!J10</f>
        <v>3493049767</v>
      </c>
      <c r="J8" s="438">
        <f>+'3. sz.Városi szintű összesen'!K10</f>
        <v>4531015441</v>
      </c>
    </row>
    <row r="9" spans="1:11" ht="22.5" customHeight="1" x14ac:dyDescent="0.25">
      <c r="A9" s="429" t="s">
        <v>191</v>
      </c>
      <c r="B9" s="441" t="s">
        <v>972</v>
      </c>
      <c r="C9" s="101" t="s">
        <v>212</v>
      </c>
      <c r="D9" s="438">
        <f>+'3. sz.Városi szintű összesen'!J33</f>
        <v>831698250</v>
      </c>
      <c r="E9" s="438">
        <f>+'3. sz.Városi szintű összesen'!K33</f>
        <v>1301505199</v>
      </c>
      <c r="F9" s="439"/>
      <c r="G9" s="441" t="s">
        <v>331</v>
      </c>
      <c r="H9" s="98" t="s">
        <v>203</v>
      </c>
      <c r="I9" s="438">
        <f>+'3. sz.Városi szintű összesen'!J11</f>
        <v>46000000</v>
      </c>
      <c r="J9" s="438">
        <f>+'3. sz.Városi szintű összesen'!K11</f>
        <v>46000000</v>
      </c>
    </row>
    <row r="10" spans="1:11" ht="22.5" customHeight="1" x14ac:dyDescent="0.25">
      <c r="A10" s="429" t="s">
        <v>192</v>
      </c>
      <c r="B10" s="437" t="s">
        <v>242</v>
      </c>
      <c r="C10" s="101" t="s">
        <v>213</v>
      </c>
      <c r="D10" s="438">
        <f>+'3. sz.Városi szintű összesen'!J34</f>
        <v>51854877</v>
      </c>
      <c r="E10" s="438">
        <f>+'3. sz.Városi szintű összesen'!K34</f>
        <v>1860596</v>
      </c>
      <c r="F10" s="439"/>
      <c r="G10" s="441" t="s">
        <v>234</v>
      </c>
      <c r="H10" s="98" t="s">
        <v>204</v>
      </c>
      <c r="I10" s="438">
        <f>+'3. sz.Városi szintű összesen'!J12</f>
        <v>2638846498</v>
      </c>
      <c r="J10" s="438">
        <f>+'3. sz.Városi szintű összesen'!K12</f>
        <v>4243588325</v>
      </c>
    </row>
    <row r="11" spans="1:11" ht="22.5" customHeight="1" x14ac:dyDescent="0.25">
      <c r="A11" s="429" t="s">
        <v>193</v>
      </c>
      <c r="B11" s="437" t="s">
        <v>237</v>
      </c>
      <c r="C11" s="101" t="s">
        <v>214</v>
      </c>
      <c r="D11" s="438">
        <f>+'3. sz.Városi szintű összesen'!J35</f>
        <v>0</v>
      </c>
      <c r="E11" s="438">
        <f>+'3. sz.Városi szintű összesen'!K35</f>
        <v>2592993</v>
      </c>
      <c r="F11" s="439"/>
      <c r="G11" s="437" t="s">
        <v>241</v>
      </c>
      <c r="H11" s="98" t="s">
        <v>205</v>
      </c>
      <c r="I11" s="438">
        <f>+'3. sz.Városi szintű összesen'!J16</f>
        <v>1479496135</v>
      </c>
      <c r="J11" s="438">
        <f>+'3. sz.Városi szintű összesen'!K16</f>
        <v>2375780545</v>
      </c>
    </row>
    <row r="12" spans="1:11" ht="22.5" customHeight="1" x14ac:dyDescent="0.25">
      <c r="A12" s="429" t="s">
        <v>194</v>
      </c>
      <c r="B12" s="437" t="s">
        <v>238</v>
      </c>
      <c r="C12" s="101" t="s">
        <v>215</v>
      </c>
      <c r="D12" s="438">
        <f>+'3. sz.Városi szintű összesen'!J36</f>
        <v>8395200</v>
      </c>
      <c r="E12" s="438">
        <f>+'3. sz.Városi szintű összesen'!K36</f>
        <v>13743950</v>
      </c>
      <c r="F12" s="439"/>
      <c r="G12" s="441" t="s">
        <v>332</v>
      </c>
      <c r="H12" s="98" t="s">
        <v>206</v>
      </c>
      <c r="I12" s="438">
        <f>+'3. sz.Városi szintű összesen'!J17</f>
        <v>266068695</v>
      </c>
      <c r="J12" s="438">
        <f>+'3. sz.Városi szintű összesen'!K17</f>
        <v>334136454</v>
      </c>
    </row>
    <row r="13" spans="1:11" ht="22.5" customHeight="1" x14ac:dyDescent="0.25">
      <c r="A13" s="429" t="s">
        <v>195</v>
      </c>
      <c r="B13" s="101"/>
      <c r="C13" s="101"/>
      <c r="D13" s="438"/>
      <c r="E13" s="439"/>
      <c r="F13" s="439"/>
      <c r="G13" s="441" t="s">
        <v>235</v>
      </c>
      <c r="H13" s="98" t="s">
        <v>207</v>
      </c>
      <c r="I13" s="438">
        <f>+'3. sz.Városi szintű összesen'!J18</f>
        <v>28820000</v>
      </c>
      <c r="J13" s="438">
        <f>+'3. sz.Városi szintű összesen'!K18</f>
        <v>43477245</v>
      </c>
    </row>
    <row r="14" spans="1:11" ht="22.5" customHeight="1" x14ac:dyDescent="0.25">
      <c r="A14" s="429" t="s">
        <v>196</v>
      </c>
      <c r="B14" s="102" t="s">
        <v>239</v>
      </c>
      <c r="C14" s="101" t="s">
        <v>216</v>
      </c>
      <c r="D14" s="442">
        <f>SUM(D6:D13)</f>
        <v>7830840707</v>
      </c>
      <c r="E14" s="442">
        <f>SUM(E6:E13)</f>
        <v>10990797471</v>
      </c>
      <c r="F14" s="439"/>
      <c r="G14" s="101" t="s">
        <v>236</v>
      </c>
      <c r="H14" s="102" t="s">
        <v>208</v>
      </c>
      <c r="I14" s="442">
        <f>SUM(I6:I13)</f>
        <v>11261752615</v>
      </c>
      <c r="J14" s="442">
        <f>SUM(J6:J13)</f>
        <v>15063098950</v>
      </c>
      <c r="K14" s="672" t="e">
        <f>+#REF!</f>
        <v>#REF!</v>
      </c>
    </row>
    <row r="15" spans="1:11" ht="22.5" customHeight="1" x14ac:dyDescent="0.25">
      <c r="A15" s="429" t="s">
        <v>197</v>
      </c>
      <c r="B15" s="441" t="s">
        <v>973</v>
      </c>
      <c r="C15" s="101"/>
      <c r="D15" s="438">
        <f>D6+D9+D8+D11</f>
        <v>7770590630</v>
      </c>
      <c r="E15" s="438">
        <f>E6+E9+E8+E11</f>
        <v>10605512295</v>
      </c>
      <c r="F15" s="439"/>
      <c r="G15" s="437" t="s">
        <v>974</v>
      </c>
      <c r="H15" s="441"/>
      <c r="I15" s="438">
        <f>I6+I8+I9+I10+I7</f>
        <v>9487367785</v>
      </c>
      <c r="J15" s="438">
        <f>J6+J8+J9+J10+J7</f>
        <v>12309704706</v>
      </c>
    </row>
    <row r="16" spans="1:11" ht="22.5" customHeight="1" x14ac:dyDescent="0.25">
      <c r="A16" s="429" t="s">
        <v>198</v>
      </c>
      <c r="B16" s="441" t="s">
        <v>975</v>
      </c>
      <c r="C16" s="101"/>
      <c r="D16" s="438">
        <f>D7+D10+D12</f>
        <v>60250077</v>
      </c>
      <c r="E16" s="438">
        <f>E7+E10+E12</f>
        <v>385285176</v>
      </c>
      <c r="F16" s="439"/>
      <c r="G16" s="437" t="s">
        <v>976</v>
      </c>
      <c r="H16" s="101"/>
      <c r="I16" s="438">
        <f>I11+I12+I13</f>
        <v>1774384830</v>
      </c>
      <c r="J16" s="438">
        <f>J11+J12+J13</f>
        <v>2753394244</v>
      </c>
    </row>
    <row r="17" spans="1:11" ht="22.5" customHeight="1" x14ac:dyDescent="0.25">
      <c r="A17" s="429" t="s">
        <v>225</v>
      </c>
      <c r="B17" s="101" t="s">
        <v>240</v>
      </c>
      <c r="C17" s="102" t="s">
        <v>218</v>
      </c>
      <c r="D17" s="442">
        <f>SUM(D18:D24)</f>
        <v>7880723998</v>
      </c>
      <c r="E17" s="442">
        <f>SUM(E18:E24)</f>
        <v>9047323731</v>
      </c>
      <c r="F17" s="439"/>
      <c r="G17" s="101" t="s">
        <v>221</v>
      </c>
      <c r="H17" s="101" t="s">
        <v>217</v>
      </c>
      <c r="I17" s="442">
        <f>SUM(I18:I24)</f>
        <v>4449812090</v>
      </c>
      <c r="J17" s="442">
        <f>SUM(J18:J24)</f>
        <v>4975022252</v>
      </c>
      <c r="K17" s="672" t="e">
        <f>+#REF!</f>
        <v>#REF!</v>
      </c>
    </row>
    <row r="18" spans="1:11" ht="22.5" customHeight="1" x14ac:dyDescent="0.25">
      <c r="A18" s="429" t="s">
        <v>226</v>
      </c>
      <c r="B18" s="443" t="s">
        <v>846</v>
      </c>
      <c r="C18" s="441"/>
      <c r="D18" s="438">
        <f>+'3. sz.Városi szintű összesen'!J40</f>
        <v>2456933339</v>
      </c>
      <c r="E18" s="438">
        <f>+'3. sz.Városi szintű összesen'!K40</f>
        <v>2777398881</v>
      </c>
      <c r="F18" s="439"/>
      <c r="G18" s="443" t="s">
        <v>978</v>
      </c>
      <c r="H18" s="437"/>
      <c r="I18" s="438">
        <f>+'3. sz.Városi szintű összesen'!J22</f>
        <v>72036518</v>
      </c>
      <c r="J18" s="438">
        <f>+'3. sz.Városi szintű összesen'!K22</f>
        <v>389979414</v>
      </c>
    </row>
    <row r="19" spans="1:11" ht="22.5" customHeight="1" x14ac:dyDescent="0.25">
      <c r="A19" s="429" t="s">
        <v>227</v>
      </c>
      <c r="B19" s="437" t="s">
        <v>847</v>
      </c>
      <c r="C19" s="441"/>
      <c r="D19" s="438">
        <f>+'3. sz.Városi szintű összesen'!J41</f>
        <v>1074197711</v>
      </c>
      <c r="E19" s="438">
        <f>+'3. sz.Városi szintű összesen'!K41</f>
        <v>1318037711</v>
      </c>
      <c r="F19" s="439"/>
      <c r="G19" s="437" t="s">
        <v>980</v>
      </c>
      <c r="H19" s="101"/>
      <c r="I19" s="438">
        <f>+'3. sz.Városi szintű összesen'!J23</f>
        <v>4291386848</v>
      </c>
      <c r="J19" s="438">
        <f>+'3. sz.Városi szintű összesen'!K23</f>
        <v>4479932615</v>
      </c>
    </row>
    <row r="20" spans="1:11" ht="22.5" customHeight="1" x14ac:dyDescent="0.25">
      <c r="A20" s="429" t="s">
        <v>228</v>
      </c>
      <c r="B20" s="437" t="s">
        <v>539</v>
      </c>
      <c r="C20" s="437"/>
      <c r="D20" s="438">
        <f>+'3. sz.Városi szintű összesen'!J42</f>
        <v>4291386848</v>
      </c>
      <c r="E20" s="438">
        <f>+'3. sz.Városi szintű összesen'!K42</f>
        <v>4479932615</v>
      </c>
      <c r="F20" s="439"/>
      <c r="G20" s="437" t="s">
        <v>981</v>
      </c>
      <c r="H20" s="444"/>
      <c r="I20" s="438">
        <f>+'3. sz.Városi szintű összesen'!J24</f>
        <v>58206100</v>
      </c>
      <c r="J20" s="438">
        <f>+'3. sz.Városi szintű összesen'!K24</f>
        <v>76927599</v>
      </c>
    </row>
    <row r="21" spans="1:11" ht="22.5" customHeight="1" x14ac:dyDescent="0.25">
      <c r="A21" s="429" t="s">
        <v>229</v>
      </c>
      <c r="B21" s="437" t="s">
        <v>540</v>
      </c>
      <c r="C21" s="437"/>
      <c r="D21" s="438">
        <f>+'3. sz.Városi szintű összesen'!J43</f>
        <v>58206100</v>
      </c>
      <c r="E21" s="438">
        <f>+'3. sz.Városi szintű összesen'!K43</f>
        <v>76927599</v>
      </c>
      <c r="F21" s="439"/>
      <c r="G21" s="437" t="s">
        <v>127</v>
      </c>
      <c r="H21" s="445"/>
      <c r="I21" s="438">
        <f>+'3. sz.Városi szintű összesen'!J25</f>
        <v>28182624</v>
      </c>
      <c r="J21" s="438">
        <f>+'3. sz.Városi szintű összesen'!K25</f>
        <v>28182624</v>
      </c>
    </row>
    <row r="22" spans="1:11" ht="22.5" customHeight="1" x14ac:dyDescent="0.25">
      <c r="A22" s="429" t="s">
        <v>230</v>
      </c>
      <c r="B22" s="443" t="s">
        <v>982</v>
      </c>
      <c r="C22" s="437"/>
      <c r="D22" s="438">
        <f>+'[3]3. sz.Városi szintű összesen'!G44</f>
        <v>0</v>
      </c>
      <c r="E22" s="438">
        <f>+'3. sz.Városi szintű összesen'!K44</f>
        <v>0</v>
      </c>
      <c r="F22" s="439"/>
      <c r="G22" s="443" t="s">
        <v>983</v>
      </c>
      <c r="H22" s="445"/>
      <c r="I22" s="438">
        <f>+'3. sz.Városi szintű összesen'!J26</f>
        <v>0</v>
      </c>
      <c r="J22" s="438">
        <f>+'3. sz.Városi szintű összesen'!K26</f>
        <v>0</v>
      </c>
    </row>
    <row r="23" spans="1:11" ht="22.5" customHeight="1" x14ac:dyDescent="0.25">
      <c r="A23" s="429" t="s">
        <v>231</v>
      </c>
      <c r="B23" s="443" t="s">
        <v>984</v>
      </c>
      <c r="C23" s="437"/>
      <c r="D23" s="438">
        <f>+'[3]3. sz.Városi szintű összesen'!G45</f>
        <v>0</v>
      </c>
      <c r="E23" s="438">
        <f>+'3. sz.Városi szintű összesen'!K45</f>
        <v>0</v>
      </c>
      <c r="F23" s="439"/>
      <c r="G23" s="101"/>
      <c r="H23" s="445"/>
      <c r="I23" s="438"/>
      <c r="J23" s="438"/>
    </row>
    <row r="24" spans="1:11" ht="22.5" customHeight="1" x14ac:dyDescent="0.25">
      <c r="A24" s="429" t="s">
        <v>232</v>
      </c>
      <c r="B24" s="443" t="s">
        <v>985</v>
      </c>
      <c r="C24" s="437"/>
      <c r="D24" s="438">
        <f>+'[3]3. sz.Városi szintű összesen'!G39</f>
        <v>0</v>
      </c>
      <c r="E24" s="438">
        <f>+'3. sz.Városi szintű összesen'!K39</f>
        <v>395026925</v>
      </c>
      <c r="F24" s="439"/>
      <c r="G24" s="101"/>
      <c r="H24" s="445"/>
      <c r="I24" s="438"/>
      <c r="J24" s="438"/>
    </row>
    <row r="25" spans="1:11" ht="31.5" x14ac:dyDescent="0.25">
      <c r="A25" s="429" t="s">
        <v>233</v>
      </c>
      <c r="B25" s="101" t="s">
        <v>113</v>
      </c>
      <c r="C25" s="437"/>
      <c r="D25" s="438">
        <f>+D6+D8+D9+D11+D18+D20+D23+D24</f>
        <v>14518910817</v>
      </c>
      <c r="E25" s="438">
        <f>+E6+E8+E9+E11+E18+E20+E23+E24</f>
        <v>18257870716</v>
      </c>
      <c r="F25" s="439"/>
      <c r="G25" s="101" t="s">
        <v>32</v>
      </c>
      <c r="H25" s="445"/>
      <c r="I25" s="438">
        <f>+I6+I7+I8+I9+I10+I18+I19+I22</f>
        <v>13850791151</v>
      </c>
      <c r="J25" s="438">
        <f>+J6+J7+J8+J9+J10+J18+J19+J22</f>
        <v>17179616735</v>
      </c>
    </row>
    <row r="26" spans="1:11" ht="31.5" x14ac:dyDescent="0.25">
      <c r="A26" s="429" t="s">
        <v>260</v>
      </c>
      <c r="B26" s="101" t="s">
        <v>114</v>
      </c>
      <c r="C26" s="437"/>
      <c r="D26" s="438">
        <f>+D7+D10+D12+D19+D21+D22</f>
        <v>1192653888</v>
      </c>
      <c r="E26" s="438">
        <f>+E7+E10+E12+E19+E21+E22</f>
        <v>1780250486</v>
      </c>
      <c r="F26" s="438"/>
      <c r="G26" s="101" t="s">
        <v>33</v>
      </c>
      <c r="H26" s="445"/>
      <c r="I26" s="438">
        <f>+I11+I12+I13+I20+I21</f>
        <v>1860773554</v>
      </c>
      <c r="J26" s="438">
        <f>+J11+J12+J13+J20+J21</f>
        <v>2858504467</v>
      </c>
    </row>
    <row r="27" spans="1:11" ht="23.25" customHeight="1" x14ac:dyDescent="0.25">
      <c r="A27" s="429" t="s">
        <v>261</v>
      </c>
      <c r="B27" s="446" t="s">
        <v>328</v>
      </c>
      <c r="C27" s="447" t="s">
        <v>859</v>
      </c>
      <c r="D27" s="448">
        <f>+D25+D26</f>
        <v>15711564705</v>
      </c>
      <c r="E27" s="448">
        <f>+E25+E26</f>
        <v>20038121202</v>
      </c>
      <c r="F27" s="449"/>
      <c r="G27" s="447" t="s">
        <v>327</v>
      </c>
      <c r="H27" s="447" t="s">
        <v>31</v>
      </c>
      <c r="I27" s="448">
        <f>SUM(I25:I26)</f>
        <v>15711564705</v>
      </c>
      <c r="J27" s="448">
        <f>SUM(J25:J26)</f>
        <v>20038121202</v>
      </c>
      <c r="K27" s="672" t="e">
        <f>+#REF!</f>
        <v>#REF!</v>
      </c>
    </row>
    <row r="29" spans="1:11" ht="20.25" customHeight="1" x14ac:dyDescent="0.25">
      <c r="B29" s="450"/>
      <c r="G29" s="451"/>
    </row>
    <row r="30" spans="1:11" ht="19.5" customHeight="1" x14ac:dyDescent="0.25">
      <c r="B30" s="1998" t="s">
        <v>987</v>
      </c>
      <c r="C30" s="1998"/>
      <c r="D30" s="453">
        <f>+D15</f>
        <v>7770590630</v>
      </c>
      <c r="E30" s="453">
        <f>+E15</f>
        <v>10605512295</v>
      </c>
      <c r="F30" s="452"/>
      <c r="G30" s="1998"/>
      <c r="H30" s="1998"/>
      <c r="I30" s="453"/>
    </row>
    <row r="31" spans="1:11" ht="19.5" customHeight="1" x14ac:dyDescent="0.25">
      <c r="B31" s="1998" t="s">
        <v>988</v>
      </c>
      <c r="C31" s="1998"/>
      <c r="D31" s="453">
        <f>+I15</f>
        <v>9487367785</v>
      </c>
      <c r="E31" s="453">
        <f>+J15</f>
        <v>12309704706</v>
      </c>
      <c r="F31" s="452"/>
      <c r="G31" s="1998"/>
      <c r="H31" s="1998"/>
      <c r="I31" s="453"/>
    </row>
    <row r="32" spans="1:11" ht="19.5" customHeight="1" x14ac:dyDescent="0.25">
      <c r="B32" s="1998" t="s">
        <v>989</v>
      </c>
      <c r="C32" s="1998"/>
      <c r="D32" s="454">
        <f>+D30-D31</f>
        <v>-1716777155</v>
      </c>
      <c r="E32" s="454">
        <f>+E30-E31</f>
        <v>-1704192411</v>
      </c>
      <c r="F32" s="452"/>
      <c r="G32" s="1998"/>
      <c r="H32" s="1998"/>
      <c r="I32" s="454"/>
    </row>
    <row r="33" spans="2:9" ht="15.75" x14ac:dyDescent="0.25">
      <c r="B33" s="452"/>
      <c r="C33" s="452"/>
      <c r="D33" s="455"/>
      <c r="E33" s="455"/>
      <c r="F33" s="452"/>
      <c r="G33" s="452"/>
      <c r="H33" s="452"/>
      <c r="I33" s="455"/>
    </row>
    <row r="34" spans="2:9" ht="20.25" customHeight="1" x14ac:dyDescent="0.25">
      <c r="B34" s="1998" t="s">
        <v>990</v>
      </c>
      <c r="C34" s="1998"/>
      <c r="D34" s="453">
        <f>+D16</f>
        <v>60250077</v>
      </c>
      <c r="E34" s="453">
        <f>+E16</f>
        <v>385285176</v>
      </c>
      <c r="F34" s="452"/>
      <c r="G34" s="1998"/>
      <c r="H34" s="1998"/>
      <c r="I34" s="453"/>
    </row>
    <row r="35" spans="2:9" ht="20.25" customHeight="1" x14ac:dyDescent="0.25">
      <c r="B35" s="1998" t="s">
        <v>991</v>
      </c>
      <c r="C35" s="1998"/>
      <c r="D35" s="453">
        <f>+I16</f>
        <v>1774384830</v>
      </c>
      <c r="E35" s="453">
        <f>+J16</f>
        <v>2753394244</v>
      </c>
      <c r="F35" s="452"/>
      <c r="G35" s="1998"/>
      <c r="H35" s="1998"/>
      <c r="I35" s="453"/>
    </row>
    <row r="36" spans="2:9" ht="20.25" customHeight="1" x14ac:dyDescent="0.25">
      <c r="B36" s="1998" t="s">
        <v>992</v>
      </c>
      <c r="C36" s="1998"/>
      <c r="D36" s="454">
        <f>+D34-D35</f>
        <v>-1714134753</v>
      </c>
      <c r="E36" s="454">
        <f>+E34-E35</f>
        <v>-2368109068</v>
      </c>
      <c r="F36" s="452"/>
      <c r="G36" s="1998"/>
      <c r="H36" s="1998"/>
      <c r="I36" s="454"/>
    </row>
    <row r="37" spans="2:9" ht="15.75" x14ac:dyDescent="0.25">
      <c r="B37" s="452"/>
      <c r="C37" s="452"/>
      <c r="D37" s="455"/>
      <c r="E37" s="455"/>
      <c r="F37" s="452"/>
      <c r="G37" s="452"/>
      <c r="H37" s="452"/>
      <c r="I37" s="455"/>
    </row>
    <row r="38" spans="2:9" ht="32.25" customHeight="1" x14ac:dyDescent="0.25">
      <c r="B38" s="1999" t="s">
        <v>993</v>
      </c>
      <c r="C38" s="1999"/>
      <c r="D38" s="458">
        <f>+D32+D36</f>
        <v>-3430911908</v>
      </c>
      <c r="E38" s="458">
        <f>+E32+E36</f>
        <v>-4072301479</v>
      </c>
      <c r="F38" s="457"/>
      <c r="G38" s="1999"/>
      <c r="H38" s="1999"/>
      <c r="I38" s="458"/>
    </row>
    <row r="39" spans="2:9" ht="39" customHeight="1" x14ac:dyDescent="0.25">
      <c r="B39" s="1999" t="s">
        <v>994</v>
      </c>
      <c r="C39" s="1999"/>
      <c r="D39" s="458">
        <f>+D17-I17</f>
        <v>3430911908</v>
      </c>
      <c r="E39" s="458">
        <f>+E17-J17</f>
        <v>4072301479</v>
      </c>
      <c r="F39" s="457"/>
      <c r="G39" s="1999"/>
      <c r="H39" s="1999"/>
      <c r="I39" s="458"/>
    </row>
    <row r="40" spans="2:9" ht="36" customHeight="1" x14ac:dyDescent="0.25">
      <c r="B40" s="1999" t="s">
        <v>1524</v>
      </c>
      <c r="C40" s="1999"/>
      <c r="D40" s="459">
        <f>+D38+D39</f>
        <v>0</v>
      </c>
      <c r="E40" s="459">
        <f>+E38+E39</f>
        <v>0</v>
      </c>
      <c r="F40" s="460"/>
      <c r="G40" s="1999"/>
      <c r="H40" s="1999"/>
      <c r="I40" s="459"/>
    </row>
    <row r="42" spans="2:9" x14ac:dyDescent="0.25">
      <c r="D42" s="456">
        <f>+D18+D19-I18-I21</f>
        <v>3430911908</v>
      </c>
      <c r="E42" s="456"/>
    </row>
  </sheetData>
  <mergeCells count="22">
    <mergeCell ref="B39:C39"/>
    <mergeCell ref="G39:H39"/>
    <mergeCell ref="B40:C40"/>
    <mergeCell ref="G40:H40"/>
    <mergeCell ref="B35:C35"/>
    <mergeCell ref="G35:H35"/>
    <mergeCell ref="B36:C36"/>
    <mergeCell ref="G36:H36"/>
    <mergeCell ref="B38:C38"/>
    <mergeCell ref="G38:H38"/>
    <mergeCell ref="B31:C31"/>
    <mergeCell ref="G31:H31"/>
    <mergeCell ref="B32:C32"/>
    <mergeCell ref="G32:H32"/>
    <mergeCell ref="B34:C34"/>
    <mergeCell ref="G34:H34"/>
    <mergeCell ref="G4:J4"/>
    <mergeCell ref="A1:J1"/>
    <mergeCell ref="A4:A5"/>
    <mergeCell ref="B30:C30"/>
    <mergeCell ref="G30:H30"/>
    <mergeCell ref="B4:E4"/>
  </mergeCells>
  <phoneticPr fontId="50" type="noConversion"/>
  <printOptions horizontalCentered="1" verticalCentered="1"/>
  <pageMargins left="0.70866141732283472" right="0.70866141732283472" top="0.55118110236220474" bottom="0.74803149606299213" header="0.31496062992125984" footer="0.31496062992125984"/>
  <pageSetup paperSize="9" scale="53" orientation="landscape" r:id="rId1"/>
  <headerFooter>
    <oddHeader>&amp;C2023. évi költségvetés&amp;R&amp;A</oddHeader>
    <oddFooter>&amp;C&amp;P/&amp;N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Y79"/>
  <sheetViews>
    <sheetView view="pageBreakPreview" topLeftCell="A40" zoomScale="90" zoomScaleNormal="100" zoomScaleSheetLayoutView="90" workbookViewId="0">
      <selection activeCell="H5" sqref="H5"/>
    </sheetView>
  </sheetViews>
  <sheetFormatPr defaultRowHeight="12.75" x14ac:dyDescent="0.2"/>
  <cols>
    <col min="1" max="1" width="10" customWidth="1"/>
    <col min="2" max="2" width="71.7109375" customWidth="1"/>
    <col min="3" max="3" width="10.42578125" customWidth="1"/>
    <col min="4" max="4" width="20.7109375" customWidth="1"/>
    <col min="5" max="6" width="20.28515625" style="916" customWidth="1"/>
    <col min="7" max="7" width="18" style="348" bestFit="1" customWidth="1"/>
    <col min="8" max="8" width="28" style="348" bestFit="1" customWidth="1"/>
    <col min="9" max="10" width="19.42578125" style="348" bestFit="1" customWidth="1"/>
    <col min="11" max="11" width="10.28515625" bestFit="1" customWidth="1"/>
    <col min="12" max="12" width="15.5703125" bestFit="1" customWidth="1"/>
    <col min="13" max="13" width="14.28515625" bestFit="1" customWidth="1"/>
    <col min="16" max="16" width="13.140625" bestFit="1" customWidth="1"/>
  </cols>
  <sheetData>
    <row r="1" spans="1:51" ht="12" customHeight="1" x14ac:dyDescent="0.2">
      <c r="A1" s="2000" t="s">
        <v>1533</v>
      </c>
      <c r="B1" s="2000"/>
      <c r="C1" s="2000"/>
      <c r="D1" s="2000"/>
      <c r="E1" s="2000"/>
      <c r="F1" s="2000"/>
      <c r="G1" s="2000"/>
      <c r="H1" s="2000"/>
      <c r="I1" s="2000"/>
      <c r="J1" s="2000"/>
    </row>
    <row r="2" spans="1:51" ht="23.25" customHeight="1" x14ac:dyDescent="0.2">
      <c r="A2" s="2001"/>
      <c r="B2" s="2001"/>
      <c r="C2" s="2001"/>
      <c r="D2" s="2001"/>
      <c r="E2" s="2001"/>
      <c r="F2" s="2001"/>
      <c r="G2" s="2001"/>
      <c r="H2" s="2001"/>
      <c r="I2" s="2001"/>
      <c r="J2" s="2001"/>
    </row>
    <row r="3" spans="1:51" s="129" customFormat="1" ht="45.75" customHeight="1" x14ac:dyDescent="0.25">
      <c r="A3" s="461" t="s">
        <v>53</v>
      </c>
      <c r="B3" s="461" t="s">
        <v>996</v>
      </c>
      <c r="C3" s="461" t="s">
        <v>997</v>
      </c>
      <c r="D3" s="461" t="s">
        <v>1534</v>
      </c>
      <c r="E3" s="462" t="s">
        <v>1535</v>
      </c>
      <c r="F3" s="462" t="s">
        <v>1725</v>
      </c>
      <c r="G3" s="462" t="s">
        <v>1536</v>
      </c>
      <c r="H3" s="462" t="s">
        <v>1025</v>
      </c>
      <c r="I3" s="462" t="s">
        <v>1103</v>
      </c>
      <c r="J3" s="462" t="s">
        <v>1104</v>
      </c>
      <c r="K3" s="12"/>
    </row>
    <row r="4" spans="1:51" ht="15" customHeight="1" x14ac:dyDescent="0.25">
      <c r="A4" s="463" t="s">
        <v>188</v>
      </c>
      <c r="B4" s="440" t="s">
        <v>329</v>
      </c>
      <c r="C4" s="464" t="s">
        <v>199</v>
      </c>
      <c r="D4" s="716">
        <v>2544712063</v>
      </c>
      <c r="E4" s="465">
        <f>+'3. sz.Városi szintű összesen'!J8</f>
        <v>2885384444</v>
      </c>
      <c r="F4" s="465">
        <f>+'3. sz.Városi szintű összesen'!K8</f>
        <v>3040832223</v>
      </c>
      <c r="G4" s="466">
        <f>E4/D4</f>
        <v>1.133874628078108</v>
      </c>
      <c r="H4" s="467">
        <f>E4*1.001</f>
        <v>2888269828.4439998</v>
      </c>
      <c r="I4" s="467">
        <f>+H4*1.005</f>
        <v>2902711177.5862193</v>
      </c>
      <c r="J4" s="467">
        <f>+I4*1.005</f>
        <v>2917224733.4741502</v>
      </c>
    </row>
    <row r="5" spans="1:51" ht="15.75" x14ac:dyDescent="0.25">
      <c r="A5" s="463" t="s">
        <v>189</v>
      </c>
      <c r="B5" s="437" t="s">
        <v>200</v>
      </c>
      <c r="C5" s="464" t="s">
        <v>201</v>
      </c>
      <c r="D5" s="716">
        <v>380347031</v>
      </c>
      <c r="E5" s="465">
        <f>+'3. sz.Városi szintű összesen'!J9</f>
        <v>424087076</v>
      </c>
      <c r="F5" s="465">
        <f>+'3. sz.Városi szintű összesen'!K9</f>
        <v>448268717</v>
      </c>
      <c r="G5" s="466">
        <f t="shared" ref="G5:G19" si="0">E5/D5</f>
        <v>1.1150003587118837</v>
      </c>
      <c r="H5" s="467">
        <f>E5*1.001</f>
        <v>424511163.07599998</v>
      </c>
      <c r="I5" s="467">
        <f>+H5*1.005</f>
        <v>426633718.89137995</v>
      </c>
      <c r="J5" s="467">
        <f>+I5*1.005</f>
        <v>428766887.4858368</v>
      </c>
    </row>
    <row r="6" spans="1:51" ht="15.75" x14ac:dyDescent="0.25">
      <c r="A6" s="463" t="s">
        <v>190</v>
      </c>
      <c r="B6" s="437" t="s">
        <v>330</v>
      </c>
      <c r="C6" s="464" t="s">
        <v>202</v>
      </c>
      <c r="D6" s="716">
        <v>3452661593</v>
      </c>
      <c r="E6" s="465">
        <f>+'3. sz.Városi szintű összesen'!J10</f>
        <v>3493049767</v>
      </c>
      <c r="F6" s="465">
        <f>+'3. sz.Városi szintű összesen'!K10</f>
        <v>4531015441</v>
      </c>
      <c r="G6" s="466">
        <f t="shared" si="0"/>
        <v>1.011697692609633</v>
      </c>
      <c r="H6" s="467">
        <f>E6*1.005</f>
        <v>3510515015.8349996</v>
      </c>
      <c r="I6" s="467">
        <v>3650000000</v>
      </c>
      <c r="J6" s="467">
        <f>+I6*1.005</f>
        <v>3668249999.9999995</v>
      </c>
    </row>
    <row r="7" spans="1:51" ht="15.75" x14ac:dyDescent="0.25">
      <c r="A7" s="463" t="s">
        <v>191</v>
      </c>
      <c r="B7" s="441" t="s">
        <v>331</v>
      </c>
      <c r="C7" s="464" t="s">
        <v>203</v>
      </c>
      <c r="D7" s="716">
        <v>44000000</v>
      </c>
      <c r="E7" s="465">
        <f>+'3. sz.Városi szintű összesen'!J11</f>
        <v>46000000</v>
      </c>
      <c r="F7" s="465">
        <f>+'3. sz.Városi szintű összesen'!K11</f>
        <v>46000000</v>
      </c>
      <c r="G7" s="466">
        <f t="shared" si="0"/>
        <v>1.0454545454545454</v>
      </c>
      <c r="H7" s="467">
        <v>50000000</v>
      </c>
      <c r="I7" s="467">
        <f>+H7</f>
        <v>50000000</v>
      </c>
      <c r="J7" s="467">
        <f>+I7</f>
        <v>50000000</v>
      </c>
    </row>
    <row r="8" spans="1:51" ht="15.75" x14ac:dyDescent="0.25">
      <c r="A8" s="463" t="s">
        <v>192</v>
      </c>
      <c r="B8" s="441" t="s">
        <v>234</v>
      </c>
      <c r="C8" s="464" t="s">
        <v>204</v>
      </c>
      <c r="D8" s="716">
        <v>2081276868</v>
      </c>
      <c r="E8" s="465">
        <f>+'3. sz.Városi szintű összesen'!J12</f>
        <v>2638846498</v>
      </c>
      <c r="F8" s="465">
        <f>+'3. sz.Városi szintű összesen'!K12</f>
        <v>4243588325</v>
      </c>
      <c r="G8" s="466">
        <f t="shared" si="0"/>
        <v>1.2678978652829576</v>
      </c>
      <c r="H8" s="467">
        <f>SUM(H9:H11)</f>
        <v>2706203400</v>
      </c>
      <c r="I8" s="467">
        <f>SUM(I9:I11)</f>
        <v>2805250000</v>
      </c>
      <c r="J8" s="467">
        <f>SUM(J9:J11)</f>
        <v>2862526250</v>
      </c>
    </row>
    <row r="9" spans="1:51" s="474" customFormat="1" ht="15.75" x14ac:dyDescent="0.25">
      <c r="A9" s="468"/>
      <c r="B9" s="469" t="s">
        <v>126</v>
      </c>
      <c r="C9" s="470"/>
      <c r="D9" s="717">
        <v>286106248</v>
      </c>
      <c r="E9" s="471">
        <f>+'3. sz.Városi szintű összesen'!J13</f>
        <v>356203400</v>
      </c>
      <c r="F9" s="471">
        <f>+'3. sz.Városi szintű összesen'!K13</f>
        <v>409989155</v>
      </c>
      <c r="G9" s="472">
        <f t="shared" si="0"/>
        <v>1.2450039189636992</v>
      </c>
      <c r="H9" s="473">
        <f>+E9</f>
        <v>356203400</v>
      </c>
      <c r="I9" s="473">
        <v>400000000</v>
      </c>
      <c r="J9" s="473">
        <f>I9*1.005</f>
        <v>401999999.99999994</v>
      </c>
    </row>
    <row r="10" spans="1:51" s="474" customFormat="1" ht="15.75" x14ac:dyDescent="0.25">
      <c r="A10" s="468"/>
      <c r="B10" s="469" t="s">
        <v>116</v>
      </c>
      <c r="C10" s="470"/>
      <c r="D10" s="717">
        <v>897149962</v>
      </c>
      <c r="E10" s="471">
        <f>+'3. sz.Városi szintű összesen'!J14</f>
        <v>1023175490</v>
      </c>
      <c r="F10" s="471">
        <f>+'3. sz.Városi szintű összesen'!K14</f>
        <v>2462142663</v>
      </c>
      <c r="G10" s="472">
        <f t="shared" si="0"/>
        <v>1.1404732021824462</v>
      </c>
      <c r="H10" s="473">
        <v>1050000000</v>
      </c>
      <c r="I10" s="473">
        <f>H10*1.005</f>
        <v>1055249999.9999999</v>
      </c>
      <c r="J10" s="473">
        <f>I10*1.005</f>
        <v>1060526249.9999998</v>
      </c>
    </row>
    <row r="11" spans="1:51" s="474" customFormat="1" ht="15.75" x14ac:dyDescent="0.25">
      <c r="A11" s="468"/>
      <c r="B11" s="469" t="s">
        <v>550</v>
      </c>
      <c r="C11" s="470"/>
      <c r="D11" s="717">
        <v>898020658</v>
      </c>
      <c r="E11" s="471">
        <f>+'3. sz.Városi szintű összesen'!J15</f>
        <v>1259467608</v>
      </c>
      <c r="F11" s="471">
        <f>+'3. sz.Városi szintű összesen'!K15</f>
        <v>1371456507</v>
      </c>
      <c r="G11" s="472">
        <f t="shared" si="0"/>
        <v>1.4024929123623791</v>
      </c>
      <c r="H11" s="473">
        <v>1300000000</v>
      </c>
      <c r="I11" s="473">
        <v>1350000000</v>
      </c>
      <c r="J11" s="473">
        <v>1400000000</v>
      </c>
    </row>
    <row r="12" spans="1:51" ht="15.75" x14ac:dyDescent="0.25">
      <c r="A12" s="463" t="s">
        <v>193</v>
      </c>
      <c r="B12" s="475" t="s">
        <v>241</v>
      </c>
      <c r="C12" s="464" t="s">
        <v>205</v>
      </c>
      <c r="D12" s="716">
        <v>1834448550</v>
      </c>
      <c r="E12" s="465">
        <f>+'3. sz.Városi szintű összesen'!J16</f>
        <v>1479496135</v>
      </c>
      <c r="F12" s="465">
        <f>+'3. sz.Városi szintű összesen'!K16</f>
        <v>2375780545</v>
      </c>
      <c r="G12" s="466">
        <f t="shared" si="0"/>
        <v>0.80650729343158734</v>
      </c>
      <c r="H12" s="467">
        <v>1500000000</v>
      </c>
      <c r="I12" s="467">
        <v>1500000000</v>
      </c>
      <c r="J12" s="467">
        <v>1550000000</v>
      </c>
    </row>
    <row r="13" spans="1:51" ht="15.75" x14ac:dyDescent="0.25">
      <c r="A13" s="463" t="s">
        <v>194</v>
      </c>
      <c r="B13" s="441" t="s">
        <v>332</v>
      </c>
      <c r="C13" s="464" t="s">
        <v>206</v>
      </c>
      <c r="D13" s="716">
        <v>227236267</v>
      </c>
      <c r="E13" s="465">
        <f>+'3. sz.Városi szintű összesen'!J17</f>
        <v>266068695</v>
      </c>
      <c r="F13" s="465">
        <f>+'3. sz.Városi szintű összesen'!K17</f>
        <v>334136454</v>
      </c>
      <c r="G13" s="466">
        <f t="shared" si="0"/>
        <v>1.1708900982781942</v>
      </c>
      <c r="H13" s="467">
        <f>100000000+88192700+57+148588458</f>
        <v>336781215</v>
      </c>
      <c r="I13" s="467">
        <f>250000000+10045007</f>
        <v>260045007</v>
      </c>
      <c r="J13" s="467">
        <v>325000000</v>
      </c>
      <c r="N13" s="2002"/>
      <c r="O13" s="2002"/>
      <c r="P13" s="2002"/>
      <c r="Q13" s="2002"/>
      <c r="R13" s="2002"/>
      <c r="S13" s="2002"/>
      <c r="T13" s="2002"/>
      <c r="U13" s="2002"/>
      <c r="V13" s="2002"/>
      <c r="W13" s="2002"/>
      <c r="X13" s="2002"/>
      <c r="Y13" s="2002"/>
      <c r="Z13" s="2002"/>
      <c r="AA13" s="2002"/>
      <c r="AB13" s="2002"/>
      <c r="AC13" s="2002"/>
      <c r="AD13" s="2002"/>
      <c r="AE13" s="2002"/>
      <c r="AF13" s="2002"/>
      <c r="AG13" s="2002"/>
      <c r="AH13" s="2002"/>
      <c r="AI13" s="2002"/>
      <c r="AJ13" s="2002"/>
      <c r="AK13" s="2002"/>
      <c r="AL13" s="2002"/>
      <c r="AM13" s="2002"/>
      <c r="AN13" s="2002"/>
      <c r="AO13" s="2002"/>
      <c r="AP13" s="2002"/>
      <c r="AQ13" s="2002"/>
      <c r="AR13" s="2002"/>
      <c r="AS13" s="2002"/>
      <c r="AT13" s="2002"/>
      <c r="AU13" s="2002"/>
      <c r="AV13" s="2002"/>
      <c r="AW13" s="2002"/>
      <c r="AX13" s="2002"/>
      <c r="AY13" s="2002"/>
    </row>
    <row r="14" spans="1:51" ht="15.75" x14ac:dyDescent="0.25">
      <c r="A14" s="463" t="s">
        <v>195</v>
      </c>
      <c r="B14" s="441" t="s">
        <v>1001</v>
      </c>
      <c r="C14" s="464" t="s">
        <v>207</v>
      </c>
      <c r="D14" s="716">
        <v>23820000</v>
      </c>
      <c r="E14" s="465">
        <f>+'3. sz.Városi szintű összesen'!J18</f>
        <v>28820000</v>
      </c>
      <c r="F14" s="465">
        <f>+'3. sz.Városi szintű összesen'!K18</f>
        <v>43477245</v>
      </c>
      <c r="G14" s="466">
        <f t="shared" si="0"/>
        <v>1.2099076406381193</v>
      </c>
      <c r="H14" s="467">
        <f>+H15</f>
        <v>30000000</v>
      </c>
      <c r="I14" s="467">
        <f>+I15</f>
        <v>35000000</v>
      </c>
      <c r="J14" s="467">
        <f>+J15</f>
        <v>40000000</v>
      </c>
      <c r="N14" s="2002"/>
      <c r="O14" s="2002"/>
      <c r="P14" s="2002"/>
      <c r="Q14" s="2002"/>
      <c r="R14" s="2002"/>
      <c r="S14" s="2002"/>
      <c r="T14" s="2002"/>
      <c r="U14" s="2002"/>
      <c r="V14" s="2002"/>
      <c r="W14" s="2002"/>
      <c r="X14" s="2002"/>
      <c r="Y14" s="2002"/>
      <c r="Z14" s="2002"/>
      <c r="AA14" s="2002"/>
      <c r="AB14" s="2002"/>
      <c r="AC14" s="2002"/>
      <c r="AD14" s="2002"/>
      <c r="AE14" s="2002"/>
      <c r="AF14" s="2002"/>
      <c r="AG14" s="2002"/>
      <c r="AH14" s="2002"/>
      <c r="AI14" s="2002"/>
      <c r="AJ14" s="2002"/>
      <c r="AK14" s="2002"/>
      <c r="AL14" s="2002"/>
      <c r="AM14" s="2002"/>
      <c r="AN14" s="2002"/>
      <c r="AO14" s="2002"/>
      <c r="AP14" s="2002"/>
      <c r="AQ14" s="2002"/>
      <c r="AR14" s="2002"/>
      <c r="AS14" s="2002"/>
      <c r="AT14" s="2002"/>
      <c r="AU14" s="2002"/>
      <c r="AV14" s="2002"/>
      <c r="AW14" s="2002"/>
      <c r="AX14" s="2002"/>
      <c r="AY14" s="2002"/>
    </row>
    <row r="15" spans="1:51" ht="15.75" x14ac:dyDescent="0.25">
      <c r="A15" s="463"/>
      <c r="B15" s="469" t="s">
        <v>125</v>
      </c>
      <c r="C15" s="464"/>
      <c r="D15" s="717">
        <v>23820000</v>
      </c>
      <c r="E15" s="471">
        <f>+'3. sz.Városi szintű összesen'!J19</f>
        <v>28820000</v>
      </c>
      <c r="F15" s="471">
        <f>+'3. sz.Városi szintű összesen'!K19</f>
        <v>43477245</v>
      </c>
      <c r="G15" s="466">
        <f t="shared" si="0"/>
        <v>1.2099076406381193</v>
      </c>
      <c r="H15" s="467">
        <v>30000000</v>
      </c>
      <c r="I15" s="467">
        <v>35000000</v>
      </c>
      <c r="J15" s="467">
        <v>40000000</v>
      </c>
      <c r="N15" s="2003"/>
      <c r="O15" s="2003"/>
      <c r="P15" s="2003"/>
      <c r="Q15" s="2003"/>
      <c r="R15" s="2003"/>
      <c r="S15" s="2003"/>
      <c r="T15" s="2003"/>
      <c r="U15" s="2003"/>
      <c r="V15" s="2003"/>
      <c r="W15" s="2003"/>
      <c r="X15" s="2003"/>
      <c r="Y15" s="2003"/>
      <c r="Z15" s="2003"/>
      <c r="AA15" s="2003"/>
      <c r="AB15" s="2003"/>
      <c r="AC15" s="2003"/>
      <c r="AD15" s="2003"/>
      <c r="AE15" s="2003"/>
      <c r="AF15" s="2003"/>
      <c r="AG15" s="2003"/>
      <c r="AH15" s="2003"/>
      <c r="AI15" s="2003"/>
      <c r="AJ15" s="2003"/>
      <c r="AK15" s="2003"/>
      <c r="AL15" s="2003"/>
      <c r="AM15" s="2003"/>
      <c r="AN15" s="2003"/>
      <c r="AO15" s="2003"/>
      <c r="AP15" s="2003"/>
      <c r="AQ15" s="2003"/>
      <c r="AR15" s="2003"/>
      <c r="AS15" s="2003"/>
      <c r="AT15" s="2003"/>
      <c r="AU15" s="476"/>
      <c r="AV15" s="476"/>
      <c r="AW15" s="476"/>
      <c r="AX15" s="476"/>
      <c r="AY15" s="889"/>
    </row>
    <row r="16" spans="1:51" s="129" customFormat="1" ht="15.75" x14ac:dyDescent="0.25">
      <c r="A16" s="463" t="s">
        <v>196</v>
      </c>
      <c r="B16" s="104" t="s">
        <v>236</v>
      </c>
      <c r="C16" s="1" t="s">
        <v>208</v>
      </c>
      <c r="D16" s="718">
        <f>+D4+D5+D6+D7+D12+D13+D14+D8</f>
        <v>10588502372</v>
      </c>
      <c r="E16" s="478">
        <f>+E4+E5+E6+E7+E12+E13+E14+E8</f>
        <v>11261752615</v>
      </c>
      <c r="F16" s="478">
        <f>+F4+F5+F6+F7+F12+F13+F14+F8</f>
        <v>15063098950</v>
      </c>
      <c r="G16" s="479">
        <f t="shared" si="0"/>
        <v>1.0635831413496519</v>
      </c>
      <c r="H16" s="480">
        <f>+H4+H5+H6+H7+H8+H12+H13+H14</f>
        <v>11446280622.355</v>
      </c>
      <c r="I16" s="480">
        <f>+I4+I5+I6+I7+I8+I12+I13+I14</f>
        <v>11629639903.4776</v>
      </c>
      <c r="J16" s="480">
        <f>+J4+J5+J6+J7+J8+J12+J13+J14</f>
        <v>11841767870.959988</v>
      </c>
    </row>
    <row r="17" spans="1:11" s="474" customFormat="1" ht="15.75" x14ac:dyDescent="0.25">
      <c r="A17" s="468"/>
      <c r="B17" s="481" t="s">
        <v>1002</v>
      </c>
      <c r="C17" s="470"/>
      <c r="D17" s="717">
        <f>+D4+D5+D6+D7+D8</f>
        <v>8502997555</v>
      </c>
      <c r="E17" s="471">
        <f>+E4+E5+E6+E8+E7</f>
        <v>9487367785</v>
      </c>
      <c r="F17" s="471">
        <f>+F4+F5+F6+F8+F7</f>
        <v>12309704706</v>
      </c>
      <c r="G17" s="472">
        <f t="shared" si="0"/>
        <v>1.115767436557848</v>
      </c>
      <c r="H17" s="473">
        <f>+H4+H5+H6+H7+H8</f>
        <v>9579499407.3549995</v>
      </c>
      <c r="I17" s="473">
        <f>+I4+I5+I6+I7+I8</f>
        <v>9834594896.4776001</v>
      </c>
      <c r="J17" s="473">
        <f>+J4+J5+J6+J7+J8</f>
        <v>9926767870.9599876</v>
      </c>
    </row>
    <row r="18" spans="1:11" s="474" customFormat="1" ht="15.75" x14ac:dyDescent="0.25">
      <c r="A18" s="468"/>
      <c r="B18" s="481" t="s">
        <v>1003</v>
      </c>
      <c r="C18" s="470"/>
      <c r="D18" s="717">
        <f>+D12+D13+D14</f>
        <v>2085504817</v>
      </c>
      <c r="E18" s="471">
        <f>+E12+E13+E14</f>
        <v>1774384830</v>
      </c>
      <c r="F18" s="471">
        <f>+F12+F13+F14</f>
        <v>2753394244</v>
      </c>
      <c r="G18" s="472">
        <f t="shared" si="0"/>
        <v>0.85081790055630446</v>
      </c>
      <c r="H18" s="473">
        <f>+H12+H13+H14</f>
        <v>1866781215</v>
      </c>
      <c r="I18" s="473">
        <f>+I12+I13+I14</f>
        <v>1795045007</v>
      </c>
      <c r="J18" s="473">
        <f>+J12+J13+J14</f>
        <v>1915000000</v>
      </c>
      <c r="K18" s="482"/>
    </row>
    <row r="19" spans="1:11" s="129" customFormat="1" ht="15.75" x14ac:dyDescent="0.25">
      <c r="A19" s="9" t="s">
        <v>197</v>
      </c>
      <c r="B19" s="104" t="s">
        <v>221</v>
      </c>
      <c r="C19" s="1" t="s">
        <v>217</v>
      </c>
      <c r="D19" s="718">
        <f>SUM(D20:D24)</f>
        <v>3667488103</v>
      </c>
      <c r="E19" s="483">
        <f>SUM(E20:E24)</f>
        <v>4449812090</v>
      </c>
      <c r="F19" s="483">
        <f>SUM(F20:F24)</f>
        <v>4975022252</v>
      </c>
      <c r="G19" s="479">
        <f t="shared" si="0"/>
        <v>1.2133132991924527</v>
      </c>
      <c r="H19" s="480">
        <f>SUM(H20:H23)</f>
        <v>4471920237.3299999</v>
      </c>
      <c r="I19" s="480">
        <f>SUM(I20:I23)</f>
        <v>4511380241.3036995</v>
      </c>
      <c r="J19" s="480">
        <f>SUM(J20:J23)</f>
        <v>4533796229.3902168</v>
      </c>
    </row>
    <row r="20" spans="1:11" s="474" customFormat="1" ht="15.75" x14ac:dyDescent="0.25">
      <c r="A20" s="468"/>
      <c r="B20" s="484" t="s">
        <v>978</v>
      </c>
      <c r="C20" s="470"/>
      <c r="D20" s="717">
        <v>63513436</v>
      </c>
      <c r="E20" s="471">
        <f>+'3. sz.Városi szintű összesen'!J22</f>
        <v>72036518</v>
      </c>
      <c r="F20" s="471">
        <f>+'3. sz.Városi szintű összesen'!K22</f>
        <v>389979414</v>
      </c>
      <c r="G20" s="472">
        <v>0</v>
      </c>
      <c r="H20" s="473">
        <f>E20*1.005</f>
        <v>72396700.589999989</v>
      </c>
      <c r="I20" s="473">
        <v>90000000</v>
      </c>
      <c r="J20" s="473">
        <f t="shared" ref="I20:J22" si="1">I20*1.005</f>
        <v>90449999.999999985</v>
      </c>
    </row>
    <row r="21" spans="1:11" s="474" customFormat="1" ht="15.75" x14ac:dyDescent="0.25">
      <c r="A21" s="468"/>
      <c r="B21" s="481" t="s">
        <v>1004</v>
      </c>
      <c r="C21" s="470"/>
      <c r="D21" s="717">
        <v>3513510223</v>
      </c>
      <c r="E21" s="471">
        <f>+'3. sz.Városi szintű összesen'!J23</f>
        <v>4291386848</v>
      </c>
      <c r="F21" s="471">
        <f>+'3. sz.Városi szintű összesen'!K23</f>
        <v>4479932615</v>
      </c>
      <c r="G21" s="472">
        <f>E21/D21</f>
        <v>1.2213958621517294</v>
      </c>
      <c r="H21" s="473">
        <f>E21*1.005</f>
        <v>4312843782.2399998</v>
      </c>
      <c r="I21" s="473">
        <f t="shared" si="1"/>
        <v>4334408001.1511993</v>
      </c>
      <c r="J21" s="473">
        <f t="shared" si="1"/>
        <v>4356080041.1569548</v>
      </c>
    </row>
    <row r="22" spans="1:11" s="474" customFormat="1" ht="15.75" x14ac:dyDescent="0.25">
      <c r="A22" s="468"/>
      <c r="B22" s="481" t="s">
        <v>1005</v>
      </c>
      <c r="C22" s="470"/>
      <c r="D22" s="717">
        <v>62281820</v>
      </c>
      <c r="E22" s="471">
        <f>+'3. sz.Városi szintű összesen'!J24</f>
        <v>58206100</v>
      </c>
      <c r="F22" s="471">
        <f>+'3. sz.Városi szintű összesen'!K24</f>
        <v>76927599</v>
      </c>
      <c r="G22" s="472">
        <f>E22/D22</f>
        <v>0.93456003694175926</v>
      </c>
      <c r="H22" s="473">
        <f>E22*1.005</f>
        <v>58497130.499999993</v>
      </c>
      <c r="I22" s="473">
        <f t="shared" si="1"/>
        <v>58789616.152499989</v>
      </c>
      <c r="J22" s="473">
        <f t="shared" si="1"/>
        <v>59083564.233262479</v>
      </c>
    </row>
    <row r="23" spans="1:11" s="474" customFormat="1" ht="15.75" x14ac:dyDescent="0.25">
      <c r="A23" s="468"/>
      <c r="B23" s="481" t="s">
        <v>1006</v>
      </c>
      <c r="C23" s="470"/>
      <c r="D23" s="717">
        <v>28182624</v>
      </c>
      <c r="E23" s="471">
        <f>+'3. sz.Városi szintű összesen'!J25</f>
        <v>28182624</v>
      </c>
      <c r="F23" s="471">
        <f>+'3. sz.Városi szintű összesen'!K25</f>
        <v>28182624</v>
      </c>
      <c r="G23" s="472">
        <f>E23/D23</f>
        <v>1</v>
      </c>
      <c r="H23" s="473">
        <v>28182624</v>
      </c>
      <c r="I23" s="473">
        <v>28182624</v>
      </c>
      <c r="J23" s="473">
        <v>28182624</v>
      </c>
    </row>
    <row r="24" spans="1:11" s="474" customFormat="1" ht="15.75" x14ac:dyDescent="0.25">
      <c r="A24" s="468"/>
      <c r="B24" s="481" t="s">
        <v>1007</v>
      </c>
      <c r="C24" s="470"/>
      <c r="D24" s="717">
        <v>0</v>
      </c>
      <c r="E24" s="471">
        <f>+'3. sz.Városi szintű összesen'!J26</f>
        <v>0</v>
      </c>
      <c r="F24" s="471">
        <f>+'3. sz.Városi szintű összesen'!K26</f>
        <v>0</v>
      </c>
      <c r="G24" s="472">
        <v>0</v>
      </c>
      <c r="H24" s="471">
        <v>0</v>
      </c>
      <c r="I24" s="471">
        <v>0</v>
      </c>
      <c r="J24" s="471">
        <v>0</v>
      </c>
    </row>
    <row r="25" spans="1:11" s="129" customFormat="1" ht="15.75" x14ac:dyDescent="0.25">
      <c r="A25" s="9" t="s">
        <v>198</v>
      </c>
      <c r="B25" s="55" t="s">
        <v>32</v>
      </c>
      <c r="C25" s="1"/>
      <c r="D25" s="718">
        <f>+D17+D21+D20+D24</f>
        <v>12080021214</v>
      </c>
      <c r="E25" s="483">
        <f>+E4+E5+E6+E7+E8+E20+E21+E24</f>
        <v>13850791151</v>
      </c>
      <c r="F25" s="483">
        <f>+F4+F5+F6+F7+F8+F20+F21+F24</f>
        <v>17179616735</v>
      </c>
      <c r="G25" s="479">
        <f t="shared" ref="G25:G42" si="2">E25/D25</f>
        <v>1.1465866578899535</v>
      </c>
      <c r="H25" s="480">
        <f>+H4+H5+H6+H7+H8+H21</f>
        <v>13892343189.594999</v>
      </c>
      <c r="I25" s="480">
        <f>+I4+I5+I6+I7+I8+I21</f>
        <v>14169002897.628799</v>
      </c>
      <c r="J25" s="480">
        <f>+J4+J5+J6+J7+J8+J21</f>
        <v>14282847912.116943</v>
      </c>
    </row>
    <row r="26" spans="1:11" s="129" customFormat="1" ht="15.75" x14ac:dyDescent="0.25">
      <c r="A26" s="9" t="s">
        <v>225</v>
      </c>
      <c r="B26" s="55" t="s">
        <v>33</v>
      </c>
      <c r="C26" s="1"/>
      <c r="D26" s="718">
        <f>+D18+D22+D23</f>
        <v>2175969261</v>
      </c>
      <c r="E26" s="483">
        <f>+E18+E22+E23</f>
        <v>1860773554</v>
      </c>
      <c r="F26" s="483">
        <f>+F18+F22+F23</f>
        <v>2858504467</v>
      </c>
      <c r="G26" s="479">
        <f t="shared" si="2"/>
        <v>0.85514698546102297</v>
      </c>
      <c r="H26" s="480">
        <f>+H12+H13+H14+H22+H23</f>
        <v>1953460969.5</v>
      </c>
      <c r="I26" s="480">
        <f>+I12+I13+I14+I22+I23</f>
        <v>1882017247.1524999</v>
      </c>
      <c r="J26" s="480">
        <f>+J12+J13+J14+J22+J23</f>
        <v>2002266188.2332625</v>
      </c>
    </row>
    <row r="27" spans="1:11" s="129" customFormat="1" ht="15.75" x14ac:dyDescent="0.25">
      <c r="A27" s="485" t="s">
        <v>226</v>
      </c>
      <c r="B27" s="486" t="s">
        <v>327</v>
      </c>
      <c r="C27" s="487" t="s">
        <v>31</v>
      </c>
      <c r="D27" s="488">
        <f>+D25+D26</f>
        <v>14255990475</v>
      </c>
      <c r="E27" s="488">
        <f>+E25+E26</f>
        <v>15711564705</v>
      </c>
      <c r="F27" s="488">
        <f>+F25+F26</f>
        <v>20038121202</v>
      </c>
      <c r="G27" s="720">
        <f t="shared" si="2"/>
        <v>1.1021026376632732</v>
      </c>
      <c r="H27" s="488">
        <f>+H25+H26</f>
        <v>15845804159.094999</v>
      </c>
      <c r="I27" s="488">
        <f>+I25+I26</f>
        <v>16051020144.7813</v>
      </c>
      <c r="J27" s="488">
        <f>+J25+J26</f>
        <v>16285114100.350206</v>
      </c>
    </row>
    <row r="28" spans="1:11" ht="15.75" x14ac:dyDescent="0.25">
      <c r="A28" s="463" t="s">
        <v>227</v>
      </c>
      <c r="B28" s="437" t="s">
        <v>52</v>
      </c>
      <c r="C28" s="475" t="s">
        <v>209</v>
      </c>
      <c r="D28" s="716">
        <v>1822145963</v>
      </c>
      <c r="E28" s="465">
        <f>+'3. sz.Városi szintű összesen'!J30</f>
        <v>2139264624</v>
      </c>
      <c r="F28" s="465">
        <f>+'3. sz.Városi szintű összesen'!K30</f>
        <v>2601160871</v>
      </c>
      <c r="G28" s="466">
        <f t="shared" si="2"/>
        <v>1.1740358168002594</v>
      </c>
      <c r="H28" s="467">
        <f>2150000000-817376</f>
        <v>2149182624</v>
      </c>
      <c r="I28" s="467">
        <v>2220000000</v>
      </c>
      <c r="J28" s="467">
        <v>2250000000</v>
      </c>
    </row>
    <row r="29" spans="1:11" ht="15.75" x14ac:dyDescent="0.25">
      <c r="A29" s="463" t="s">
        <v>228</v>
      </c>
      <c r="B29" s="437" t="s">
        <v>220</v>
      </c>
      <c r="C29" s="475" t="s">
        <v>210</v>
      </c>
      <c r="D29" s="716">
        <v>0</v>
      </c>
      <c r="E29" s="465">
        <f>+'3. sz.Városi szintű összesen'!J31</f>
        <v>0</v>
      </c>
      <c r="F29" s="465">
        <f>+'3. sz.Városi szintű összesen'!K31</f>
        <v>369680630</v>
      </c>
      <c r="G29" s="466">
        <v>0</v>
      </c>
      <c r="H29" s="467"/>
      <c r="I29" s="467">
        <v>0</v>
      </c>
      <c r="J29" s="467">
        <v>0</v>
      </c>
    </row>
    <row r="30" spans="1:11" ht="15.75" x14ac:dyDescent="0.25">
      <c r="A30" s="463" t="s">
        <v>229</v>
      </c>
      <c r="B30" s="437" t="s">
        <v>1008</v>
      </c>
      <c r="C30" s="475" t="s">
        <v>211</v>
      </c>
      <c r="D30" s="716">
        <v>3873339111</v>
      </c>
      <c r="E30" s="465">
        <f>+'3. sz.Városi szintű összesen'!J32</f>
        <v>4799627756</v>
      </c>
      <c r="F30" s="465">
        <f>+'3. sz.Városi szintű összesen'!K32</f>
        <v>6700253232</v>
      </c>
      <c r="G30" s="466">
        <f t="shared" si="2"/>
        <v>1.2391447323497724</v>
      </c>
      <c r="H30" s="467">
        <f>4900000000+2200000</f>
        <v>4902200000</v>
      </c>
      <c r="I30" s="467">
        <f>4950000000+60000000</f>
        <v>5010000000</v>
      </c>
      <c r="J30" s="467">
        <f>5170238246+609</f>
        <v>5170238855</v>
      </c>
    </row>
    <row r="31" spans="1:11" ht="15.75" x14ac:dyDescent="0.25">
      <c r="A31" s="463" t="s">
        <v>230</v>
      </c>
      <c r="B31" s="441" t="s">
        <v>0</v>
      </c>
      <c r="C31" s="475" t="s">
        <v>212</v>
      </c>
      <c r="D31" s="716">
        <v>737715821</v>
      </c>
      <c r="E31" s="465">
        <f>+'3. sz.Városi szintű összesen'!J33</f>
        <v>831698250</v>
      </c>
      <c r="F31" s="465">
        <f>+'3. sz.Városi szintű összesen'!K33</f>
        <v>1301505199</v>
      </c>
      <c r="G31" s="466">
        <f t="shared" si="2"/>
        <v>1.1273965208887664</v>
      </c>
      <c r="H31" s="467">
        <f>E31*1.005</f>
        <v>835856741.24999988</v>
      </c>
      <c r="I31" s="467">
        <v>799000000</v>
      </c>
      <c r="J31" s="467">
        <f>I31*1.005</f>
        <v>802994999.99999988</v>
      </c>
    </row>
    <row r="32" spans="1:11" ht="15.75" x14ac:dyDescent="0.25">
      <c r="A32" s="463" t="s">
        <v>231</v>
      </c>
      <c r="B32" s="437" t="s">
        <v>242</v>
      </c>
      <c r="C32" s="475" t="s">
        <v>213</v>
      </c>
      <c r="D32" s="716">
        <v>720079203</v>
      </c>
      <c r="E32" s="465">
        <f>+'3. sz.Városi szintű összesen'!J34</f>
        <v>51854877</v>
      </c>
      <c r="F32" s="465">
        <f>+'3. sz.Városi szintű összesen'!K34</f>
        <v>1860596</v>
      </c>
      <c r="G32" s="466">
        <f t="shared" si="2"/>
        <v>7.2012740798459082E-2</v>
      </c>
      <c r="H32" s="467">
        <v>30000000</v>
      </c>
      <c r="I32" s="467">
        <v>50000000</v>
      </c>
      <c r="J32" s="467">
        <v>50000000</v>
      </c>
    </row>
    <row r="33" spans="1:16" ht="15.75" x14ac:dyDescent="0.25">
      <c r="A33" s="463" t="s">
        <v>232</v>
      </c>
      <c r="B33" s="437" t="s">
        <v>237</v>
      </c>
      <c r="C33" s="475" t="s">
        <v>214</v>
      </c>
      <c r="D33" s="716">
        <v>0</v>
      </c>
      <c r="E33" s="465">
        <f>+'3. sz.Városi szintű összesen'!J35</f>
        <v>0</v>
      </c>
      <c r="F33" s="465">
        <f>+'3. sz.Városi szintű összesen'!K35</f>
        <v>2592993</v>
      </c>
      <c r="G33" s="466">
        <v>0</v>
      </c>
      <c r="H33" s="467">
        <v>0</v>
      </c>
      <c r="I33" s="467">
        <v>0</v>
      </c>
      <c r="J33" s="467">
        <v>0</v>
      </c>
    </row>
    <row r="34" spans="1:16" ht="15.75" x14ac:dyDescent="0.25">
      <c r="A34" s="463" t="s">
        <v>233</v>
      </c>
      <c r="B34" s="437" t="s">
        <v>1009</v>
      </c>
      <c r="C34" s="475" t="s">
        <v>215</v>
      </c>
      <c r="D34" s="716">
        <v>6587200</v>
      </c>
      <c r="E34" s="465">
        <f>+'3. sz.Városi szintű összesen'!J36</f>
        <v>8395200</v>
      </c>
      <c r="F34" s="465">
        <f>+'3. sz.Városi szintű összesen'!K36</f>
        <v>13743950</v>
      </c>
      <c r="G34" s="466">
        <f t="shared" si="2"/>
        <v>1.2744717026961379</v>
      </c>
      <c r="H34" s="467">
        <f t="shared" ref="H34:H43" si="3">E34*1.005</f>
        <v>8437176</v>
      </c>
      <c r="I34" s="467">
        <f>H34*1.005</f>
        <v>8479361.879999999</v>
      </c>
      <c r="J34" s="467">
        <f>I34*1.005</f>
        <v>8521758.6893999986</v>
      </c>
    </row>
    <row r="35" spans="1:16" s="129" customFormat="1" ht="15.75" x14ac:dyDescent="0.25">
      <c r="A35" s="9" t="s">
        <v>260</v>
      </c>
      <c r="B35" s="102" t="s">
        <v>239</v>
      </c>
      <c r="C35" s="104" t="s">
        <v>216</v>
      </c>
      <c r="D35" s="718">
        <f>SUM(D28:D34)</f>
        <v>7159867298</v>
      </c>
      <c r="E35" s="483">
        <f>SUM(E36:E37)</f>
        <v>7830840707</v>
      </c>
      <c r="F35" s="483">
        <f>SUM(F36:F37)</f>
        <v>10990797471</v>
      </c>
      <c r="G35" s="479">
        <f t="shared" si="2"/>
        <v>1.0937131068319417</v>
      </c>
      <c r="H35" s="480">
        <f>SUM(H28:H34)</f>
        <v>7925676541.25</v>
      </c>
      <c r="I35" s="480">
        <f>SUM(I28:I34)</f>
        <v>8087479361.8800001</v>
      </c>
      <c r="J35" s="480">
        <f>SUM(J28:J34)</f>
        <v>8281755613.6893997</v>
      </c>
    </row>
    <row r="36" spans="1:16" s="474" customFormat="1" ht="15.75" x14ac:dyDescent="0.25">
      <c r="A36" s="489"/>
      <c r="B36" s="469" t="s">
        <v>1010</v>
      </c>
      <c r="C36" s="481"/>
      <c r="D36" s="717">
        <f>+D28+D30+D31+D33</f>
        <v>6433200895</v>
      </c>
      <c r="E36" s="471">
        <f>+E28+E30+E31+E33</f>
        <v>7770590630</v>
      </c>
      <c r="F36" s="471">
        <f>+F28+F30+F31+F33</f>
        <v>10605512295</v>
      </c>
      <c r="G36" s="472">
        <f t="shared" si="2"/>
        <v>1.2078886944195142</v>
      </c>
      <c r="H36" s="473">
        <f>+H28+H30+H31+H33</f>
        <v>7887239365.25</v>
      </c>
      <c r="I36" s="473">
        <f>+I28+I30+I31+I33</f>
        <v>8029000000</v>
      </c>
      <c r="J36" s="473">
        <f>+J28+J30+J31+J33</f>
        <v>8223233855</v>
      </c>
    </row>
    <row r="37" spans="1:16" s="474" customFormat="1" ht="15.75" x14ac:dyDescent="0.25">
      <c r="A37" s="489"/>
      <c r="B37" s="469" t="s">
        <v>1011</v>
      </c>
      <c r="C37" s="481"/>
      <c r="D37" s="717">
        <f>+D29+D32+D34</f>
        <v>726666403</v>
      </c>
      <c r="E37" s="471">
        <f>+E29+E32+E34</f>
        <v>60250077</v>
      </c>
      <c r="F37" s="471">
        <f>+F29+F32+F34</f>
        <v>385285176</v>
      </c>
      <c r="G37" s="472">
        <f t="shared" si="2"/>
        <v>8.2912980084480392E-2</v>
      </c>
      <c r="H37" s="473">
        <f>+H29+H32+H34</f>
        <v>38437176</v>
      </c>
      <c r="I37" s="473">
        <f>+I29+I32+I34</f>
        <v>58479361.879999995</v>
      </c>
      <c r="J37" s="473">
        <f>+J29+J32+J34</f>
        <v>58521758.689400002</v>
      </c>
      <c r="K37" s="482"/>
      <c r="L37" s="482">
        <f>+H27-H48</f>
        <v>-0.14500045776367188</v>
      </c>
    </row>
    <row r="38" spans="1:16" s="129" customFormat="1" ht="15.75" x14ac:dyDescent="0.25">
      <c r="A38" s="9" t="s">
        <v>261</v>
      </c>
      <c r="B38" s="104" t="s">
        <v>240</v>
      </c>
      <c r="C38" s="1" t="s">
        <v>218</v>
      </c>
      <c r="D38" s="718">
        <f>SUM(D39:D45)</f>
        <v>7096123177</v>
      </c>
      <c r="E38" s="483">
        <f>SUM(E39:E45)</f>
        <v>7880723998</v>
      </c>
      <c r="F38" s="483">
        <f>SUM(F39:F45)</f>
        <v>9047323731</v>
      </c>
      <c r="G38" s="479">
        <f t="shared" si="2"/>
        <v>1.1105675312321315</v>
      </c>
      <c r="H38" s="480">
        <f>+H39+H40+H41+H42+H43</f>
        <v>7920127617.9899998</v>
      </c>
      <c r="I38" s="480">
        <f>+I39+I40+I41+I42+I43</f>
        <v>7963540783.0799484</v>
      </c>
      <c r="J38" s="480">
        <f>+J39+J40+J41+J42+J43</f>
        <v>8003358486.995347</v>
      </c>
      <c r="P38" s="490">
        <f>+H27-H48</f>
        <v>-0.14500045776367188</v>
      </c>
    </row>
    <row r="39" spans="1:16" s="474" customFormat="1" ht="15" customHeight="1" x14ac:dyDescent="0.25">
      <c r="A39" s="468"/>
      <c r="B39" s="481" t="s">
        <v>1537</v>
      </c>
      <c r="C39" s="470"/>
      <c r="D39" s="717">
        <v>2257836308</v>
      </c>
      <c r="E39" s="471">
        <f>+'3. sz.Városi szintű összesen'!J40</f>
        <v>2456933339</v>
      </c>
      <c r="F39" s="471">
        <f>+'3. sz.Városi szintű összesen'!K40</f>
        <v>2777398881</v>
      </c>
      <c r="G39" s="472">
        <f t="shared" si="2"/>
        <v>1.0881804541341444</v>
      </c>
      <c r="H39" s="473">
        <f t="shared" si="3"/>
        <v>2469218005.6949997</v>
      </c>
      <c r="I39" s="473">
        <f>H39*1.005</f>
        <v>2481564095.7234745</v>
      </c>
      <c r="J39" s="473">
        <f>I39*1.005</f>
        <v>2493971916.2020917</v>
      </c>
    </row>
    <row r="40" spans="1:16" s="474" customFormat="1" ht="15.75" x14ac:dyDescent="0.25">
      <c r="A40" s="468"/>
      <c r="B40" s="481" t="s">
        <v>1538</v>
      </c>
      <c r="C40" s="470"/>
      <c r="D40" s="717">
        <v>1262494826</v>
      </c>
      <c r="E40" s="471">
        <f>+'3. sz.Városi szintű összesen'!J41</f>
        <v>1074197711</v>
      </c>
      <c r="F40" s="471">
        <f>+'3. sz.Városi szintű összesen'!K41</f>
        <v>1318037711</v>
      </c>
      <c r="G40" s="472">
        <f t="shared" si="2"/>
        <v>0.85085315906078807</v>
      </c>
      <c r="H40" s="473">
        <f t="shared" si="3"/>
        <v>1079568699.5549998</v>
      </c>
      <c r="I40" s="473">
        <f>H40*1.005</f>
        <v>1084966543.0527747</v>
      </c>
      <c r="J40" s="473">
        <f>I40*1.005</f>
        <v>1090391375.7680385</v>
      </c>
    </row>
    <row r="41" spans="1:16" s="474" customFormat="1" ht="15.75" x14ac:dyDescent="0.25">
      <c r="A41" s="468"/>
      <c r="B41" s="481" t="s">
        <v>1014</v>
      </c>
      <c r="C41" s="470"/>
      <c r="D41" s="717">
        <v>3513510223</v>
      </c>
      <c r="E41" s="471">
        <f>+'3. sz.Városi szintű összesen'!J42</f>
        <v>4291386848</v>
      </c>
      <c r="F41" s="471">
        <f>+'3. sz.Városi szintű összesen'!K42</f>
        <v>4479932615</v>
      </c>
      <c r="G41" s="472">
        <f t="shared" si="2"/>
        <v>1.2213958621517294</v>
      </c>
      <c r="H41" s="473">
        <f t="shared" si="3"/>
        <v>4312843782.2399998</v>
      </c>
      <c r="I41" s="473">
        <f>H41*1.005+3812527</f>
        <v>4338220528.1511993</v>
      </c>
      <c r="J41" s="473">
        <f>I41*1.005</f>
        <v>4359911630.791955</v>
      </c>
    </row>
    <row r="42" spans="1:16" s="474" customFormat="1" ht="15.75" x14ac:dyDescent="0.25">
      <c r="A42" s="468"/>
      <c r="B42" s="481" t="s">
        <v>1015</v>
      </c>
      <c r="C42" s="470"/>
      <c r="D42" s="717">
        <v>62281820</v>
      </c>
      <c r="E42" s="471">
        <f>+'3. sz.Városi szintű összesen'!J43</f>
        <v>58206100</v>
      </c>
      <c r="F42" s="471">
        <f>+'3. sz.Városi szintű összesen'!K43</f>
        <v>76927599</v>
      </c>
      <c r="G42" s="472">
        <f t="shared" si="2"/>
        <v>0.93456003694175926</v>
      </c>
      <c r="H42" s="473">
        <f t="shared" si="3"/>
        <v>58497130.499999993</v>
      </c>
      <c r="I42" s="473">
        <f>H42*1.005</f>
        <v>58789616.152499989</v>
      </c>
      <c r="J42" s="473">
        <f>I42*1.005</f>
        <v>59083564.233262479</v>
      </c>
      <c r="M42" s="482">
        <f>+H27-H48</f>
        <v>-0.14500045776367188</v>
      </c>
    </row>
    <row r="43" spans="1:16" s="474" customFormat="1" ht="15.75" x14ac:dyDescent="0.25">
      <c r="A43" s="468"/>
      <c r="B43" s="481" t="s">
        <v>1016</v>
      </c>
      <c r="C43" s="470"/>
      <c r="D43" s="717">
        <v>0</v>
      </c>
      <c r="E43" s="471">
        <f>+'3. sz.Városi szintű összesen'!J44</f>
        <v>0</v>
      </c>
      <c r="F43" s="471">
        <f>+'3. sz.Városi szintű összesen'!K44</f>
        <v>0</v>
      </c>
      <c r="G43" s="472">
        <v>0</v>
      </c>
      <c r="H43" s="473">
        <f t="shared" si="3"/>
        <v>0</v>
      </c>
      <c r="I43" s="473">
        <f>H43*1.005</f>
        <v>0</v>
      </c>
      <c r="J43" s="473">
        <f>I43*1.005</f>
        <v>0</v>
      </c>
      <c r="L43" s="482">
        <f>+I27-I48</f>
        <v>-0.17864799499511719</v>
      </c>
    </row>
    <row r="44" spans="1:16" s="474" customFormat="1" ht="15.75" x14ac:dyDescent="0.25">
      <c r="A44" s="468"/>
      <c r="B44" s="481" t="s">
        <v>1017</v>
      </c>
      <c r="C44" s="470"/>
      <c r="D44" s="717">
        <v>0</v>
      </c>
      <c r="E44" s="471">
        <f>+'3. sz.Városi szintű összesen'!J45</f>
        <v>0</v>
      </c>
      <c r="F44" s="471">
        <f>+'3. sz.Városi szintű összesen'!K45</f>
        <v>0</v>
      </c>
      <c r="G44" s="472"/>
      <c r="H44" s="471">
        <v>0</v>
      </c>
      <c r="I44" s="471">
        <v>0</v>
      </c>
      <c r="J44" s="471">
        <v>0</v>
      </c>
      <c r="L44" s="482"/>
    </row>
    <row r="45" spans="1:16" s="474" customFormat="1" ht="15.75" x14ac:dyDescent="0.25">
      <c r="A45" s="468"/>
      <c r="B45" s="481" t="s">
        <v>1018</v>
      </c>
      <c r="C45" s="470"/>
      <c r="D45" s="717">
        <v>0</v>
      </c>
      <c r="E45" s="471">
        <f>+'3. sz.Városi szintű összesen'!J39</f>
        <v>0</v>
      </c>
      <c r="F45" s="471">
        <f>+'3. sz.Városi szintű összesen'!K39</f>
        <v>395026925</v>
      </c>
      <c r="G45" s="472"/>
      <c r="H45" s="471"/>
      <c r="I45" s="471"/>
      <c r="J45" s="471"/>
      <c r="L45" s="482"/>
    </row>
    <row r="46" spans="1:16" s="129" customFormat="1" ht="15.75" x14ac:dyDescent="0.25">
      <c r="A46" s="9" t="s">
        <v>262</v>
      </c>
      <c r="B46" s="55" t="s">
        <v>113</v>
      </c>
      <c r="C46" s="1"/>
      <c r="D46" s="718">
        <f>+D36+D39+D41+D44</f>
        <v>12204547426</v>
      </c>
      <c r="E46" s="483">
        <f>+E36+E39+E41+E44+E45</f>
        <v>14518910817</v>
      </c>
      <c r="F46" s="483">
        <f>+F36+F39+F41+F44+F45</f>
        <v>18257870716</v>
      </c>
      <c r="G46" s="479">
        <f>E46/D46</f>
        <v>1.1896312341799409</v>
      </c>
      <c r="H46" s="480">
        <f>+H28+H30+H31+H33+H39+H41</f>
        <v>14669301153.184999</v>
      </c>
      <c r="I46" s="480">
        <f>+I28+I30+I31+I33+I39+I41</f>
        <v>14848784623.874674</v>
      </c>
      <c r="J46" s="480">
        <f>+J28+J30+J31+J33+J39+J41</f>
        <v>15077117401.994045</v>
      </c>
    </row>
    <row r="47" spans="1:16" s="129" customFormat="1" ht="15.75" x14ac:dyDescent="0.25">
      <c r="A47" s="9" t="s">
        <v>263</v>
      </c>
      <c r="B47" s="55" t="s">
        <v>114</v>
      </c>
      <c r="C47" s="1"/>
      <c r="D47" s="718">
        <f>+D37+D40+D42+D43</f>
        <v>2051443049</v>
      </c>
      <c r="E47" s="483">
        <f>+E37+E40+E42</f>
        <v>1192653888</v>
      </c>
      <c r="F47" s="483">
        <f>+F37+F40+F42</f>
        <v>1780250486</v>
      </c>
      <c r="G47" s="479">
        <f>E47/D47</f>
        <v>0.58137314052241085</v>
      </c>
      <c r="H47" s="480">
        <f>+H29+H32+H34+H40+H42</f>
        <v>1176503006.0549998</v>
      </c>
      <c r="I47" s="480">
        <f>+I29+I32+I34+I40+I42</f>
        <v>1202235521.0852745</v>
      </c>
      <c r="J47" s="480">
        <f>+J29+J32+J34+J40+J42</f>
        <v>1207996698.690701</v>
      </c>
      <c r="M47" s="490">
        <f>+H27-H48</f>
        <v>-0.14500045776367188</v>
      </c>
    </row>
    <row r="48" spans="1:16" s="129" customFormat="1" ht="15.75" x14ac:dyDescent="0.25">
      <c r="A48" s="485" t="s">
        <v>264</v>
      </c>
      <c r="B48" s="486" t="s">
        <v>328</v>
      </c>
      <c r="C48" s="487" t="s">
        <v>859</v>
      </c>
      <c r="D48" s="488">
        <f>+D46+D47</f>
        <v>14255990475</v>
      </c>
      <c r="E48" s="488">
        <f>+E46+E47</f>
        <v>15711564705</v>
      </c>
      <c r="F48" s="488">
        <f>+F46+F47</f>
        <v>20038121202</v>
      </c>
      <c r="G48" s="720">
        <f>E48/D48</f>
        <v>1.1021026376632732</v>
      </c>
      <c r="H48" s="488">
        <f>+H46+H47</f>
        <v>15845804159.24</v>
      </c>
      <c r="I48" s="488">
        <f>+I46+I47</f>
        <v>16051020144.959948</v>
      </c>
      <c r="J48" s="488">
        <f>+J46+J47</f>
        <v>16285114100.684746</v>
      </c>
      <c r="L48" s="490">
        <f>+J27-J48</f>
        <v>-0.33453941345214844</v>
      </c>
    </row>
    <row r="49" spans="1:12" s="129" customFormat="1" ht="15.75" x14ac:dyDescent="0.25">
      <c r="A49" s="491"/>
      <c r="B49" s="452"/>
      <c r="C49" s="492"/>
      <c r="D49" s="493"/>
      <c r="E49" s="494"/>
      <c r="F49" s="494"/>
      <c r="G49" s="495"/>
      <c r="H49" s="494"/>
      <c r="I49" s="494"/>
      <c r="J49" s="494"/>
      <c r="L49" s="490"/>
    </row>
    <row r="50" spans="1:12" s="129" customFormat="1" ht="18.75" customHeight="1" x14ac:dyDescent="0.25">
      <c r="A50" s="491"/>
      <c r="B50" s="1998" t="s">
        <v>987</v>
      </c>
      <c r="C50" s="1998"/>
      <c r="D50" s="1998"/>
      <c r="E50" s="494">
        <f>E36</f>
        <v>7770590630</v>
      </c>
      <c r="F50" s="494">
        <f>F36</f>
        <v>10605512295</v>
      </c>
      <c r="G50" s="496"/>
      <c r="H50" s="494">
        <f>+H48-H27</f>
        <v>0.14500045776367188</v>
      </c>
      <c r="I50" s="494">
        <f>+I48-I27</f>
        <v>0.17864799499511719</v>
      </c>
      <c r="J50" s="494">
        <f>+J48-J27</f>
        <v>0.33453941345214844</v>
      </c>
      <c r="K50" s="494"/>
    </row>
    <row r="51" spans="1:12" s="129" customFormat="1" ht="18.75" customHeight="1" x14ac:dyDescent="0.25">
      <c r="A51" s="491"/>
      <c r="B51" s="1998" t="s">
        <v>988</v>
      </c>
      <c r="C51" s="1998"/>
      <c r="D51" s="1998"/>
      <c r="E51" s="494">
        <f>E17</f>
        <v>9487367785</v>
      </c>
      <c r="F51" s="494">
        <f>F17</f>
        <v>12309704706</v>
      </c>
      <c r="G51" s="496"/>
      <c r="H51" s="494"/>
      <c r="I51" s="494"/>
      <c r="J51" s="494"/>
      <c r="K51" s="490"/>
    </row>
    <row r="52" spans="1:12" s="129" customFormat="1" ht="18.75" customHeight="1" x14ac:dyDescent="0.25">
      <c r="A52" s="491"/>
      <c r="B52" s="1998" t="s">
        <v>989</v>
      </c>
      <c r="C52" s="1998"/>
      <c r="D52" s="1998"/>
      <c r="E52" s="494">
        <f>E50-E51</f>
        <v>-1716777155</v>
      </c>
      <c r="F52" s="494">
        <f>F50-F51</f>
        <v>-1704192411</v>
      </c>
      <c r="G52" s="496"/>
      <c r="H52" s="494"/>
      <c r="I52" s="494"/>
      <c r="J52" s="494"/>
    </row>
    <row r="53" spans="1:12" s="129" customFormat="1" ht="18.75" customHeight="1" x14ac:dyDescent="0.25">
      <c r="A53" s="491"/>
      <c r="B53" s="452"/>
      <c r="C53" s="452"/>
      <c r="D53" s="452"/>
      <c r="E53" s="494"/>
      <c r="F53" s="494"/>
      <c r="G53" s="496"/>
      <c r="H53" s="494"/>
      <c r="I53" s="494"/>
      <c r="J53" s="494"/>
      <c r="L53" s="490">
        <f>+I27-I48</f>
        <v>-0.17864799499511719</v>
      </c>
    </row>
    <row r="54" spans="1:12" s="129" customFormat="1" ht="18.75" customHeight="1" x14ac:dyDescent="0.25">
      <c r="A54" s="491"/>
      <c r="B54" s="1998" t="s">
        <v>990</v>
      </c>
      <c r="C54" s="1998"/>
      <c r="D54" s="1998"/>
      <c r="E54" s="494">
        <f>E37</f>
        <v>60250077</v>
      </c>
      <c r="F54" s="494">
        <f>F37</f>
        <v>385285176</v>
      </c>
      <c r="G54" s="496"/>
      <c r="H54" s="494"/>
      <c r="I54" s="494"/>
      <c r="J54" s="494"/>
    </row>
    <row r="55" spans="1:12" s="129" customFormat="1" ht="18.75" customHeight="1" x14ac:dyDescent="0.25">
      <c r="A55" s="491"/>
      <c r="B55" s="1998" t="s">
        <v>991</v>
      </c>
      <c r="C55" s="1998"/>
      <c r="D55" s="1998"/>
      <c r="E55" s="494">
        <f>E18</f>
        <v>1774384830</v>
      </c>
      <c r="F55" s="494">
        <f>F18</f>
        <v>2753394244</v>
      </c>
      <c r="G55" s="496"/>
      <c r="H55" s="494"/>
      <c r="I55" s="494"/>
      <c r="J55" s="494"/>
    </row>
    <row r="56" spans="1:12" s="129" customFormat="1" ht="18.75" customHeight="1" x14ac:dyDescent="0.25">
      <c r="A56" s="491"/>
      <c r="B56" s="1998" t="s">
        <v>992</v>
      </c>
      <c r="C56" s="1998"/>
      <c r="D56" s="1998"/>
      <c r="E56" s="494">
        <f>E54-E55</f>
        <v>-1714134753</v>
      </c>
      <c r="F56" s="494">
        <f>F54-F55</f>
        <v>-2368109068</v>
      </c>
      <c r="G56" s="496"/>
      <c r="H56" s="494"/>
      <c r="I56" s="494"/>
      <c r="J56" s="494"/>
      <c r="L56" s="490">
        <f>+H48-H27</f>
        <v>0.14500045776367188</v>
      </c>
    </row>
    <row r="57" spans="1:12" s="129" customFormat="1" ht="18.75" customHeight="1" x14ac:dyDescent="0.25">
      <c r="A57" s="491"/>
      <c r="B57" s="452"/>
      <c r="C57" s="452"/>
      <c r="D57" s="452"/>
      <c r="E57" s="494"/>
      <c r="F57" s="494"/>
      <c r="G57" s="496"/>
      <c r="H57" s="494"/>
      <c r="I57" s="494"/>
      <c r="J57" s="494"/>
    </row>
    <row r="58" spans="1:12" s="129" customFormat="1" ht="18.75" customHeight="1" x14ac:dyDescent="0.25">
      <c r="A58" s="491"/>
      <c r="B58" s="1998" t="s">
        <v>993</v>
      </c>
      <c r="C58" s="1998"/>
      <c r="D58" s="1998"/>
      <c r="E58" s="494">
        <f>E52+E56</f>
        <v>-3430911908</v>
      </c>
      <c r="F58" s="494">
        <f>F52+F56</f>
        <v>-4072301479</v>
      </c>
      <c r="G58" s="496"/>
      <c r="H58" s="494"/>
      <c r="I58" s="494"/>
      <c r="J58" s="494"/>
    </row>
    <row r="59" spans="1:12" s="129" customFormat="1" ht="18.75" customHeight="1" x14ac:dyDescent="0.25">
      <c r="A59" s="491"/>
      <c r="B59" s="1998" t="s">
        <v>994</v>
      </c>
      <c r="C59" s="1998"/>
      <c r="D59" s="1998"/>
      <c r="E59" s="494">
        <f>+E38-E19</f>
        <v>3430911908</v>
      </c>
      <c r="F59" s="494">
        <f>+F38-F19</f>
        <v>4072301479</v>
      </c>
      <c r="G59" s="496"/>
      <c r="H59" s="494"/>
      <c r="I59" s="494"/>
      <c r="J59" s="494"/>
    </row>
    <row r="60" spans="1:12" s="129" customFormat="1" ht="18.75" customHeight="1" x14ac:dyDescent="0.25">
      <c r="A60" s="491"/>
      <c r="B60" s="1998" t="s">
        <v>1524</v>
      </c>
      <c r="C60" s="1998"/>
      <c r="D60" s="1998"/>
      <c r="E60" s="494">
        <f>+E58+E59</f>
        <v>0</v>
      </c>
      <c r="F60" s="494">
        <f>+F58+F59</f>
        <v>0</v>
      </c>
      <c r="G60" s="496"/>
      <c r="H60" s="494"/>
      <c r="I60" s="494"/>
      <c r="J60" s="494"/>
    </row>
    <row r="62" spans="1:12" ht="15.75" customHeight="1" x14ac:dyDescent="0.25">
      <c r="A62" s="2005" t="s">
        <v>1019</v>
      </c>
      <c r="B62" s="2005"/>
      <c r="C62" s="719"/>
      <c r="D62" s="719"/>
      <c r="E62" s="913"/>
      <c r="F62" s="913"/>
      <c r="G62" s="719"/>
      <c r="H62" s="719"/>
      <c r="I62" s="719"/>
      <c r="J62" s="719"/>
    </row>
    <row r="63" spans="1:12" ht="50.25" customHeight="1" x14ac:dyDescent="0.25">
      <c r="A63" s="2004" t="s">
        <v>1545</v>
      </c>
      <c r="B63" s="2004"/>
      <c r="C63" s="2004"/>
      <c r="D63" s="2004"/>
      <c r="E63" s="2004"/>
      <c r="F63" s="2004"/>
      <c r="G63" s="2004"/>
      <c r="H63" s="2004"/>
      <c r="I63" s="2004"/>
      <c r="J63" s="2004"/>
    </row>
    <row r="64" spans="1:12" s="348" customFormat="1" ht="26.25" customHeight="1" x14ac:dyDescent="0.25">
      <c r="A64" s="2004" t="s">
        <v>1546</v>
      </c>
      <c r="B64" s="2004"/>
      <c r="C64" s="2004"/>
      <c r="D64" s="2004"/>
      <c r="E64" s="2004"/>
      <c r="F64" s="2004"/>
      <c r="G64" s="2004"/>
      <c r="H64" s="2004"/>
      <c r="I64" s="2004"/>
      <c r="J64" s="2004"/>
    </row>
    <row r="65" spans="1:10" s="348" customFormat="1" ht="26.25" customHeight="1" x14ac:dyDescent="0.25">
      <c r="A65" s="2004" t="s">
        <v>1547</v>
      </c>
      <c r="B65" s="2004"/>
      <c r="C65" s="2004"/>
      <c r="D65" s="2004"/>
      <c r="E65" s="2004"/>
      <c r="F65" s="2004"/>
      <c r="G65" s="2004"/>
      <c r="H65" s="2004"/>
      <c r="I65" s="2004"/>
      <c r="J65" s="2004"/>
    </row>
    <row r="66" spans="1:10" s="348" customFormat="1" ht="41.25" customHeight="1" x14ac:dyDescent="0.25">
      <c r="A66" s="2004" t="s">
        <v>1548</v>
      </c>
      <c r="B66" s="2004"/>
      <c r="C66" s="2004"/>
      <c r="D66" s="2004"/>
      <c r="E66" s="2004"/>
      <c r="F66" s="2004"/>
      <c r="G66" s="2004"/>
      <c r="H66" s="2004"/>
      <c r="I66" s="2004"/>
      <c r="J66" s="2004"/>
    </row>
    <row r="67" spans="1:10" ht="27" customHeight="1" x14ac:dyDescent="0.25">
      <c r="A67" s="2004"/>
      <c r="B67" s="2004"/>
      <c r="C67" s="2004"/>
      <c r="D67" s="2004"/>
      <c r="E67" s="2004"/>
      <c r="F67" s="2004"/>
      <c r="G67" s="2004"/>
      <c r="H67" s="2004"/>
      <c r="I67" s="2004"/>
      <c r="J67" s="2004"/>
    </row>
    <row r="68" spans="1:10" ht="15.75" customHeight="1" x14ac:dyDescent="0.25">
      <c r="A68" s="497"/>
      <c r="B68" s="497"/>
      <c r="C68" s="497"/>
      <c r="D68" s="497"/>
      <c r="E68" s="914"/>
      <c r="F68" s="914"/>
      <c r="G68" s="497"/>
      <c r="H68" s="497"/>
      <c r="I68" s="497"/>
      <c r="J68"/>
    </row>
    <row r="69" spans="1:10" ht="15.75" x14ac:dyDescent="0.25">
      <c r="A69" s="2004"/>
      <c r="B69" s="2004"/>
      <c r="C69" s="2004"/>
      <c r="D69" s="2004"/>
      <c r="E69" s="2004"/>
      <c r="F69" s="2004"/>
      <c r="G69" s="2004"/>
      <c r="H69" s="2004"/>
      <c r="I69" s="2004"/>
    </row>
    <row r="70" spans="1:10" ht="15.75" x14ac:dyDescent="0.25">
      <c r="A70" s="2004"/>
      <c r="B70" s="2004"/>
      <c r="C70" s="2004"/>
      <c r="D70" s="2004"/>
      <c r="E70" s="2004"/>
      <c r="F70" s="2004"/>
      <c r="G70" s="2004"/>
      <c r="H70" s="2004"/>
      <c r="I70" s="2004"/>
    </row>
    <row r="71" spans="1:10" ht="15.75" x14ac:dyDescent="0.25">
      <c r="A71" s="2004"/>
      <c r="B71" s="2004"/>
      <c r="C71" s="2004"/>
      <c r="D71" s="2004"/>
      <c r="E71" s="2004"/>
      <c r="F71" s="2004"/>
      <c r="G71" s="2004"/>
      <c r="H71" s="2004"/>
      <c r="I71" s="2004"/>
    </row>
    <row r="72" spans="1:10" ht="15.75" x14ac:dyDescent="0.25">
      <c r="A72" s="2004"/>
      <c r="B72" s="2004"/>
      <c r="C72" s="2004"/>
      <c r="D72" s="2004"/>
      <c r="E72" s="2004"/>
      <c r="F72" s="2004"/>
      <c r="G72" s="2004"/>
      <c r="H72" s="2004"/>
      <c r="I72" s="2004"/>
    </row>
    <row r="73" spans="1:10" ht="15.75" x14ac:dyDescent="0.25">
      <c r="A73" s="497"/>
      <c r="B73" s="497"/>
      <c r="C73" s="497"/>
      <c r="D73" s="497"/>
      <c r="E73" s="914"/>
      <c r="F73" s="914"/>
      <c r="G73" s="497"/>
      <c r="H73" s="498"/>
      <c r="I73" s="498"/>
    </row>
    <row r="74" spans="1:10" ht="15.75" x14ac:dyDescent="0.25">
      <c r="A74" s="2005"/>
      <c r="B74" s="2005"/>
      <c r="C74" s="2005"/>
      <c r="D74" s="2005"/>
      <c r="E74" s="2005"/>
      <c r="F74" s="2005"/>
      <c r="G74" s="2005"/>
      <c r="H74" s="2005"/>
      <c r="I74" s="2005"/>
      <c r="J74" s="2005"/>
    </row>
    <row r="75" spans="1:10" ht="15.75" x14ac:dyDescent="0.25">
      <c r="A75" s="2004"/>
      <c r="B75" s="2004"/>
      <c r="C75" s="2004"/>
      <c r="D75" s="2004"/>
      <c r="E75" s="2004"/>
      <c r="F75" s="2004"/>
      <c r="G75" s="2004"/>
      <c r="H75" s="2004"/>
      <c r="I75" s="2004"/>
      <c r="J75" s="2004"/>
    </row>
    <row r="76" spans="1:10" ht="15.75" x14ac:dyDescent="0.25">
      <c r="A76" s="2004"/>
      <c r="B76" s="2004"/>
      <c r="C76" s="2004"/>
      <c r="D76" s="2004"/>
      <c r="E76" s="2004"/>
      <c r="F76" s="2004"/>
      <c r="G76" s="2004"/>
      <c r="H76" s="2004"/>
      <c r="I76" s="2004"/>
      <c r="J76" s="2004"/>
    </row>
    <row r="77" spans="1:10" ht="34.5" customHeight="1" x14ac:dyDescent="0.25">
      <c r="A77" s="2004"/>
      <c r="B77" s="2004"/>
      <c r="C77" s="2004"/>
      <c r="D77" s="2004"/>
      <c r="E77" s="2004"/>
      <c r="F77" s="2004"/>
      <c r="G77" s="2004"/>
      <c r="H77" s="2004"/>
      <c r="I77" s="2004"/>
      <c r="J77" s="2004"/>
    </row>
    <row r="78" spans="1:10" ht="15.75" x14ac:dyDescent="0.25">
      <c r="A78" s="2004"/>
      <c r="B78" s="2004"/>
      <c r="C78" s="2004"/>
      <c r="D78" s="2004"/>
      <c r="E78" s="2004"/>
      <c r="F78" s="2004"/>
      <c r="G78" s="2004"/>
      <c r="H78" s="2004"/>
      <c r="I78" s="2004"/>
      <c r="J78" s="2004"/>
    </row>
    <row r="79" spans="1:10" ht="15.75" x14ac:dyDescent="0.25">
      <c r="A79" s="455"/>
      <c r="B79" s="455"/>
      <c r="C79" s="455"/>
      <c r="D79" s="455"/>
      <c r="E79" s="915"/>
      <c r="F79" s="915"/>
      <c r="G79" s="499"/>
      <c r="H79" s="499"/>
      <c r="I79" s="499"/>
      <c r="J79" s="499"/>
    </row>
  </sheetData>
  <mergeCells count="27">
    <mergeCell ref="A76:J76"/>
    <mergeCell ref="A77:J77"/>
    <mergeCell ref="A78:J78"/>
    <mergeCell ref="A69:I69"/>
    <mergeCell ref="A70:I70"/>
    <mergeCell ref="A71:I71"/>
    <mergeCell ref="A72:I72"/>
    <mergeCell ref="A74:J74"/>
    <mergeCell ref="A75:J75"/>
    <mergeCell ref="A67:J67"/>
    <mergeCell ref="B54:D54"/>
    <mergeCell ref="B55:D55"/>
    <mergeCell ref="B56:D56"/>
    <mergeCell ref="B58:D58"/>
    <mergeCell ref="B59:D59"/>
    <mergeCell ref="B60:D60"/>
    <mergeCell ref="A62:B62"/>
    <mergeCell ref="A63:J63"/>
    <mergeCell ref="A64:J64"/>
    <mergeCell ref="A65:J65"/>
    <mergeCell ref="A66:J66"/>
    <mergeCell ref="B52:D52"/>
    <mergeCell ref="A1:J2"/>
    <mergeCell ref="N13:AY14"/>
    <mergeCell ref="N15:AT15"/>
    <mergeCell ref="B50:D50"/>
    <mergeCell ref="B51:D51"/>
  </mergeCells>
  <printOptions horizontalCentered="1" verticalCentered="1"/>
  <pageMargins left="0.15748031496062992" right="0.23622047244094491" top="0.31496062992125984" bottom="0.31496062992125984" header="0.23622047244094491" footer="0.15748031496062992"/>
  <pageSetup paperSize="9" scale="53" orientation="landscape" r:id="rId1"/>
  <headerFooter>
    <oddHeader>&amp;C2023. évi költségvetés&amp;R&amp;A</oddHeader>
    <oddFooter>&amp;C&amp;P/&amp;N</oddFooter>
  </headerFooter>
  <rowBreaks count="1" manualBreakCount="1">
    <brk id="60"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X51"/>
  <sheetViews>
    <sheetView view="pageBreakPreview" zoomScale="80" zoomScaleNormal="71" zoomScaleSheetLayoutView="80" workbookViewId="0">
      <pane xSplit="3" ySplit="8" topLeftCell="U30" activePane="bottomRight" state="frozen"/>
      <selection pane="topRight" activeCell="D1" sqref="D1"/>
      <selection pane="bottomLeft" activeCell="A8" sqref="A8"/>
      <selection pane="bottomRight" activeCell="U35" sqref="U35"/>
    </sheetView>
  </sheetViews>
  <sheetFormatPr defaultRowHeight="12.75" x14ac:dyDescent="0.2"/>
  <cols>
    <col min="1" max="1" width="5.85546875" style="23" customWidth="1"/>
    <col min="2" max="2" width="64.85546875" style="23" customWidth="1"/>
    <col min="3" max="3" width="7.140625" style="145" customWidth="1"/>
    <col min="4" max="5" width="19.7109375" style="24" customWidth="1"/>
    <col min="6" max="7" width="21.85546875" style="24" customWidth="1"/>
    <col min="8" max="9" width="17.28515625" style="24" customWidth="1"/>
    <col min="10" max="11" width="17.42578125" style="24" customWidth="1"/>
    <col min="12" max="13" width="17.5703125" style="24" customWidth="1"/>
    <col min="14" max="15" width="15" style="24" customWidth="1"/>
    <col min="16" max="17" width="16.42578125" style="24" customWidth="1"/>
    <col min="18" max="19" width="17.42578125" style="24" customWidth="1"/>
    <col min="20" max="22" width="20.85546875" style="24" customWidth="1"/>
    <col min="23" max="23" width="22.28515625" style="23" customWidth="1"/>
    <col min="24" max="24" width="18.5703125" style="23" customWidth="1"/>
    <col min="25" max="25" width="10.5703125" style="23" bestFit="1" customWidth="1"/>
    <col min="26" max="16384" width="9.140625" style="23"/>
  </cols>
  <sheetData>
    <row r="1" spans="1:24" ht="15.75" x14ac:dyDescent="0.25">
      <c r="A1" s="195"/>
      <c r="B1" s="195"/>
      <c r="C1" s="196"/>
      <c r="D1" s="197"/>
      <c r="E1" s="197"/>
      <c r="F1" s="197"/>
      <c r="G1" s="198" t="s">
        <v>431</v>
      </c>
      <c r="H1" s="197"/>
      <c r="I1" s="197"/>
      <c r="K1" s="198" t="s">
        <v>431</v>
      </c>
      <c r="L1" s="198"/>
      <c r="M1" s="198"/>
      <c r="O1" s="198" t="s">
        <v>431</v>
      </c>
      <c r="P1" s="198"/>
      <c r="Q1" s="198"/>
      <c r="S1" s="198" t="s">
        <v>431</v>
      </c>
      <c r="T1" s="198"/>
      <c r="U1" s="198"/>
      <c r="W1" s="198" t="s">
        <v>431</v>
      </c>
    </row>
    <row r="2" spans="1:24" ht="34.5" customHeight="1" x14ac:dyDescent="0.2">
      <c r="A2" s="1739" t="s">
        <v>137</v>
      </c>
      <c r="B2" s="1740"/>
      <c r="C2" s="1741"/>
      <c r="D2" s="1745" t="s">
        <v>2747</v>
      </c>
      <c r="E2" s="1746"/>
      <c r="F2" s="1746"/>
      <c r="G2" s="1747"/>
      <c r="H2" s="1745" t="s">
        <v>3032</v>
      </c>
      <c r="I2" s="1746"/>
      <c r="J2" s="1746"/>
      <c r="K2" s="1747"/>
      <c r="L2" s="1745" t="s">
        <v>3032</v>
      </c>
      <c r="M2" s="1746"/>
      <c r="N2" s="1746"/>
      <c r="O2" s="1747"/>
      <c r="P2" s="1745" t="s">
        <v>3032</v>
      </c>
      <c r="Q2" s="1746"/>
      <c r="R2" s="1746"/>
      <c r="S2" s="1747"/>
      <c r="T2" s="1745" t="s">
        <v>3032</v>
      </c>
      <c r="U2" s="1746"/>
      <c r="V2" s="1746"/>
      <c r="W2" s="1747"/>
    </row>
    <row r="3" spans="1:24" ht="42.75" customHeight="1" x14ac:dyDescent="0.2">
      <c r="A3" s="1742"/>
      <c r="B3" s="1743"/>
      <c r="C3" s="1744"/>
      <c r="D3" s="1611" t="s">
        <v>273</v>
      </c>
      <c r="E3" s="1611" t="s">
        <v>1561</v>
      </c>
      <c r="F3" s="1611" t="s">
        <v>273</v>
      </c>
      <c r="G3" s="1611" t="s">
        <v>1561</v>
      </c>
      <c r="H3" s="1611" t="s">
        <v>273</v>
      </c>
      <c r="I3" s="1611" t="s">
        <v>1561</v>
      </c>
      <c r="J3" s="1611" t="s">
        <v>273</v>
      </c>
      <c r="K3" s="1611" t="s">
        <v>1561</v>
      </c>
      <c r="L3" s="1611" t="s">
        <v>273</v>
      </c>
      <c r="M3" s="1611" t="s">
        <v>1561</v>
      </c>
      <c r="N3" s="1611" t="s">
        <v>273</v>
      </c>
      <c r="O3" s="1611" t="s">
        <v>1561</v>
      </c>
      <c r="P3" s="1611" t="s">
        <v>273</v>
      </c>
      <c r="Q3" s="1611" t="s">
        <v>1561</v>
      </c>
      <c r="R3" s="1611" t="s">
        <v>273</v>
      </c>
      <c r="S3" s="1611" t="s">
        <v>1561</v>
      </c>
      <c r="T3" s="1611" t="s">
        <v>273</v>
      </c>
      <c r="U3" s="1611" t="s">
        <v>1561</v>
      </c>
      <c r="V3" s="1611" t="s">
        <v>273</v>
      </c>
      <c r="W3" s="1611" t="s">
        <v>1561</v>
      </c>
    </row>
    <row r="4" spans="1:24" ht="123" customHeight="1" x14ac:dyDescent="0.2">
      <c r="A4" s="1748" t="s">
        <v>186</v>
      </c>
      <c r="B4" s="1749" t="s">
        <v>244</v>
      </c>
      <c r="C4" s="1749"/>
      <c r="D4" s="1604" t="s">
        <v>496</v>
      </c>
      <c r="E4" s="1604" t="s">
        <v>496</v>
      </c>
      <c r="F4" s="199" t="s">
        <v>333</v>
      </c>
      <c r="G4" s="199" t="s">
        <v>333</v>
      </c>
      <c r="H4" s="199" t="s">
        <v>334</v>
      </c>
      <c r="I4" s="199" t="s">
        <v>334</v>
      </c>
      <c r="J4" s="199" t="s">
        <v>138</v>
      </c>
      <c r="K4" s="199" t="s">
        <v>138</v>
      </c>
      <c r="L4" s="70" t="s">
        <v>485</v>
      </c>
      <c r="M4" s="70" t="s">
        <v>485</v>
      </c>
      <c r="N4" s="199" t="s">
        <v>185</v>
      </c>
      <c r="O4" s="199" t="s">
        <v>185</v>
      </c>
      <c r="P4" s="199" t="s">
        <v>889</v>
      </c>
      <c r="Q4" s="199" t="s">
        <v>889</v>
      </c>
      <c r="R4" s="199" t="s">
        <v>1313</v>
      </c>
      <c r="S4" s="199" t="s">
        <v>1313</v>
      </c>
      <c r="T4" s="199" t="s">
        <v>333</v>
      </c>
      <c r="U4" s="199" t="s">
        <v>333</v>
      </c>
      <c r="V4" s="1750" t="s">
        <v>139</v>
      </c>
      <c r="W4" s="1750" t="s">
        <v>139</v>
      </c>
    </row>
    <row r="5" spans="1:24" ht="30.75" customHeight="1" x14ac:dyDescent="0.2">
      <c r="A5" s="1748"/>
      <c r="B5" s="1749" t="s">
        <v>11</v>
      </c>
      <c r="C5" s="1749"/>
      <c r="D5" s="1604" t="s">
        <v>222</v>
      </c>
      <c r="E5" s="1604" t="s">
        <v>222</v>
      </c>
      <c r="F5" s="199" t="s">
        <v>222</v>
      </c>
      <c r="G5" s="199" t="s">
        <v>222</v>
      </c>
      <c r="H5" s="199" t="s">
        <v>224</v>
      </c>
      <c r="I5" s="199" t="s">
        <v>224</v>
      </c>
      <c r="J5" s="199" t="s">
        <v>224</v>
      </c>
      <c r="K5" s="199" t="s">
        <v>224</v>
      </c>
      <c r="L5" s="1607" t="s">
        <v>222</v>
      </c>
      <c r="M5" s="1607" t="s">
        <v>222</v>
      </c>
      <c r="N5" s="199" t="s">
        <v>224</v>
      </c>
      <c r="O5" s="199" t="s">
        <v>224</v>
      </c>
      <c r="P5" s="199" t="s">
        <v>224</v>
      </c>
      <c r="Q5" s="199" t="s">
        <v>224</v>
      </c>
      <c r="R5" s="199" t="s">
        <v>224</v>
      </c>
      <c r="S5" s="199" t="s">
        <v>224</v>
      </c>
      <c r="T5" s="199" t="s">
        <v>222</v>
      </c>
      <c r="U5" s="199" t="s">
        <v>222</v>
      </c>
      <c r="V5" s="1750"/>
      <c r="W5" s="1750"/>
    </row>
    <row r="6" spans="1:24" ht="15.75" customHeight="1" x14ac:dyDescent="0.2">
      <c r="A6" s="1748"/>
      <c r="B6" s="1719" t="s">
        <v>713</v>
      </c>
      <c r="C6" s="1719"/>
      <c r="D6" s="1738" t="s">
        <v>402</v>
      </c>
      <c r="E6" s="1738" t="s">
        <v>402</v>
      </c>
      <c r="F6" s="1738" t="s">
        <v>403</v>
      </c>
      <c r="G6" s="1738" t="s">
        <v>403</v>
      </c>
      <c r="H6" s="1738" t="s">
        <v>404</v>
      </c>
      <c r="I6" s="1738" t="s">
        <v>404</v>
      </c>
      <c r="J6" s="1738" t="s">
        <v>405</v>
      </c>
      <c r="K6" s="1738" t="s">
        <v>405</v>
      </c>
      <c r="L6" s="1751" t="s">
        <v>835</v>
      </c>
      <c r="M6" s="1751" t="s">
        <v>835</v>
      </c>
      <c r="N6" s="1738" t="s">
        <v>406</v>
      </c>
      <c r="O6" s="1738" t="s">
        <v>406</v>
      </c>
      <c r="P6" s="1752" t="s">
        <v>890</v>
      </c>
      <c r="Q6" s="1752" t="s">
        <v>890</v>
      </c>
      <c r="R6" s="1752" t="s">
        <v>1322</v>
      </c>
      <c r="S6" s="1752" t="s">
        <v>1322</v>
      </c>
      <c r="T6" s="1751" t="s">
        <v>500</v>
      </c>
      <c r="U6" s="1751" t="s">
        <v>500</v>
      </c>
      <c r="V6" s="1750"/>
      <c r="W6" s="1750"/>
    </row>
    <row r="7" spans="1:24" ht="62.25" customHeight="1" x14ac:dyDescent="0.2">
      <c r="A7" s="1748"/>
      <c r="B7" s="1606" t="s">
        <v>187</v>
      </c>
      <c r="C7" s="144" t="s">
        <v>245</v>
      </c>
      <c r="D7" s="1738"/>
      <c r="E7" s="1738"/>
      <c r="F7" s="1738"/>
      <c r="G7" s="1738"/>
      <c r="H7" s="1738"/>
      <c r="I7" s="1738"/>
      <c r="J7" s="1738"/>
      <c r="K7" s="1738"/>
      <c r="L7" s="1751"/>
      <c r="M7" s="1751"/>
      <c r="N7" s="1738"/>
      <c r="O7" s="1738"/>
      <c r="P7" s="1753"/>
      <c r="Q7" s="1753"/>
      <c r="R7" s="1753"/>
      <c r="S7" s="1753"/>
      <c r="T7" s="1751"/>
      <c r="U7" s="1751"/>
      <c r="V7" s="1750"/>
      <c r="W7" s="1750"/>
    </row>
    <row r="8" spans="1:24" ht="15.75" x14ac:dyDescent="0.2">
      <c r="A8" s="27" t="s">
        <v>188</v>
      </c>
      <c r="B8" s="28" t="s">
        <v>189</v>
      </c>
      <c r="C8" s="28" t="s">
        <v>190</v>
      </c>
      <c r="D8" s="419" t="s">
        <v>191</v>
      </c>
      <c r="E8" s="419" t="s">
        <v>192</v>
      </c>
      <c r="F8" s="419" t="s">
        <v>193</v>
      </c>
      <c r="G8" s="419" t="s">
        <v>194</v>
      </c>
      <c r="H8" s="419" t="s">
        <v>195</v>
      </c>
      <c r="I8" s="419" t="s">
        <v>196</v>
      </c>
      <c r="J8" s="419" t="s">
        <v>197</v>
      </c>
      <c r="K8" s="419" t="s">
        <v>198</v>
      </c>
      <c r="L8" s="419" t="s">
        <v>225</v>
      </c>
      <c r="M8" s="419" t="s">
        <v>226</v>
      </c>
      <c r="N8" s="419" t="s">
        <v>227</v>
      </c>
      <c r="O8" s="419" t="s">
        <v>228</v>
      </c>
      <c r="P8" s="419" t="s">
        <v>229</v>
      </c>
      <c r="Q8" s="419" t="s">
        <v>230</v>
      </c>
      <c r="R8" s="419" t="s">
        <v>231</v>
      </c>
      <c r="S8" s="419" t="s">
        <v>232</v>
      </c>
      <c r="T8" s="419" t="s">
        <v>233</v>
      </c>
      <c r="U8" s="419" t="s">
        <v>260</v>
      </c>
      <c r="V8" s="419" t="s">
        <v>261</v>
      </c>
      <c r="W8" s="419" t="s">
        <v>262</v>
      </c>
    </row>
    <row r="9" spans="1:24" ht="21.75" customHeight="1" x14ac:dyDescent="0.25">
      <c r="A9" s="29" t="s">
        <v>188</v>
      </c>
      <c r="B9" s="26" t="s">
        <v>329</v>
      </c>
      <c r="C9" s="146" t="s">
        <v>199</v>
      </c>
      <c r="D9" s="201"/>
      <c r="E9" s="201"/>
      <c r="F9" s="201">
        <f>+(483421638)+134746</f>
        <v>483556384</v>
      </c>
      <c r="G9" s="201">
        <f>+F9-10500000+10500000+20750000-300000+300000-74560+74560-20250000+20250000-300000+300000+4000000-3008000+3008000-21278693-43743473+105500+216666+64700000-300000+300000</f>
        <v>508306384</v>
      </c>
      <c r="H9" s="201">
        <v>66123575</v>
      </c>
      <c r="I9" s="201">
        <f>+H9-4897-300000+300000-108185+9504+98681+3500000-76210+7344+68866-108640+8640+100000-3500000+3500000-7776+7776-5616+5616+700000-6048+6048-8640+8640-1999000-6601000+8600000-9072+9072</f>
        <v>70318678</v>
      </c>
      <c r="J9" s="201">
        <v>23012418</v>
      </c>
      <c r="K9" s="201">
        <f>+J9-61600+61600+1000000-1000000+1000000+200000-100000+100000-600000-1600000+2200000-600000+600000</f>
        <v>24212418</v>
      </c>
      <c r="L9" s="201">
        <v>101581700</v>
      </c>
      <c r="M9" s="201">
        <f>+L9-300000+300000-142712+134297+8415-732095+76284+655811+5500000+2000000-1232740+45540+1187200-988464+84204+4420+899840-5500000+5500000-1257398+75528+1181870-1165041+56808+1108233+1000000-912873+80064+832809-1781432+56052+1725380-100000+100000-2243727-10400000+11700000+943727-3558016+2700000+52416+805600-95740+95740</f>
        <v>110081700</v>
      </c>
      <c r="N9" s="201"/>
      <c r="O9" s="201"/>
      <c r="P9" s="201"/>
      <c r="Q9" s="201"/>
      <c r="R9" s="201"/>
      <c r="S9" s="201"/>
      <c r="T9" s="201"/>
      <c r="U9" s="201"/>
      <c r="V9" s="201">
        <f>D9+F9+H9+J9+N9+T9+L9+P9+R9</f>
        <v>674274077</v>
      </c>
      <c r="W9" s="201">
        <f>E9+G9+I9+K9+O9+U9+M9+Q9+S9</f>
        <v>712919180</v>
      </c>
      <c r="X9" s="94"/>
    </row>
    <row r="10" spans="1:24" ht="21.75" customHeight="1" x14ac:dyDescent="0.25">
      <c r="A10" s="29" t="s">
        <v>189</v>
      </c>
      <c r="B10" s="31" t="s">
        <v>200</v>
      </c>
      <c r="C10" s="146" t="s">
        <v>201</v>
      </c>
      <c r="D10" s="201"/>
      <c r="E10" s="201"/>
      <c r="F10" s="201">
        <f>66226480+5400000+300000+600000+700000+1580000</f>
        <v>74806480</v>
      </c>
      <c r="G10" s="201">
        <f>+F10+2697500+1120000</f>
        <v>78623980</v>
      </c>
      <c r="H10" s="201">
        <v>9403565</v>
      </c>
      <c r="I10" s="201">
        <f>+H10+455000+196000</f>
        <v>10054565</v>
      </c>
      <c r="J10" s="201">
        <v>3066614</v>
      </c>
      <c r="K10" s="201">
        <f>+J10+130000+56000</f>
        <v>3252614</v>
      </c>
      <c r="L10" s="201">
        <v>13853121</v>
      </c>
      <c r="M10" s="201">
        <f>+L10+975000+280000</f>
        <v>15108121</v>
      </c>
      <c r="N10" s="201"/>
      <c r="O10" s="201"/>
      <c r="P10" s="201"/>
      <c r="Q10" s="201"/>
      <c r="R10" s="201"/>
      <c r="S10" s="201"/>
      <c r="T10" s="201"/>
      <c r="U10" s="201"/>
      <c r="V10" s="201">
        <f t="shared" ref="V10:V51" si="0">D10+F10+H10+J10+N10+T10+L10+P10+R10</f>
        <v>101129780</v>
      </c>
      <c r="W10" s="201">
        <f t="shared" ref="W10:W51" si="1">E10+G10+I10+K10+O10+U10+M10+Q10+S10</f>
        <v>107039280</v>
      </c>
      <c r="X10" s="94"/>
    </row>
    <row r="11" spans="1:24" s="279" customFormat="1" ht="21.75" customHeight="1" x14ac:dyDescent="0.25">
      <c r="A11" s="276" t="s">
        <v>190</v>
      </c>
      <c r="B11" s="277" t="s">
        <v>330</v>
      </c>
      <c r="C11" s="278" t="s">
        <v>202</v>
      </c>
      <c r="D11" s="203"/>
      <c r="E11" s="203"/>
      <c r="F11" s="203">
        <f>+(148046320)+2891060+530316</f>
        <v>151467696</v>
      </c>
      <c r="G11" s="203">
        <f>+F11+986793+43364+429+278142+711053+191984+123126+55072+1560000+421200+1370000+369900+130417+35213+120000+200000+135000+700000+189000+414497+1352177+365088-1105305</f>
        <v>160114846</v>
      </c>
      <c r="H11" s="203">
        <f>+(31440690)+118378+410881</f>
        <v>31969949</v>
      </c>
      <c r="I11" s="203">
        <f>+H11+4897-1500000+1500000-1500000+1500000+200000+54000+350000+94500-800000+800000-1100000+500000+600000-100000</f>
        <v>32573346</v>
      </c>
      <c r="J11" s="203">
        <f>+(8801390)+35513+24510</f>
        <v>8861413</v>
      </c>
      <c r="K11" s="203">
        <f>+J11+2+1574803+425197+175000+47250-290000</f>
        <v>10793665</v>
      </c>
      <c r="L11" s="203">
        <f>+(29491230)+327380+96659</f>
        <v>29915269</v>
      </c>
      <c r="M11" s="203">
        <f>+L11+233250+16480+200000+800000-452968</f>
        <v>30712031</v>
      </c>
      <c r="N11" s="203"/>
      <c r="O11" s="203"/>
      <c r="P11" s="203">
        <v>5109250</v>
      </c>
      <c r="Q11" s="203">
        <f>+P11-5109250</f>
        <v>0</v>
      </c>
      <c r="R11" s="203"/>
      <c r="S11" s="203"/>
      <c r="T11" s="203">
        <v>2286000</v>
      </c>
      <c r="U11" s="203">
        <f>+T11+1000000+270000+2000000+540000-1098093-446437</f>
        <v>4551470</v>
      </c>
      <c r="V11" s="201">
        <f>D11+F11+H11+J11+N11+T11+L11+P11+R11</f>
        <v>229609577</v>
      </c>
      <c r="W11" s="201">
        <f t="shared" si="1"/>
        <v>238745358</v>
      </c>
      <c r="X11" s="280"/>
    </row>
    <row r="12" spans="1:24" ht="21.75" customHeight="1" x14ac:dyDescent="0.25">
      <c r="A12" s="29" t="s">
        <v>191</v>
      </c>
      <c r="B12" s="32" t="s">
        <v>331</v>
      </c>
      <c r="C12" s="146" t="s">
        <v>203</v>
      </c>
      <c r="D12" s="201"/>
      <c r="E12" s="201"/>
      <c r="F12" s="201"/>
      <c r="G12" s="201"/>
      <c r="H12" s="201"/>
      <c r="I12" s="201"/>
      <c r="J12" s="201"/>
      <c r="K12" s="201"/>
      <c r="L12" s="203"/>
      <c r="M12" s="203"/>
      <c r="N12" s="201"/>
      <c r="O12" s="201"/>
      <c r="P12" s="201"/>
      <c r="Q12" s="201"/>
      <c r="R12" s="201"/>
      <c r="S12" s="201"/>
      <c r="T12" s="201"/>
      <c r="U12" s="201"/>
      <c r="V12" s="201">
        <f>D12+F12+H12+J12+N12+T12+L12+P12+R12</f>
        <v>0</v>
      </c>
      <c r="W12" s="201">
        <f t="shared" si="1"/>
        <v>0</v>
      </c>
      <c r="X12" s="94"/>
    </row>
    <row r="13" spans="1:24" ht="21.75" customHeight="1" x14ac:dyDescent="0.25">
      <c r="A13" s="29" t="s">
        <v>192</v>
      </c>
      <c r="B13" s="32" t="s">
        <v>234</v>
      </c>
      <c r="C13" s="146" t="s">
        <v>204</v>
      </c>
      <c r="D13" s="201">
        <f>SUM(D14:D16)</f>
        <v>0</v>
      </c>
      <c r="E13" s="201">
        <f>SUM(E14:E16)</f>
        <v>18696181</v>
      </c>
      <c r="F13" s="201">
        <f t="shared" ref="F13:U13" si="2">SUM(F14:F16)</f>
        <v>0</v>
      </c>
      <c r="G13" s="201">
        <f t="shared" si="2"/>
        <v>0</v>
      </c>
      <c r="H13" s="201">
        <f t="shared" si="2"/>
        <v>0</v>
      </c>
      <c r="I13" s="201">
        <f t="shared" si="2"/>
        <v>0</v>
      </c>
      <c r="J13" s="201">
        <f t="shared" si="2"/>
        <v>0</v>
      </c>
      <c r="K13" s="201">
        <f t="shared" si="2"/>
        <v>0</v>
      </c>
      <c r="L13" s="203">
        <f t="shared" si="2"/>
        <v>0</v>
      </c>
      <c r="M13" s="203">
        <f t="shared" si="2"/>
        <v>0</v>
      </c>
      <c r="N13" s="201">
        <f t="shared" si="2"/>
        <v>0</v>
      </c>
      <c r="O13" s="201">
        <f t="shared" si="2"/>
        <v>0</v>
      </c>
      <c r="P13" s="201">
        <f t="shared" si="2"/>
        <v>0</v>
      </c>
      <c r="Q13" s="201">
        <f t="shared" si="2"/>
        <v>5109250</v>
      </c>
      <c r="R13" s="201">
        <f t="shared" si="2"/>
        <v>0</v>
      </c>
      <c r="S13" s="201">
        <f t="shared" si="2"/>
        <v>0</v>
      </c>
      <c r="T13" s="201">
        <f t="shared" si="2"/>
        <v>0</v>
      </c>
      <c r="U13" s="201">
        <f t="shared" si="2"/>
        <v>0</v>
      </c>
      <c r="V13" s="201">
        <f>D13+F13+H13+J13+N13+T13+L13+P13+R13</f>
        <v>0</v>
      </c>
      <c r="W13" s="201">
        <f>E13+G13+I13+K13+O13+U13+M13+Q13+S13</f>
        <v>23805431</v>
      </c>
    </row>
    <row r="14" spans="1:24" ht="21.75" customHeight="1" x14ac:dyDescent="0.25">
      <c r="A14" s="29" t="s">
        <v>193</v>
      </c>
      <c r="B14" s="33" t="s">
        <v>570</v>
      </c>
      <c r="C14" s="146"/>
      <c r="D14" s="201"/>
      <c r="E14" s="201"/>
      <c r="F14" s="201"/>
      <c r="G14" s="201"/>
      <c r="H14" s="201"/>
      <c r="I14" s="201"/>
      <c r="J14" s="201"/>
      <c r="K14" s="201"/>
      <c r="L14" s="203"/>
      <c r="M14" s="203"/>
      <c r="N14" s="201"/>
      <c r="O14" s="201"/>
      <c r="P14" s="201"/>
      <c r="Q14" s="201">
        <v>5109250</v>
      </c>
      <c r="R14" s="201"/>
      <c r="S14" s="201"/>
      <c r="T14" s="201"/>
      <c r="U14" s="201"/>
      <c r="V14" s="201">
        <f t="shared" si="0"/>
        <v>0</v>
      </c>
      <c r="W14" s="201">
        <f>E14+G14+I14+K14+O14+U14+M14+Q14+S14</f>
        <v>5109250</v>
      </c>
    </row>
    <row r="15" spans="1:24" ht="21.75" customHeight="1" x14ac:dyDescent="0.25">
      <c r="A15" s="29" t="s">
        <v>194</v>
      </c>
      <c r="B15" s="33" t="s">
        <v>572</v>
      </c>
      <c r="C15" s="147"/>
      <c r="D15" s="201"/>
      <c r="E15" s="201"/>
      <c r="F15" s="201"/>
      <c r="G15" s="201"/>
      <c r="H15" s="201"/>
      <c r="I15" s="201"/>
      <c r="J15" s="201"/>
      <c r="K15" s="201"/>
      <c r="L15" s="203"/>
      <c r="M15" s="203"/>
      <c r="N15" s="201"/>
      <c r="O15" s="201"/>
      <c r="P15" s="201"/>
      <c r="Q15" s="201"/>
      <c r="R15" s="201"/>
      <c r="S15" s="201"/>
      <c r="T15" s="201"/>
      <c r="U15" s="201"/>
      <c r="V15" s="201">
        <f t="shared" si="0"/>
        <v>0</v>
      </c>
      <c r="W15" s="201">
        <f t="shared" si="1"/>
        <v>0</v>
      </c>
    </row>
    <row r="16" spans="1:24" ht="21.75" customHeight="1" x14ac:dyDescent="0.25">
      <c r="A16" s="29" t="s">
        <v>195</v>
      </c>
      <c r="B16" s="103" t="s">
        <v>571</v>
      </c>
      <c r="C16" s="147"/>
      <c r="D16" s="201"/>
      <c r="E16" s="201">
        <v>18696181</v>
      </c>
      <c r="F16" s="201"/>
      <c r="G16" s="201"/>
      <c r="H16" s="201"/>
      <c r="I16" s="201"/>
      <c r="J16" s="201"/>
      <c r="K16" s="201"/>
      <c r="L16" s="203"/>
      <c r="M16" s="203"/>
      <c r="N16" s="201"/>
      <c r="O16" s="201"/>
      <c r="P16" s="201"/>
      <c r="Q16" s="201"/>
      <c r="R16" s="201"/>
      <c r="S16" s="201"/>
      <c r="T16" s="201"/>
      <c r="U16" s="201"/>
      <c r="V16" s="201">
        <f t="shared" si="0"/>
        <v>0</v>
      </c>
      <c r="W16" s="201">
        <f t="shared" si="1"/>
        <v>18696181</v>
      </c>
    </row>
    <row r="17" spans="1:23" ht="21.75" customHeight="1" x14ac:dyDescent="0.25">
      <c r="A17" s="29" t="s">
        <v>196</v>
      </c>
      <c r="B17" s="35" t="s">
        <v>241</v>
      </c>
      <c r="C17" s="146" t="s">
        <v>205</v>
      </c>
      <c r="D17" s="201"/>
      <c r="E17" s="201"/>
      <c r="F17" s="201">
        <f>+'6.sz. Beruházások'!D143</f>
        <v>35028632</v>
      </c>
      <c r="G17" s="201">
        <f>+F17+7874+2126-2000000</f>
        <v>33038632</v>
      </c>
      <c r="H17" s="201">
        <f>+'6.sz. Beruházások'!D144</f>
        <v>5969000</v>
      </c>
      <c r="I17" s="201">
        <f>+H17-1570260+1570260</f>
        <v>5969000</v>
      </c>
      <c r="J17" s="201">
        <f>+'6.sz. Beruházások'!D145</f>
        <v>7785100</v>
      </c>
      <c r="K17" s="201">
        <f>+J17</f>
        <v>7785100</v>
      </c>
      <c r="L17" s="203">
        <f>+'6.sz. Beruházások'!D146</f>
        <v>6731000</v>
      </c>
      <c r="M17" s="203">
        <f>+L17+5511811+1488189</f>
        <v>13731000</v>
      </c>
      <c r="N17" s="201"/>
      <c r="O17" s="201"/>
      <c r="P17" s="201"/>
      <c r="Q17" s="201"/>
      <c r="R17" s="201"/>
      <c r="S17" s="201"/>
      <c r="T17" s="201"/>
      <c r="U17" s="201"/>
      <c r="V17" s="201">
        <f t="shared" si="0"/>
        <v>55513732</v>
      </c>
      <c r="W17" s="201">
        <f t="shared" si="1"/>
        <v>60523732</v>
      </c>
    </row>
    <row r="18" spans="1:23" ht="21.75" customHeight="1" x14ac:dyDescent="0.25">
      <c r="A18" s="29" t="s">
        <v>197</v>
      </c>
      <c r="B18" s="32" t="s">
        <v>332</v>
      </c>
      <c r="C18" s="146" t="s">
        <v>206</v>
      </c>
      <c r="D18" s="201"/>
      <c r="E18" s="201"/>
      <c r="F18" s="201"/>
      <c r="G18" s="201"/>
      <c r="H18" s="201"/>
      <c r="I18" s="201"/>
      <c r="J18" s="201"/>
      <c r="K18" s="201"/>
      <c r="L18" s="203"/>
      <c r="M18" s="203"/>
      <c r="N18" s="201"/>
      <c r="O18" s="201"/>
      <c r="P18" s="201"/>
      <c r="Q18" s="201"/>
      <c r="R18" s="201"/>
      <c r="S18" s="201"/>
      <c r="T18" s="201"/>
      <c r="U18" s="201"/>
      <c r="V18" s="201">
        <f t="shared" si="0"/>
        <v>0</v>
      </c>
      <c r="W18" s="201">
        <f t="shared" si="1"/>
        <v>0</v>
      </c>
    </row>
    <row r="19" spans="1:23" ht="21.75" customHeight="1" x14ac:dyDescent="0.25">
      <c r="A19" s="29" t="s">
        <v>198</v>
      </c>
      <c r="B19" s="32" t="s">
        <v>235</v>
      </c>
      <c r="C19" s="146" t="s">
        <v>207</v>
      </c>
      <c r="D19" s="201">
        <f>D20</f>
        <v>0</v>
      </c>
      <c r="E19" s="201">
        <f>E20</f>
        <v>0</v>
      </c>
      <c r="F19" s="201">
        <f>F20</f>
        <v>10000000</v>
      </c>
      <c r="G19" s="201">
        <f>G20</f>
        <v>14000000</v>
      </c>
      <c r="H19" s="201">
        <f t="shared" ref="H19:U19" si="3">H20</f>
        <v>0</v>
      </c>
      <c r="I19" s="201">
        <f t="shared" si="3"/>
        <v>0</v>
      </c>
      <c r="J19" s="201">
        <f t="shared" si="3"/>
        <v>0</v>
      </c>
      <c r="K19" s="201">
        <f t="shared" si="3"/>
        <v>0</v>
      </c>
      <c r="L19" s="201">
        <f t="shared" si="3"/>
        <v>0</v>
      </c>
      <c r="M19" s="201">
        <f t="shared" si="3"/>
        <v>0</v>
      </c>
      <c r="N19" s="201">
        <f t="shared" si="3"/>
        <v>0</v>
      </c>
      <c r="O19" s="201">
        <f t="shared" si="3"/>
        <v>0</v>
      </c>
      <c r="P19" s="201">
        <f t="shared" si="3"/>
        <v>0</v>
      </c>
      <c r="Q19" s="201">
        <f t="shared" si="3"/>
        <v>0</v>
      </c>
      <c r="R19" s="201">
        <f t="shared" si="3"/>
        <v>0</v>
      </c>
      <c r="S19" s="201">
        <f t="shared" si="3"/>
        <v>0</v>
      </c>
      <c r="T19" s="201">
        <f t="shared" si="3"/>
        <v>0</v>
      </c>
      <c r="U19" s="201">
        <f t="shared" si="3"/>
        <v>0</v>
      </c>
      <c r="V19" s="201">
        <f t="shared" si="0"/>
        <v>10000000</v>
      </c>
      <c r="W19" s="201">
        <f t="shared" si="1"/>
        <v>14000000</v>
      </c>
    </row>
    <row r="20" spans="1:23" ht="21.75" customHeight="1" x14ac:dyDescent="0.25">
      <c r="A20" s="29" t="s">
        <v>225</v>
      </c>
      <c r="B20" s="33" t="s">
        <v>573</v>
      </c>
      <c r="C20" s="146"/>
      <c r="D20" s="201"/>
      <c r="E20" s="201"/>
      <c r="F20" s="201">
        <f>+'4.sz.Felhalm.c.pe.átadás'!G21</f>
        <v>10000000</v>
      </c>
      <c r="G20" s="201">
        <f>+F20+8400+268400+1169500+553700+2000000</f>
        <v>14000000</v>
      </c>
      <c r="H20" s="201"/>
      <c r="I20" s="201"/>
      <c r="J20" s="201"/>
      <c r="K20" s="201"/>
      <c r="L20" s="201"/>
      <c r="M20" s="201"/>
      <c r="N20" s="201"/>
      <c r="O20" s="201"/>
      <c r="P20" s="201"/>
      <c r="Q20" s="201"/>
      <c r="R20" s="201"/>
      <c r="S20" s="201"/>
      <c r="T20" s="201"/>
      <c r="U20" s="201"/>
      <c r="V20" s="201">
        <f t="shared" si="0"/>
        <v>10000000</v>
      </c>
      <c r="W20" s="201">
        <f t="shared" si="1"/>
        <v>14000000</v>
      </c>
    </row>
    <row r="21" spans="1:23" s="39" customFormat="1" ht="21.75" customHeight="1" x14ac:dyDescent="0.25">
      <c r="A21" s="29" t="s">
        <v>226</v>
      </c>
      <c r="B21" s="35" t="s">
        <v>236</v>
      </c>
      <c r="C21" s="146" t="s">
        <v>208</v>
      </c>
      <c r="D21" s="202">
        <f>+D9+D10+D11+D12+D13+D17+D18+D19</f>
        <v>0</v>
      </c>
      <c r="E21" s="202">
        <f>+E9+E10+E11+E12+E13+E17+E18+E19</f>
        <v>18696181</v>
      </c>
      <c r="F21" s="202">
        <f t="shared" ref="F21:T21" si="4">+F9+F10+F11+F12+F13+F17+F18+F19</f>
        <v>754859192</v>
      </c>
      <c r="G21" s="202">
        <f t="shared" si="4"/>
        <v>794083842</v>
      </c>
      <c r="H21" s="202">
        <f t="shared" si="4"/>
        <v>113466089</v>
      </c>
      <c r="I21" s="202">
        <f>+I9+I10+I11+I12+I13+I17+I18+I19</f>
        <v>118915589</v>
      </c>
      <c r="J21" s="202">
        <f t="shared" si="4"/>
        <v>42725545</v>
      </c>
      <c r="K21" s="202">
        <f>+K9+K10+K11+K12+K13+K17+K18+K19</f>
        <v>46043797</v>
      </c>
      <c r="L21" s="202">
        <f t="shared" si="4"/>
        <v>152081090</v>
      </c>
      <c r="M21" s="202">
        <f>+M9+M10+M11+M12+M13+M17+M18+M19</f>
        <v>169632852</v>
      </c>
      <c r="N21" s="202">
        <f t="shared" si="4"/>
        <v>0</v>
      </c>
      <c r="O21" s="202">
        <f>+O9+O10+O11+O12+O13+O17+O18+O19</f>
        <v>0</v>
      </c>
      <c r="P21" s="202">
        <f t="shared" si="4"/>
        <v>5109250</v>
      </c>
      <c r="Q21" s="202">
        <f>+Q9+Q10+Q11+Q12+Q13+Q17+Q18+Q19</f>
        <v>5109250</v>
      </c>
      <c r="R21" s="202">
        <f t="shared" si="4"/>
        <v>0</v>
      </c>
      <c r="S21" s="202"/>
      <c r="T21" s="202">
        <f t="shared" si="4"/>
        <v>2286000</v>
      </c>
      <c r="U21" s="202">
        <f>+U9+U10+U11+U12+U13+U17+U18+U19</f>
        <v>4551470</v>
      </c>
      <c r="V21" s="202">
        <f t="shared" si="0"/>
        <v>1070527166</v>
      </c>
      <c r="W21" s="202">
        <f t="shared" si="1"/>
        <v>1157032981</v>
      </c>
    </row>
    <row r="22" spans="1:23" ht="21.75" customHeight="1" x14ac:dyDescent="0.25">
      <c r="A22" s="29" t="s">
        <v>227</v>
      </c>
      <c r="B22" s="35" t="s">
        <v>221</v>
      </c>
      <c r="C22" s="146" t="s">
        <v>217</v>
      </c>
      <c r="D22" s="201">
        <f t="shared" ref="D22:R22" si="5">SUM(D23:D26)</f>
        <v>0</v>
      </c>
      <c r="E22" s="201">
        <f t="shared" si="5"/>
        <v>0</v>
      </c>
      <c r="F22" s="201">
        <f t="shared" si="5"/>
        <v>0</v>
      </c>
      <c r="G22" s="201">
        <f t="shared" si="5"/>
        <v>0</v>
      </c>
      <c r="H22" s="201">
        <f t="shared" si="5"/>
        <v>0</v>
      </c>
      <c r="I22" s="201">
        <f t="shared" si="5"/>
        <v>0</v>
      </c>
      <c r="J22" s="201">
        <f t="shared" si="5"/>
        <v>0</v>
      </c>
      <c r="K22" s="201">
        <f t="shared" si="5"/>
        <v>0</v>
      </c>
      <c r="L22" s="201">
        <f t="shared" si="5"/>
        <v>0</v>
      </c>
      <c r="M22" s="201">
        <f t="shared" si="5"/>
        <v>0</v>
      </c>
      <c r="N22" s="201">
        <f t="shared" si="5"/>
        <v>0</v>
      </c>
      <c r="O22" s="201">
        <f t="shared" si="5"/>
        <v>0</v>
      </c>
      <c r="P22" s="201">
        <f t="shared" si="5"/>
        <v>0</v>
      </c>
      <c r="Q22" s="201">
        <f t="shared" si="5"/>
        <v>0</v>
      </c>
      <c r="R22" s="201">
        <f t="shared" si="5"/>
        <v>0</v>
      </c>
      <c r="S22" s="201"/>
      <c r="T22" s="201">
        <f>SUM(T23:T26)</f>
        <v>0</v>
      </c>
      <c r="U22" s="201">
        <f>SUM(U23:U26)</f>
        <v>0</v>
      </c>
      <c r="V22" s="201">
        <f t="shared" si="0"/>
        <v>0</v>
      </c>
      <c r="W22" s="201">
        <f t="shared" si="1"/>
        <v>0</v>
      </c>
    </row>
    <row r="23" spans="1:23" ht="21.75" customHeight="1" x14ac:dyDescent="0.25">
      <c r="A23" s="29" t="s">
        <v>228</v>
      </c>
      <c r="B23" s="105" t="s">
        <v>183</v>
      </c>
      <c r="C23" s="147"/>
      <c r="D23" s="201"/>
      <c r="E23" s="201"/>
      <c r="F23" s="201"/>
      <c r="G23" s="201"/>
      <c r="H23" s="201"/>
      <c r="I23" s="201"/>
      <c r="J23" s="201"/>
      <c r="K23" s="201"/>
      <c r="L23" s="201"/>
      <c r="M23" s="201"/>
      <c r="N23" s="201"/>
      <c r="O23" s="201"/>
      <c r="P23" s="201"/>
      <c r="Q23" s="201"/>
      <c r="R23" s="201"/>
      <c r="S23" s="201"/>
      <c r="T23" s="201"/>
      <c r="U23" s="201"/>
      <c r="V23" s="201">
        <f t="shared" si="0"/>
        <v>0</v>
      </c>
      <c r="W23" s="201">
        <f t="shared" si="1"/>
        <v>0</v>
      </c>
    </row>
    <row r="24" spans="1:23" ht="21.75" customHeight="1" x14ac:dyDescent="0.25">
      <c r="A24" s="29" t="s">
        <v>229</v>
      </c>
      <c r="B24" s="36" t="s">
        <v>553</v>
      </c>
      <c r="C24" s="147"/>
      <c r="D24" s="201"/>
      <c r="E24" s="201"/>
      <c r="F24" s="201"/>
      <c r="G24" s="201"/>
      <c r="H24" s="201"/>
      <c r="I24" s="201"/>
      <c r="J24" s="201"/>
      <c r="K24" s="201"/>
      <c r="L24" s="201"/>
      <c r="M24" s="201"/>
      <c r="N24" s="201"/>
      <c r="O24" s="201"/>
      <c r="P24" s="201"/>
      <c r="Q24" s="201"/>
      <c r="R24" s="201"/>
      <c r="S24" s="201"/>
      <c r="T24" s="201"/>
      <c r="U24" s="201"/>
      <c r="V24" s="201">
        <f t="shared" si="0"/>
        <v>0</v>
      </c>
      <c r="W24" s="201">
        <f t="shared" si="1"/>
        <v>0</v>
      </c>
    </row>
    <row r="25" spans="1:23" ht="21.75" customHeight="1" x14ac:dyDescent="0.25">
      <c r="A25" s="29" t="s">
        <v>230</v>
      </c>
      <c r="B25" s="36" t="s">
        <v>554</v>
      </c>
      <c r="C25" s="147"/>
      <c r="D25" s="201"/>
      <c r="E25" s="201"/>
      <c r="F25" s="201"/>
      <c r="G25" s="201"/>
      <c r="H25" s="201"/>
      <c r="I25" s="201"/>
      <c r="J25" s="201"/>
      <c r="K25" s="201"/>
      <c r="L25" s="201"/>
      <c r="M25" s="201"/>
      <c r="N25" s="201"/>
      <c r="O25" s="201"/>
      <c r="P25" s="201"/>
      <c r="Q25" s="201"/>
      <c r="R25" s="201"/>
      <c r="S25" s="201"/>
      <c r="T25" s="201"/>
      <c r="U25" s="201"/>
      <c r="V25" s="201">
        <f t="shared" si="0"/>
        <v>0</v>
      </c>
      <c r="W25" s="201">
        <f t="shared" si="1"/>
        <v>0</v>
      </c>
    </row>
    <row r="26" spans="1:23" ht="21.75" customHeight="1" x14ac:dyDescent="0.25">
      <c r="A26" s="29" t="s">
        <v>231</v>
      </c>
      <c r="B26" s="36" t="s">
        <v>127</v>
      </c>
      <c r="C26" s="147"/>
      <c r="D26" s="201"/>
      <c r="E26" s="201"/>
      <c r="F26" s="201"/>
      <c r="G26" s="201"/>
      <c r="H26" s="201"/>
      <c r="I26" s="201"/>
      <c r="J26" s="201"/>
      <c r="K26" s="201"/>
      <c r="L26" s="201"/>
      <c r="M26" s="201"/>
      <c r="N26" s="201"/>
      <c r="O26" s="201"/>
      <c r="P26" s="201"/>
      <c r="Q26" s="201"/>
      <c r="R26" s="201"/>
      <c r="S26" s="201"/>
      <c r="T26" s="201"/>
      <c r="U26" s="201"/>
      <c r="V26" s="201">
        <f t="shared" si="0"/>
        <v>0</v>
      </c>
      <c r="W26" s="201">
        <f t="shared" si="1"/>
        <v>0</v>
      </c>
    </row>
    <row r="27" spans="1:23" ht="21.75" customHeight="1" x14ac:dyDescent="0.25">
      <c r="A27" s="29" t="s">
        <v>232</v>
      </c>
      <c r="B27" s="267" t="s">
        <v>816</v>
      </c>
      <c r="C27" s="147"/>
      <c r="D27" s="201"/>
      <c r="E27" s="201"/>
      <c r="F27" s="201"/>
      <c r="G27" s="201"/>
      <c r="H27" s="201"/>
      <c r="I27" s="201"/>
      <c r="J27" s="201"/>
      <c r="K27" s="201"/>
      <c r="L27" s="201"/>
      <c r="M27" s="201"/>
      <c r="N27" s="201"/>
      <c r="O27" s="201"/>
      <c r="P27" s="201"/>
      <c r="Q27" s="201"/>
      <c r="R27" s="201"/>
      <c r="S27" s="201"/>
      <c r="T27" s="201"/>
      <c r="U27" s="201"/>
      <c r="V27" s="201">
        <f>D27+F27+H27+J27+N27+T27+L27+P27+R27</f>
        <v>0</v>
      </c>
      <c r="W27" s="201">
        <f t="shared" si="1"/>
        <v>0</v>
      </c>
    </row>
    <row r="28" spans="1:23" s="38" customFormat="1" ht="21.75" customHeight="1" x14ac:dyDescent="0.25">
      <c r="A28" s="29" t="s">
        <v>233</v>
      </c>
      <c r="B28" s="37" t="s">
        <v>32</v>
      </c>
      <c r="C28" s="146"/>
      <c r="D28" s="202">
        <f t="shared" ref="D28:U28" si="6">+D9+D10+D11+D12+D13+D23+D24+D16</f>
        <v>0</v>
      </c>
      <c r="E28" s="202">
        <f>+E9+E10+E11+E12+E13+E23+E24</f>
        <v>18696181</v>
      </c>
      <c r="F28" s="202">
        <f t="shared" si="6"/>
        <v>709830560</v>
      </c>
      <c r="G28" s="202">
        <f t="shared" si="6"/>
        <v>747045210</v>
      </c>
      <c r="H28" s="202">
        <f t="shared" si="6"/>
        <v>107497089</v>
      </c>
      <c r="I28" s="202">
        <f t="shared" si="6"/>
        <v>112946589</v>
      </c>
      <c r="J28" s="202">
        <f t="shared" si="6"/>
        <v>34940445</v>
      </c>
      <c r="K28" s="202">
        <f t="shared" si="6"/>
        <v>38258697</v>
      </c>
      <c r="L28" s="202">
        <f t="shared" si="6"/>
        <v>145350090</v>
      </c>
      <c r="M28" s="202">
        <f t="shared" si="6"/>
        <v>155901852</v>
      </c>
      <c r="N28" s="202">
        <f t="shared" si="6"/>
        <v>0</v>
      </c>
      <c r="O28" s="202">
        <f t="shared" si="6"/>
        <v>0</v>
      </c>
      <c r="P28" s="202">
        <f t="shared" si="6"/>
        <v>5109250</v>
      </c>
      <c r="Q28" s="202">
        <f t="shared" si="6"/>
        <v>5109250</v>
      </c>
      <c r="R28" s="202">
        <f t="shared" si="6"/>
        <v>0</v>
      </c>
      <c r="S28" s="202">
        <f t="shared" si="6"/>
        <v>0</v>
      </c>
      <c r="T28" s="202">
        <f t="shared" si="6"/>
        <v>2286000</v>
      </c>
      <c r="U28" s="202">
        <f t="shared" si="6"/>
        <v>4551470</v>
      </c>
      <c r="V28" s="202">
        <f>D28+F28+H28+J28+N28+T28+L28+P28+R28</f>
        <v>1005013434</v>
      </c>
      <c r="W28" s="202">
        <f t="shared" si="1"/>
        <v>1082509249</v>
      </c>
    </row>
    <row r="29" spans="1:23" s="38" customFormat="1" ht="21.75" customHeight="1" x14ac:dyDescent="0.25">
      <c r="A29" s="29" t="s">
        <v>260</v>
      </c>
      <c r="B29" s="37" t="s">
        <v>33</v>
      </c>
      <c r="C29" s="146"/>
      <c r="D29" s="202">
        <f t="shared" ref="D29:U29" si="7">+D17+D18+D19+D25+D26</f>
        <v>0</v>
      </c>
      <c r="E29" s="202">
        <f t="shared" si="7"/>
        <v>0</v>
      </c>
      <c r="F29" s="202">
        <f t="shared" si="7"/>
        <v>45028632</v>
      </c>
      <c r="G29" s="202">
        <f t="shared" si="7"/>
        <v>47038632</v>
      </c>
      <c r="H29" s="202">
        <f t="shared" si="7"/>
        <v>5969000</v>
      </c>
      <c r="I29" s="202">
        <f t="shared" si="7"/>
        <v>5969000</v>
      </c>
      <c r="J29" s="202">
        <f t="shared" si="7"/>
        <v>7785100</v>
      </c>
      <c r="K29" s="202">
        <f t="shared" si="7"/>
        <v>7785100</v>
      </c>
      <c r="L29" s="202">
        <f t="shared" si="7"/>
        <v>6731000</v>
      </c>
      <c r="M29" s="202">
        <f t="shared" si="7"/>
        <v>13731000</v>
      </c>
      <c r="N29" s="202">
        <f t="shared" si="7"/>
        <v>0</v>
      </c>
      <c r="O29" s="202">
        <f t="shared" si="7"/>
        <v>0</v>
      </c>
      <c r="P29" s="202">
        <f t="shared" si="7"/>
        <v>0</v>
      </c>
      <c r="Q29" s="202">
        <f t="shared" si="7"/>
        <v>0</v>
      </c>
      <c r="R29" s="202">
        <f t="shared" si="7"/>
        <v>0</v>
      </c>
      <c r="S29" s="202">
        <f t="shared" si="7"/>
        <v>0</v>
      </c>
      <c r="T29" s="202">
        <f t="shared" si="7"/>
        <v>0</v>
      </c>
      <c r="U29" s="202">
        <f t="shared" si="7"/>
        <v>0</v>
      </c>
      <c r="V29" s="202">
        <f>D29+F29+H29+J29+N29+T29+L29+P29+R29</f>
        <v>65513732</v>
      </c>
      <c r="W29" s="202">
        <f t="shared" si="1"/>
        <v>74523732</v>
      </c>
    </row>
    <row r="30" spans="1:23" s="38" customFormat="1" ht="21.75" customHeight="1" x14ac:dyDescent="0.25">
      <c r="A30" s="29" t="s">
        <v>261</v>
      </c>
      <c r="B30" s="37" t="s">
        <v>327</v>
      </c>
      <c r="C30" s="146" t="s">
        <v>31</v>
      </c>
      <c r="D30" s="202">
        <f t="shared" ref="D30:U30" si="8">SUM(D28:D29)</f>
        <v>0</v>
      </c>
      <c r="E30" s="202">
        <f>SUM(E28:E29)</f>
        <v>18696181</v>
      </c>
      <c r="F30" s="202">
        <f t="shared" si="8"/>
        <v>754859192</v>
      </c>
      <c r="G30" s="202">
        <f t="shared" si="8"/>
        <v>794083842</v>
      </c>
      <c r="H30" s="202">
        <f t="shared" si="8"/>
        <v>113466089</v>
      </c>
      <c r="I30" s="202">
        <f t="shared" si="8"/>
        <v>118915589</v>
      </c>
      <c r="J30" s="202">
        <f t="shared" si="8"/>
        <v>42725545</v>
      </c>
      <c r="K30" s="202">
        <f t="shared" si="8"/>
        <v>46043797</v>
      </c>
      <c r="L30" s="202">
        <f t="shared" si="8"/>
        <v>152081090</v>
      </c>
      <c r="M30" s="202">
        <f t="shared" si="8"/>
        <v>169632852</v>
      </c>
      <c r="N30" s="202">
        <f t="shared" si="8"/>
        <v>0</v>
      </c>
      <c r="O30" s="202">
        <f t="shared" si="8"/>
        <v>0</v>
      </c>
      <c r="P30" s="202">
        <f t="shared" si="8"/>
        <v>5109250</v>
      </c>
      <c r="Q30" s="202">
        <f t="shared" si="8"/>
        <v>5109250</v>
      </c>
      <c r="R30" s="202">
        <f t="shared" si="8"/>
        <v>0</v>
      </c>
      <c r="S30" s="202">
        <f t="shared" si="8"/>
        <v>0</v>
      </c>
      <c r="T30" s="202">
        <f t="shared" si="8"/>
        <v>2286000</v>
      </c>
      <c r="U30" s="202">
        <f t="shared" si="8"/>
        <v>4551470</v>
      </c>
      <c r="V30" s="202">
        <f>D30+F30+H30+J30+N30+T30+L30+P30+R30</f>
        <v>1070527166</v>
      </c>
      <c r="W30" s="202">
        <f>E30+G30+I30+K30+O30+U30+M30+Q30+S30</f>
        <v>1157032981</v>
      </c>
    </row>
    <row r="31" spans="1:23" ht="21.75" customHeight="1" x14ac:dyDescent="0.25">
      <c r="A31" s="29" t="s">
        <v>262</v>
      </c>
      <c r="B31" s="31" t="s">
        <v>52</v>
      </c>
      <c r="C31" s="35" t="s">
        <v>209</v>
      </c>
      <c r="D31" s="201"/>
      <c r="E31" s="201"/>
      <c r="F31" s="201"/>
      <c r="G31" s="201"/>
      <c r="H31" s="201"/>
      <c r="I31" s="201"/>
      <c r="J31" s="201"/>
      <c r="K31" s="201"/>
      <c r="L31" s="201"/>
      <c r="M31" s="201"/>
      <c r="N31" s="201"/>
      <c r="O31" s="201"/>
      <c r="P31" s="201"/>
      <c r="Q31" s="201"/>
      <c r="R31" s="201"/>
      <c r="S31" s="201"/>
      <c r="T31" s="201"/>
      <c r="U31" s="201"/>
      <c r="V31" s="201">
        <f t="shared" si="0"/>
        <v>0</v>
      </c>
      <c r="W31" s="201">
        <f t="shared" si="1"/>
        <v>0</v>
      </c>
    </row>
    <row r="32" spans="1:23" ht="21.75" customHeight="1" x14ac:dyDescent="0.25">
      <c r="A32" s="29" t="s">
        <v>263</v>
      </c>
      <c r="B32" s="31" t="s">
        <v>220</v>
      </c>
      <c r="C32" s="35" t="s">
        <v>210</v>
      </c>
      <c r="D32" s="201"/>
      <c r="E32" s="201"/>
      <c r="F32" s="201"/>
      <c r="G32" s="201"/>
      <c r="H32" s="201"/>
      <c r="I32" s="201"/>
      <c r="J32" s="201"/>
      <c r="K32" s="201"/>
      <c r="L32" s="201"/>
      <c r="M32" s="201"/>
      <c r="N32" s="201"/>
      <c r="O32" s="201"/>
      <c r="P32" s="201"/>
      <c r="Q32" s="201"/>
      <c r="R32" s="201"/>
      <c r="S32" s="201"/>
      <c r="T32" s="201"/>
      <c r="U32" s="201"/>
      <c r="V32" s="201">
        <f t="shared" si="0"/>
        <v>0</v>
      </c>
      <c r="W32" s="201">
        <f t="shared" si="1"/>
        <v>0</v>
      </c>
    </row>
    <row r="33" spans="1:24" ht="21.75" customHeight="1" x14ac:dyDescent="0.25">
      <c r="A33" s="29" t="s">
        <v>264</v>
      </c>
      <c r="B33" s="31" t="s">
        <v>219</v>
      </c>
      <c r="C33" s="35" t="s">
        <v>211</v>
      </c>
      <c r="D33" s="201"/>
      <c r="E33" s="201"/>
      <c r="F33" s="201">
        <f>+'13.sz. Közhatalmi bevételek'!K19</f>
        <v>30000</v>
      </c>
      <c r="G33" s="201">
        <f>+F33+903037+120000</f>
        <v>1053037</v>
      </c>
      <c r="H33" s="201">
        <f>+'13.sz. Közhatalmi bevételek'!K20</f>
        <v>100000</v>
      </c>
      <c r="I33" s="201">
        <f>+H33-100000</f>
        <v>0</v>
      </c>
      <c r="J33" s="203">
        <f>+'13.sz. Közhatalmi bevételek'!K18</f>
        <v>4000000</v>
      </c>
      <c r="K33" s="203">
        <f>+J33+2000000-290000</f>
        <v>5710000</v>
      </c>
      <c r="L33" s="203"/>
      <c r="M33" s="203">
        <f>800000-319000</f>
        <v>481000</v>
      </c>
      <c r="N33" s="201"/>
      <c r="O33" s="201"/>
      <c r="P33" s="201"/>
      <c r="Q33" s="201"/>
      <c r="R33" s="201"/>
      <c r="S33" s="201"/>
      <c r="T33" s="201"/>
      <c r="U33" s="201"/>
      <c r="V33" s="201">
        <f t="shared" si="0"/>
        <v>4130000</v>
      </c>
      <c r="W33" s="201">
        <f t="shared" si="1"/>
        <v>7244037</v>
      </c>
    </row>
    <row r="34" spans="1:24" ht="21.75" customHeight="1" x14ac:dyDescent="0.25">
      <c r="A34" s="29" t="s">
        <v>265</v>
      </c>
      <c r="B34" s="32" t="s">
        <v>0</v>
      </c>
      <c r="C34" s="35" t="s">
        <v>212</v>
      </c>
      <c r="D34" s="201"/>
      <c r="E34" s="201"/>
      <c r="F34" s="201">
        <v>101000</v>
      </c>
      <c r="G34" s="201">
        <f>+F34+1030586+278142+178198+200000+414497-278142-975-195270</f>
        <v>1728036</v>
      </c>
      <c r="H34" s="201"/>
      <c r="I34" s="201"/>
      <c r="J34" s="201"/>
      <c r="K34" s="201">
        <v>2</v>
      </c>
      <c r="L34" s="201"/>
      <c r="M34" s="201">
        <f>233250+16480+200000-133968</f>
        <v>315762</v>
      </c>
      <c r="N34" s="201"/>
      <c r="O34" s="201"/>
      <c r="P34" s="201"/>
      <c r="Q34" s="201"/>
      <c r="R34" s="201"/>
      <c r="S34" s="201"/>
      <c r="T34" s="201">
        <v>2287000</v>
      </c>
      <c r="U34" s="201">
        <f>+T34+1000000+270000+2000000+540000-1561338-613110-1000</f>
        <v>3921552</v>
      </c>
      <c r="V34" s="201">
        <f t="shared" si="0"/>
        <v>2388000</v>
      </c>
      <c r="W34" s="201">
        <f t="shared" si="1"/>
        <v>5965352</v>
      </c>
    </row>
    <row r="35" spans="1:24" ht="21.75" customHeight="1" x14ac:dyDescent="0.25">
      <c r="A35" s="29" t="s">
        <v>266</v>
      </c>
      <c r="B35" s="31" t="s">
        <v>242</v>
      </c>
      <c r="C35" s="35" t="s">
        <v>213</v>
      </c>
      <c r="D35" s="201"/>
      <c r="E35" s="201"/>
      <c r="F35" s="201"/>
      <c r="G35" s="201">
        <v>10000</v>
      </c>
      <c r="H35" s="201"/>
      <c r="I35" s="201"/>
      <c r="J35" s="201"/>
      <c r="K35" s="201"/>
      <c r="L35" s="201"/>
      <c r="M35" s="201"/>
      <c r="N35" s="201"/>
      <c r="O35" s="201"/>
      <c r="P35" s="201"/>
      <c r="Q35" s="201"/>
      <c r="R35" s="201"/>
      <c r="S35" s="201"/>
      <c r="T35" s="201"/>
      <c r="U35" s="201"/>
      <c r="V35" s="201">
        <f t="shared" si="0"/>
        <v>0</v>
      </c>
      <c r="W35" s="201">
        <f t="shared" si="1"/>
        <v>10000</v>
      </c>
    </row>
    <row r="36" spans="1:24" ht="21.75" customHeight="1" x14ac:dyDescent="0.25">
      <c r="A36" s="29" t="s">
        <v>267</v>
      </c>
      <c r="B36" s="31" t="s">
        <v>237</v>
      </c>
      <c r="C36" s="35" t="s">
        <v>214</v>
      </c>
      <c r="D36" s="201"/>
      <c r="E36" s="201"/>
      <c r="F36" s="201"/>
      <c r="G36" s="201"/>
      <c r="H36" s="201"/>
      <c r="I36" s="201"/>
      <c r="J36" s="201"/>
      <c r="K36" s="201"/>
      <c r="L36" s="201"/>
      <c r="M36" s="201"/>
      <c r="N36" s="201"/>
      <c r="O36" s="201"/>
      <c r="P36" s="201"/>
      <c r="Q36" s="201"/>
      <c r="R36" s="201"/>
      <c r="S36" s="201"/>
      <c r="T36" s="201"/>
      <c r="U36" s="201"/>
      <c r="V36" s="201">
        <f t="shared" si="0"/>
        <v>0</v>
      </c>
      <c r="W36" s="201">
        <f t="shared" si="1"/>
        <v>0</v>
      </c>
    </row>
    <row r="37" spans="1:24" ht="21.75" customHeight="1" x14ac:dyDescent="0.25">
      <c r="A37" s="29" t="s">
        <v>268</v>
      </c>
      <c r="B37" s="31" t="s">
        <v>238</v>
      </c>
      <c r="C37" s="35" t="s">
        <v>215</v>
      </c>
      <c r="D37" s="201"/>
      <c r="E37" s="201"/>
      <c r="F37" s="203">
        <v>6521400</v>
      </c>
      <c r="G37" s="203">
        <f>+F37+8400+268400+1169500+553700</f>
        <v>8521400</v>
      </c>
      <c r="H37" s="201"/>
      <c r="I37" s="201"/>
      <c r="J37" s="201"/>
      <c r="K37" s="201"/>
      <c r="L37" s="201"/>
      <c r="M37" s="201"/>
      <c r="N37" s="201"/>
      <c r="O37" s="201"/>
      <c r="P37" s="201"/>
      <c r="Q37" s="201"/>
      <c r="R37" s="201"/>
      <c r="S37" s="201"/>
      <c r="T37" s="201"/>
      <c r="U37" s="201"/>
      <c r="V37" s="201">
        <f t="shared" si="0"/>
        <v>6521400</v>
      </c>
      <c r="W37" s="201">
        <f t="shared" si="1"/>
        <v>8521400</v>
      </c>
    </row>
    <row r="38" spans="1:24" s="134" customFormat="1" ht="21.75" customHeight="1" x14ac:dyDescent="0.25">
      <c r="A38" s="29" t="s">
        <v>269</v>
      </c>
      <c r="B38" s="32" t="s">
        <v>239</v>
      </c>
      <c r="C38" s="35" t="s">
        <v>216</v>
      </c>
      <c r="D38" s="202">
        <f t="shared" ref="D38:T38" si="9">+D31+D32+D33+D34+D35+D36+D37</f>
        <v>0</v>
      </c>
      <c r="E38" s="202"/>
      <c r="F38" s="202">
        <f t="shared" si="9"/>
        <v>6652400</v>
      </c>
      <c r="G38" s="202">
        <f t="shared" si="9"/>
        <v>11312473</v>
      </c>
      <c r="H38" s="202">
        <f t="shared" si="9"/>
        <v>100000</v>
      </c>
      <c r="I38" s="202">
        <f>+I31+I32+I33+I34+I35+I36+I37</f>
        <v>0</v>
      </c>
      <c r="J38" s="202">
        <f t="shared" si="9"/>
        <v>4000000</v>
      </c>
      <c r="K38" s="202">
        <f>+K31+K32+K33+K34+K35+K36+K37</f>
        <v>5710002</v>
      </c>
      <c r="L38" s="202">
        <f t="shared" si="9"/>
        <v>0</v>
      </c>
      <c r="M38" s="202">
        <f>+M31+M32+M33+M34+M35+M36+M37</f>
        <v>796762</v>
      </c>
      <c r="N38" s="202">
        <f t="shared" si="9"/>
        <v>0</v>
      </c>
      <c r="O38" s="202">
        <f>+O31+O32+O33+O34+O35+O36+O37</f>
        <v>0</v>
      </c>
      <c r="P38" s="202">
        <f t="shared" si="9"/>
        <v>0</v>
      </c>
      <c r="Q38" s="202">
        <f>+Q31+Q32+Q33+Q34+Q35+Q36+Q37</f>
        <v>0</v>
      </c>
      <c r="R38" s="202">
        <f t="shared" si="9"/>
        <v>0</v>
      </c>
      <c r="S38" s="202">
        <f>+S31+S32+S33+S34+S35+S36+S37</f>
        <v>0</v>
      </c>
      <c r="T38" s="202">
        <f t="shared" si="9"/>
        <v>2287000</v>
      </c>
      <c r="U38" s="202">
        <f>+U31+U32+U33+U34+U35+U36+U37</f>
        <v>3921552</v>
      </c>
      <c r="V38" s="202">
        <f t="shared" si="0"/>
        <v>13039400</v>
      </c>
      <c r="W38" s="202">
        <f t="shared" si="1"/>
        <v>21740789</v>
      </c>
    </row>
    <row r="39" spans="1:24" ht="21.75" customHeight="1" x14ac:dyDescent="0.25">
      <c r="A39" s="29" t="s">
        <v>270</v>
      </c>
      <c r="B39" s="35" t="s">
        <v>240</v>
      </c>
      <c r="C39" s="146" t="s">
        <v>218</v>
      </c>
      <c r="D39" s="202">
        <f>SUM(D41:D45)</f>
        <v>1057487766</v>
      </c>
      <c r="E39" s="202">
        <f>SUM(E41:E45)</f>
        <v>1135292192</v>
      </c>
      <c r="F39" s="202">
        <f t="shared" ref="F39:U39" si="10">SUM(F41:F45)</f>
        <v>0</v>
      </c>
      <c r="G39" s="202">
        <f t="shared" si="10"/>
        <v>0</v>
      </c>
      <c r="H39" s="202">
        <f t="shared" si="10"/>
        <v>0</v>
      </c>
      <c r="I39" s="202">
        <f t="shared" si="10"/>
        <v>0</v>
      </c>
      <c r="J39" s="202">
        <f t="shared" si="10"/>
        <v>0</v>
      </c>
      <c r="K39" s="202">
        <f t="shared" si="10"/>
        <v>0</v>
      </c>
      <c r="L39" s="202">
        <f t="shared" si="10"/>
        <v>0</v>
      </c>
      <c r="M39" s="202">
        <f t="shared" si="10"/>
        <v>0</v>
      </c>
      <c r="N39" s="202">
        <f t="shared" si="10"/>
        <v>0</v>
      </c>
      <c r="O39" s="202">
        <f t="shared" si="10"/>
        <v>0</v>
      </c>
      <c r="P39" s="202">
        <f t="shared" si="10"/>
        <v>0</v>
      </c>
      <c r="Q39" s="202">
        <f t="shared" si="10"/>
        <v>0</v>
      </c>
      <c r="R39" s="202">
        <f t="shared" si="10"/>
        <v>0</v>
      </c>
      <c r="S39" s="202">
        <f t="shared" si="10"/>
        <v>0</v>
      </c>
      <c r="T39" s="202">
        <f t="shared" si="10"/>
        <v>0</v>
      </c>
      <c r="U39" s="202">
        <f t="shared" si="10"/>
        <v>0</v>
      </c>
      <c r="V39" s="201">
        <f t="shared" si="0"/>
        <v>1057487766</v>
      </c>
      <c r="W39" s="201">
        <f t="shared" si="1"/>
        <v>1135292192</v>
      </c>
      <c r="X39" s="94"/>
    </row>
    <row r="40" spans="1:24" ht="21.75" customHeight="1" x14ac:dyDescent="0.25">
      <c r="A40" s="29" t="s">
        <v>271</v>
      </c>
      <c r="B40" s="105" t="s">
        <v>566</v>
      </c>
      <c r="C40" s="146"/>
      <c r="D40" s="201"/>
      <c r="E40" s="201"/>
      <c r="F40" s="201"/>
      <c r="G40" s="201"/>
      <c r="H40" s="201"/>
      <c r="I40" s="201"/>
      <c r="J40" s="201"/>
      <c r="K40" s="201"/>
      <c r="L40" s="201"/>
      <c r="M40" s="201"/>
      <c r="N40" s="201"/>
      <c r="O40" s="201"/>
      <c r="P40" s="201"/>
      <c r="Q40" s="201"/>
      <c r="R40" s="201"/>
      <c r="S40" s="201"/>
      <c r="T40" s="201"/>
      <c r="U40" s="201"/>
      <c r="V40" s="201">
        <f t="shared" si="0"/>
        <v>0</v>
      </c>
      <c r="W40" s="201">
        <f t="shared" si="1"/>
        <v>0</v>
      </c>
    </row>
    <row r="41" spans="1:24" ht="21.75" customHeight="1" x14ac:dyDescent="0.25">
      <c r="A41" s="29" t="s">
        <v>272</v>
      </c>
      <c r="B41" s="36" t="s">
        <v>846</v>
      </c>
      <c r="C41" s="147"/>
      <c r="D41" s="201">
        <f>3507077+1062366</f>
        <v>4569443</v>
      </c>
      <c r="E41" s="201">
        <f>+D41+18696181</f>
        <v>23265624</v>
      </c>
      <c r="F41" s="201"/>
      <c r="G41" s="201"/>
      <c r="H41" s="201"/>
      <c r="I41" s="201"/>
      <c r="J41" s="201"/>
      <c r="K41" s="201"/>
      <c r="L41" s="201"/>
      <c r="M41" s="201"/>
      <c r="N41" s="201"/>
      <c r="O41" s="201"/>
      <c r="P41" s="201"/>
      <c r="Q41" s="201"/>
      <c r="R41" s="201"/>
      <c r="S41" s="201"/>
      <c r="T41" s="201"/>
      <c r="U41" s="201"/>
      <c r="V41" s="201">
        <f t="shared" si="0"/>
        <v>4569443</v>
      </c>
      <c r="W41" s="201">
        <f>E41+G41+I41+K41+O41+U41+M41+Q41+S41</f>
        <v>23265624</v>
      </c>
    </row>
    <row r="42" spans="1:24" ht="21.75" customHeight="1" x14ac:dyDescent="0.25">
      <c r="A42" s="29" t="s">
        <v>276</v>
      </c>
      <c r="B42" s="36" t="s">
        <v>847</v>
      </c>
      <c r="C42" s="147"/>
      <c r="D42" s="201">
        <v>15572232</v>
      </c>
      <c r="E42" s="201">
        <f>+D42</f>
        <v>15572232</v>
      </c>
      <c r="F42" s="201"/>
      <c r="G42" s="201"/>
      <c r="H42" s="201"/>
      <c r="I42" s="201"/>
      <c r="J42" s="201"/>
      <c r="K42" s="201"/>
      <c r="L42" s="201"/>
      <c r="M42" s="201"/>
      <c r="N42" s="201"/>
      <c r="O42" s="201"/>
      <c r="P42" s="201"/>
      <c r="Q42" s="201"/>
      <c r="R42" s="201"/>
      <c r="S42" s="201"/>
      <c r="T42" s="201"/>
      <c r="U42" s="201"/>
      <c r="V42" s="201">
        <f t="shared" si="0"/>
        <v>15572232</v>
      </c>
      <c r="W42" s="201">
        <f>E42+G42+I42+K42+O42+U42+M42+Q42+S42</f>
        <v>15572232</v>
      </c>
    </row>
    <row r="43" spans="1:24" ht="21.75" customHeight="1" x14ac:dyDescent="0.25">
      <c r="A43" s="29" t="s">
        <v>277</v>
      </c>
      <c r="B43" s="36" t="s">
        <v>539</v>
      </c>
      <c r="C43" s="147"/>
      <c r="D43" s="201">
        <f>V28-V31-V33-V34-V36-V41</f>
        <v>993925991</v>
      </c>
      <c r="E43" s="201">
        <f>W28-W31-W33-W34-W36-W41</f>
        <v>1046034236</v>
      </c>
      <c r="F43" s="201"/>
      <c r="G43" s="201"/>
      <c r="H43" s="201"/>
      <c r="I43" s="201"/>
      <c r="J43" s="201"/>
      <c r="K43" s="201"/>
      <c r="L43" s="201"/>
      <c r="M43" s="201"/>
      <c r="N43" s="201"/>
      <c r="O43" s="201"/>
      <c r="P43" s="201"/>
      <c r="Q43" s="201"/>
      <c r="R43" s="201"/>
      <c r="S43" s="201"/>
      <c r="T43" s="201"/>
      <c r="U43" s="201"/>
      <c r="V43" s="201">
        <f>D43+F43+H43+J43+N43+T43+L43+P43+R43</f>
        <v>993925991</v>
      </c>
      <c r="W43" s="201">
        <f>E43+G43+I43+K43+O43+U43+M43+Q43+S43</f>
        <v>1046034236</v>
      </c>
    </row>
    <row r="44" spans="1:24" ht="21.75" customHeight="1" x14ac:dyDescent="0.25">
      <c r="A44" s="29" t="s">
        <v>278</v>
      </c>
      <c r="B44" s="36" t="s">
        <v>540</v>
      </c>
      <c r="C44" s="147"/>
      <c r="D44" s="201">
        <f>V29-V32-V35-V37-V42</f>
        <v>43420100</v>
      </c>
      <c r="E44" s="201">
        <f>W29-W32-W35-W37-W42</f>
        <v>50420100</v>
      </c>
      <c r="F44" s="201"/>
      <c r="G44" s="201"/>
      <c r="H44" s="201"/>
      <c r="I44" s="201"/>
      <c r="J44" s="201"/>
      <c r="K44" s="201"/>
      <c r="L44" s="201"/>
      <c r="M44" s="201"/>
      <c r="N44" s="201"/>
      <c r="O44" s="201"/>
      <c r="P44" s="201"/>
      <c r="Q44" s="201"/>
      <c r="R44" s="201"/>
      <c r="S44" s="201"/>
      <c r="T44" s="201"/>
      <c r="U44" s="201"/>
      <c r="V44" s="201">
        <f t="shared" si="0"/>
        <v>43420100</v>
      </c>
      <c r="W44" s="201">
        <f>E44+G44+I44+K44+O44+U44+M44+Q44+S44</f>
        <v>50420100</v>
      </c>
    </row>
    <row r="45" spans="1:24" ht="21.75" customHeight="1" x14ac:dyDescent="0.25">
      <c r="A45" s="29" t="s">
        <v>279</v>
      </c>
      <c r="B45" s="36" t="s">
        <v>574</v>
      </c>
      <c r="C45" s="147"/>
      <c r="D45" s="201"/>
      <c r="E45" s="201"/>
      <c r="F45" s="201"/>
      <c r="G45" s="201"/>
      <c r="H45" s="201"/>
      <c r="I45" s="201"/>
      <c r="J45" s="201"/>
      <c r="K45" s="201"/>
      <c r="L45" s="201"/>
      <c r="M45" s="201"/>
      <c r="N45" s="201"/>
      <c r="O45" s="201"/>
      <c r="P45" s="201"/>
      <c r="Q45" s="201"/>
      <c r="R45" s="201"/>
      <c r="S45" s="201"/>
      <c r="T45" s="201"/>
      <c r="U45" s="201"/>
      <c r="V45" s="201">
        <f t="shared" si="0"/>
        <v>0</v>
      </c>
      <c r="W45" s="201">
        <f t="shared" si="1"/>
        <v>0</v>
      </c>
    </row>
    <row r="46" spans="1:24" ht="21.75" customHeight="1" x14ac:dyDescent="0.25">
      <c r="A46" s="29" t="s">
        <v>280</v>
      </c>
      <c r="B46" s="267" t="s">
        <v>815</v>
      </c>
      <c r="C46" s="147"/>
      <c r="D46" s="201"/>
      <c r="E46" s="201"/>
      <c r="F46" s="201"/>
      <c r="G46" s="201"/>
      <c r="H46" s="201"/>
      <c r="I46" s="201"/>
      <c r="J46" s="201"/>
      <c r="K46" s="201"/>
      <c r="L46" s="201"/>
      <c r="M46" s="201"/>
      <c r="N46" s="201"/>
      <c r="O46" s="201"/>
      <c r="P46" s="201"/>
      <c r="Q46" s="201"/>
      <c r="R46" s="201"/>
      <c r="S46" s="201"/>
      <c r="T46" s="201"/>
      <c r="U46" s="201"/>
      <c r="V46" s="201">
        <f t="shared" si="0"/>
        <v>0</v>
      </c>
      <c r="W46" s="201">
        <f t="shared" si="1"/>
        <v>0</v>
      </c>
    </row>
    <row r="47" spans="1:24" ht="21.75" customHeight="1" x14ac:dyDescent="0.25">
      <c r="A47" s="29" t="s">
        <v>281</v>
      </c>
      <c r="B47" s="37" t="s">
        <v>113</v>
      </c>
      <c r="C47" s="146"/>
      <c r="D47" s="202">
        <f t="shared" ref="D47:U47" si="11">+D31+D33+D34+D36+D41+D43</f>
        <v>998495434</v>
      </c>
      <c r="E47" s="202">
        <f>+E31+E33+E34+E36+E41+E43</f>
        <v>1069299860</v>
      </c>
      <c r="F47" s="202">
        <f t="shared" si="11"/>
        <v>131000</v>
      </c>
      <c r="G47" s="202">
        <f t="shared" si="11"/>
        <v>2781073</v>
      </c>
      <c r="H47" s="202">
        <f t="shared" si="11"/>
        <v>100000</v>
      </c>
      <c r="I47" s="202">
        <f t="shared" si="11"/>
        <v>0</v>
      </c>
      <c r="J47" s="202">
        <f t="shared" si="11"/>
        <v>4000000</v>
      </c>
      <c r="K47" s="202">
        <f t="shared" si="11"/>
        <v>5710002</v>
      </c>
      <c r="L47" s="202">
        <f t="shared" si="11"/>
        <v>0</v>
      </c>
      <c r="M47" s="202">
        <f t="shared" si="11"/>
        <v>796762</v>
      </c>
      <c r="N47" s="202">
        <f t="shared" si="11"/>
        <v>0</v>
      </c>
      <c r="O47" s="202">
        <f t="shared" si="11"/>
        <v>0</v>
      </c>
      <c r="P47" s="202">
        <f t="shared" si="11"/>
        <v>0</v>
      </c>
      <c r="Q47" s="202">
        <f t="shared" si="11"/>
        <v>0</v>
      </c>
      <c r="R47" s="202">
        <f t="shared" si="11"/>
        <v>0</v>
      </c>
      <c r="S47" s="202">
        <f t="shared" si="11"/>
        <v>0</v>
      </c>
      <c r="T47" s="202">
        <f t="shared" si="11"/>
        <v>2287000</v>
      </c>
      <c r="U47" s="202">
        <f t="shared" si="11"/>
        <v>3921552</v>
      </c>
      <c r="V47" s="202">
        <f t="shared" si="0"/>
        <v>1005013434</v>
      </c>
      <c r="W47" s="202">
        <f>E47+G47+I47+K47+O47+U47+M47+Q47+S47</f>
        <v>1082509249</v>
      </c>
    </row>
    <row r="48" spans="1:24" ht="21.75" customHeight="1" x14ac:dyDescent="0.25">
      <c r="A48" s="29" t="s">
        <v>282</v>
      </c>
      <c r="B48" s="37" t="s">
        <v>114</v>
      </c>
      <c r="C48" s="146"/>
      <c r="D48" s="202">
        <f t="shared" ref="D48:U48" si="12">+D32+D35+D37+D42+D429+D45+D44</f>
        <v>58992332</v>
      </c>
      <c r="E48" s="202">
        <f>+E32+E35+E37+E42+E429+E45+E44</f>
        <v>65992332</v>
      </c>
      <c r="F48" s="202">
        <f t="shared" si="12"/>
        <v>6521400</v>
      </c>
      <c r="G48" s="202">
        <f t="shared" si="12"/>
        <v>8531400</v>
      </c>
      <c r="H48" s="202">
        <f t="shared" si="12"/>
        <v>0</v>
      </c>
      <c r="I48" s="202">
        <f t="shared" si="12"/>
        <v>0</v>
      </c>
      <c r="J48" s="202">
        <f t="shared" si="12"/>
        <v>0</v>
      </c>
      <c r="K48" s="202">
        <f t="shared" si="12"/>
        <v>0</v>
      </c>
      <c r="L48" s="202">
        <f t="shared" si="12"/>
        <v>0</v>
      </c>
      <c r="M48" s="202">
        <f t="shared" si="12"/>
        <v>0</v>
      </c>
      <c r="N48" s="202">
        <f t="shared" si="12"/>
        <v>0</v>
      </c>
      <c r="O48" s="202">
        <f t="shared" si="12"/>
        <v>0</v>
      </c>
      <c r="P48" s="202">
        <f t="shared" si="12"/>
        <v>0</v>
      </c>
      <c r="Q48" s="202">
        <f t="shared" si="12"/>
        <v>0</v>
      </c>
      <c r="R48" s="202">
        <f t="shared" si="12"/>
        <v>0</v>
      </c>
      <c r="S48" s="202">
        <f t="shared" si="12"/>
        <v>0</v>
      </c>
      <c r="T48" s="202">
        <f t="shared" si="12"/>
        <v>0</v>
      </c>
      <c r="U48" s="202">
        <f t="shared" si="12"/>
        <v>0</v>
      </c>
      <c r="V48" s="202">
        <f t="shared" si="0"/>
        <v>65513732</v>
      </c>
      <c r="W48" s="202">
        <f>E48+G48+I48+K48+O48+U48+M48+Q48+S48</f>
        <v>74523732</v>
      </c>
    </row>
    <row r="49" spans="1:24" ht="21.75" customHeight="1" x14ac:dyDescent="0.25">
      <c r="A49" s="29" t="s">
        <v>283</v>
      </c>
      <c r="B49" s="37" t="s">
        <v>328</v>
      </c>
      <c r="C49" s="146"/>
      <c r="D49" s="202">
        <f t="shared" ref="D49:U49" si="13">+D47+D48</f>
        <v>1057487766</v>
      </c>
      <c r="E49" s="202">
        <f t="shared" si="13"/>
        <v>1135292192</v>
      </c>
      <c r="F49" s="202">
        <f t="shared" si="13"/>
        <v>6652400</v>
      </c>
      <c r="G49" s="202">
        <f t="shared" si="13"/>
        <v>11312473</v>
      </c>
      <c r="H49" s="202">
        <f t="shared" si="13"/>
        <v>100000</v>
      </c>
      <c r="I49" s="202">
        <f t="shared" si="13"/>
        <v>0</v>
      </c>
      <c r="J49" s="202">
        <f t="shared" si="13"/>
        <v>4000000</v>
      </c>
      <c r="K49" s="202">
        <f t="shared" si="13"/>
        <v>5710002</v>
      </c>
      <c r="L49" s="202">
        <f t="shared" si="13"/>
        <v>0</v>
      </c>
      <c r="M49" s="202">
        <f t="shared" si="13"/>
        <v>796762</v>
      </c>
      <c r="N49" s="202">
        <f t="shared" si="13"/>
        <v>0</v>
      </c>
      <c r="O49" s="202">
        <f t="shared" si="13"/>
        <v>0</v>
      </c>
      <c r="P49" s="202">
        <f t="shared" si="13"/>
        <v>0</v>
      </c>
      <c r="Q49" s="202">
        <f t="shared" si="13"/>
        <v>0</v>
      </c>
      <c r="R49" s="202">
        <f t="shared" si="13"/>
        <v>0</v>
      </c>
      <c r="S49" s="202">
        <f t="shared" si="13"/>
        <v>0</v>
      </c>
      <c r="T49" s="202">
        <f t="shared" si="13"/>
        <v>2287000</v>
      </c>
      <c r="U49" s="202">
        <f t="shared" si="13"/>
        <v>3921552</v>
      </c>
      <c r="V49" s="202">
        <f t="shared" si="0"/>
        <v>1070527166</v>
      </c>
      <c r="W49" s="202">
        <f>E49+G49+I49+K49+O49+U49+M49+Q49+S49</f>
        <v>1157032981</v>
      </c>
    </row>
    <row r="50" spans="1:24" ht="21.75" customHeight="1" x14ac:dyDescent="0.25">
      <c r="A50" s="29" t="s">
        <v>284</v>
      </c>
      <c r="B50" s="414" t="s">
        <v>437</v>
      </c>
      <c r="C50" s="204"/>
      <c r="D50" s="201"/>
      <c r="E50" s="201"/>
      <c r="F50" s="201">
        <v>49</v>
      </c>
      <c r="G50" s="201">
        <f>+F50</f>
        <v>49</v>
      </c>
      <c r="H50" s="201">
        <v>7</v>
      </c>
      <c r="I50" s="201">
        <f>+H50</f>
        <v>7</v>
      </c>
      <c r="J50" s="201">
        <v>2</v>
      </c>
      <c r="K50" s="201">
        <f>+J50</f>
        <v>2</v>
      </c>
      <c r="L50" s="201">
        <v>13</v>
      </c>
      <c r="M50" s="201">
        <f>+L50</f>
        <v>13</v>
      </c>
      <c r="N50" s="201"/>
      <c r="O50" s="201"/>
      <c r="P50" s="201"/>
      <c r="Q50" s="201"/>
      <c r="R50" s="201"/>
      <c r="S50" s="201"/>
      <c r="T50" s="201"/>
      <c r="U50" s="201"/>
      <c r="V50" s="201">
        <f t="shared" si="0"/>
        <v>71</v>
      </c>
      <c r="W50" s="201">
        <f t="shared" si="1"/>
        <v>71</v>
      </c>
      <c r="X50" s="94">
        <f>V49-V30</f>
        <v>0</v>
      </c>
    </row>
    <row r="51" spans="1:24" ht="21.75" customHeight="1" x14ac:dyDescent="0.25">
      <c r="A51" s="29" t="s">
        <v>285</v>
      </c>
      <c r="B51" s="55" t="s">
        <v>1346</v>
      </c>
      <c r="C51" s="204"/>
      <c r="D51" s="242"/>
      <c r="E51" s="242"/>
      <c r="F51" s="242"/>
      <c r="G51" s="242"/>
      <c r="H51" s="242"/>
      <c r="I51" s="242"/>
      <c r="J51" s="242"/>
      <c r="K51" s="242"/>
      <c r="L51" s="242"/>
      <c r="M51" s="242"/>
      <c r="N51" s="242"/>
      <c r="O51" s="242"/>
      <c r="P51" s="242"/>
      <c r="Q51" s="242"/>
      <c r="R51" s="242"/>
      <c r="S51" s="242"/>
      <c r="T51" s="242"/>
      <c r="U51" s="242"/>
      <c r="V51" s="201">
        <f t="shared" si="0"/>
        <v>0</v>
      </c>
      <c r="W51" s="201">
        <f t="shared" si="1"/>
        <v>0</v>
      </c>
      <c r="X51" s="94"/>
    </row>
  </sheetData>
  <mergeCells count="30">
    <mergeCell ref="W4:W7"/>
    <mergeCell ref="T2:W2"/>
    <mergeCell ref="K6:K7"/>
    <mergeCell ref="M6:M7"/>
    <mergeCell ref="L2:O2"/>
    <mergeCell ref="O6:O7"/>
    <mergeCell ref="Q6:Q7"/>
    <mergeCell ref="P2:S2"/>
    <mergeCell ref="P6:P7"/>
    <mergeCell ref="L6:L7"/>
    <mergeCell ref="T6:T7"/>
    <mergeCell ref="V4:V7"/>
    <mergeCell ref="N6:N7"/>
    <mergeCell ref="R6:R7"/>
    <mergeCell ref="S6:S7"/>
    <mergeCell ref="U6:U7"/>
    <mergeCell ref="J6:J7"/>
    <mergeCell ref="E6:E7"/>
    <mergeCell ref="A2:C3"/>
    <mergeCell ref="G6:G7"/>
    <mergeCell ref="D2:G2"/>
    <mergeCell ref="H2:K2"/>
    <mergeCell ref="I6:I7"/>
    <mergeCell ref="A4:A7"/>
    <mergeCell ref="B4:C4"/>
    <mergeCell ref="D6:D7"/>
    <mergeCell ref="H6:H7"/>
    <mergeCell ref="F6:F7"/>
    <mergeCell ref="B5:C5"/>
    <mergeCell ref="B6:C6"/>
  </mergeCells>
  <phoneticPr fontId="50" type="noConversion"/>
  <printOptions horizontalCentered="1" verticalCentered="1"/>
  <pageMargins left="0.39370078740157483" right="0.35433070866141736" top="0.19685039370078741" bottom="0.19685039370078741" header="0.51181102362204722" footer="0.51181102362204722"/>
  <pageSetup paperSize="9" scale="55" orientation="portrait" r:id="rId1"/>
  <headerFooter alignWithMargins="0">
    <oddHeader>&amp;C2023. évi költségvetés&amp;R&amp;A</oddHeader>
    <oddFooter>&amp;C&amp;P/&amp;N</oddFooter>
  </headerFooter>
  <colBreaks count="4" manualBreakCount="4">
    <brk id="7" max="50" man="1"/>
    <brk id="11" max="50" man="1"/>
    <brk id="15" max="50" man="1"/>
    <brk id="19" max="50"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22"/>
  <sheetViews>
    <sheetView view="pageBreakPreview" zoomScale="89" zoomScaleNormal="100" zoomScaleSheetLayoutView="89" workbookViewId="0">
      <selection activeCell="B30" sqref="B30"/>
    </sheetView>
  </sheetViews>
  <sheetFormatPr defaultColWidth="9.140625" defaultRowHeight="12.75" x14ac:dyDescent="0.2"/>
  <cols>
    <col min="1" max="1" width="9.140625" style="348"/>
    <col min="2" max="2" width="48.140625" style="348" customWidth="1"/>
    <col min="3" max="3" width="9.140625" style="348"/>
    <col min="4" max="4" width="14.85546875" style="348" customWidth="1"/>
    <col min="5" max="5" width="13.28515625" style="348" customWidth="1"/>
    <col min="6" max="6" width="12.42578125" style="348" customWidth="1"/>
    <col min="7" max="8" width="13.28515625" style="348" customWidth="1"/>
    <col min="9" max="9" width="16.7109375" style="348" customWidth="1"/>
    <col min="10" max="10" width="15.42578125" style="348" customWidth="1"/>
    <col min="11" max="11" width="18.42578125" style="348" bestFit="1" customWidth="1"/>
    <col min="12" max="12" width="12.140625" style="348" bestFit="1" customWidth="1"/>
    <col min="13" max="16384" width="9.140625" style="348"/>
  </cols>
  <sheetData>
    <row r="1" spans="1:13" ht="15.75" x14ac:dyDescent="0.2">
      <c r="A1" s="2009" t="s">
        <v>1027</v>
      </c>
      <c r="B1" s="2009"/>
      <c r="C1" s="2009"/>
      <c r="D1" s="2009"/>
      <c r="E1" s="2009"/>
      <c r="F1" s="2009"/>
      <c r="G1" s="2009"/>
      <c r="H1" s="2009"/>
      <c r="I1" s="2009"/>
    </row>
    <row r="2" spans="1:13" ht="14.25" thickBot="1" x14ac:dyDescent="0.3">
      <c r="A2" s="501"/>
      <c r="B2" s="502"/>
      <c r="C2" s="502"/>
      <c r="D2" s="502"/>
      <c r="E2" s="502"/>
      <c r="F2" s="502"/>
      <c r="G2" s="502"/>
      <c r="H2" s="502"/>
      <c r="I2" s="503"/>
    </row>
    <row r="3" spans="1:13" x14ac:dyDescent="0.2">
      <c r="A3" s="2010" t="s">
        <v>186</v>
      </c>
      <c r="B3" s="2012" t="s">
        <v>1028</v>
      </c>
      <c r="C3" s="2014" t="s">
        <v>1029</v>
      </c>
      <c r="D3" s="2014" t="s">
        <v>1539</v>
      </c>
      <c r="E3" s="2012" t="s">
        <v>1030</v>
      </c>
      <c r="F3" s="2012"/>
      <c r="G3" s="2012"/>
      <c r="H3" s="2012"/>
      <c r="I3" s="2016" t="s">
        <v>119</v>
      </c>
      <c r="J3" s="2006" t="s">
        <v>1031</v>
      </c>
      <c r="K3" s="348" t="s">
        <v>1032</v>
      </c>
    </row>
    <row r="4" spans="1:13" x14ac:dyDescent="0.2">
      <c r="A4" s="2011"/>
      <c r="B4" s="2013"/>
      <c r="C4" s="2013"/>
      <c r="D4" s="2015"/>
      <c r="E4" s="504" t="s">
        <v>1059</v>
      </c>
      <c r="F4" s="504" t="s">
        <v>1086</v>
      </c>
      <c r="G4" s="504" t="s">
        <v>1087</v>
      </c>
      <c r="H4" s="505" t="s">
        <v>1540</v>
      </c>
      <c r="I4" s="2017"/>
      <c r="J4" s="2006"/>
    </row>
    <row r="5" spans="1:13" x14ac:dyDescent="0.2">
      <c r="A5" s="506" t="s">
        <v>1036</v>
      </c>
      <c r="B5" s="505" t="s">
        <v>1037</v>
      </c>
      <c r="C5" s="505" t="s">
        <v>1038</v>
      </c>
      <c r="D5" s="505" t="s">
        <v>1039</v>
      </c>
      <c r="E5" s="505" t="s">
        <v>1040</v>
      </c>
      <c r="F5" s="505" t="s">
        <v>1041</v>
      </c>
      <c r="G5" s="505" t="s">
        <v>1042</v>
      </c>
      <c r="H5" s="505" t="s">
        <v>1043</v>
      </c>
      <c r="I5" s="507" t="s">
        <v>1044</v>
      </c>
      <c r="J5" s="2006"/>
    </row>
    <row r="6" spans="1:13" ht="32.25" customHeight="1" x14ac:dyDescent="0.2">
      <c r="A6" s="506" t="s">
        <v>188</v>
      </c>
      <c r="B6" s="508" t="s">
        <v>1045</v>
      </c>
      <c r="C6" s="509"/>
      <c r="D6" s="510"/>
      <c r="E6" s="510"/>
      <c r="F6" s="510"/>
      <c r="G6" s="510"/>
      <c r="H6" s="510"/>
      <c r="I6" s="511"/>
    </row>
    <row r="7" spans="1:13" ht="36.75" customHeight="1" x14ac:dyDescent="0.2">
      <c r="A7" s="506" t="s">
        <v>189</v>
      </c>
      <c r="B7" s="508" t="s">
        <v>1046</v>
      </c>
      <c r="C7" s="509"/>
      <c r="D7" s="924">
        <f t="shared" ref="D7:I7" si="0">SUM(D8:D10)</f>
        <v>205643399</v>
      </c>
      <c r="E7" s="924">
        <f t="shared" si="0"/>
        <v>28182624</v>
      </c>
      <c r="F7" s="924">
        <f t="shared" si="0"/>
        <v>28182624</v>
      </c>
      <c r="G7" s="924">
        <f t="shared" si="0"/>
        <v>28182624</v>
      </c>
      <c r="H7" s="924">
        <f t="shared" si="0"/>
        <v>359301297</v>
      </c>
      <c r="I7" s="951">
        <f t="shared" si="0"/>
        <v>649492568</v>
      </c>
      <c r="J7" s="513">
        <f>SUM(I8:I10)</f>
        <v>649492568</v>
      </c>
      <c r="K7" s="656">
        <f>+'5.sz.tájék.táb Adósságszolg'!G53</f>
        <v>649492568</v>
      </c>
    </row>
    <row r="8" spans="1:13" ht="23.25" customHeight="1" x14ac:dyDescent="0.2">
      <c r="A8" s="506"/>
      <c r="B8" s="512" t="s">
        <v>1047</v>
      </c>
      <c r="C8" s="509" t="s">
        <v>1048</v>
      </c>
      <c r="D8" s="676">
        <v>131515541</v>
      </c>
      <c r="E8" s="676">
        <v>14063032</v>
      </c>
      <c r="F8" s="676">
        <v>14063032</v>
      </c>
      <c r="G8" s="676">
        <v>14063032</v>
      </c>
      <c r="H8" s="676">
        <v>175787931</v>
      </c>
      <c r="I8" s="675">
        <f t="shared" ref="I8:I17" si="1">SUM(D8:H8)</f>
        <v>349492568</v>
      </c>
      <c r="J8" s="677">
        <f>+K8</f>
        <v>349492568</v>
      </c>
      <c r="K8" s="678">
        <f>+'5.sz.tájék.táb Adósságszolg'!B7</f>
        <v>349492568</v>
      </c>
      <c r="L8" s="513"/>
    </row>
    <row r="9" spans="1:13" ht="18" customHeight="1" x14ac:dyDescent="0.2">
      <c r="A9" s="506"/>
      <c r="B9" s="512" t="s">
        <v>1049</v>
      </c>
      <c r="C9" s="509" t="s">
        <v>1050</v>
      </c>
      <c r="D9" s="676">
        <v>51153858</v>
      </c>
      <c r="E9" s="676">
        <v>9743592</v>
      </c>
      <c r="F9" s="676">
        <v>9743592</v>
      </c>
      <c r="G9" s="676">
        <v>9743592</v>
      </c>
      <c r="H9" s="676">
        <v>126666733</v>
      </c>
      <c r="I9" s="675">
        <f t="shared" si="1"/>
        <v>207051367</v>
      </c>
      <c r="J9" s="677">
        <v>207051367</v>
      </c>
      <c r="K9" s="677">
        <f>+'5.sz.tájék.táb Adósságszolg'!C7</f>
        <v>207051367</v>
      </c>
    </row>
    <row r="10" spans="1:13" ht="21.75" customHeight="1" x14ac:dyDescent="0.2">
      <c r="A10" s="506"/>
      <c r="B10" s="512" t="s">
        <v>1051</v>
      </c>
      <c r="C10" s="509" t="s">
        <v>1050</v>
      </c>
      <c r="D10" s="676">
        <v>22974000</v>
      </c>
      <c r="E10" s="676">
        <v>4376000</v>
      </c>
      <c r="F10" s="676">
        <v>4376000</v>
      </c>
      <c r="G10" s="676">
        <v>4376000</v>
      </c>
      <c r="H10" s="676">
        <v>56846633</v>
      </c>
      <c r="I10" s="675">
        <f t="shared" si="1"/>
        <v>92948633</v>
      </c>
      <c r="J10" s="677">
        <v>92948633</v>
      </c>
      <c r="K10" s="513">
        <f>+'5.sz.tájék.táb Adósságszolg'!D7</f>
        <v>92948633</v>
      </c>
      <c r="L10" s="513"/>
    </row>
    <row r="11" spans="1:13" ht="21" customHeight="1" x14ac:dyDescent="0.2">
      <c r="A11" s="506" t="s">
        <v>190</v>
      </c>
      <c r="B11" s="698" t="s">
        <v>1052</v>
      </c>
      <c r="C11" s="922"/>
      <c r="D11" s="924">
        <f t="shared" ref="D11:I11" si="2">SUM(D12:D15)</f>
        <v>474118015</v>
      </c>
      <c r="E11" s="924">
        <f t="shared" si="2"/>
        <v>934281844</v>
      </c>
      <c r="F11" s="924">
        <f t="shared" si="2"/>
        <v>406418607</v>
      </c>
      <c r="G11" s="924">
        <f t="shared" si="2"/>
        <v>0</v>
      </c>
      <c r="H11" s="924">
        <f t="shared" si="2"/>
        <v>0</v>
      </c>
      <c r="I11" s="951">
        <f t="shared" si="2"/>
        <v>1814818466</v>
      </c>
    </row>
    <row r="12" spans="1:13" ht="35.25" customHeight="1" x14ac:dyDescent="0.2">
      <c r="A12" s="506"/>
      <c r="B12" s="698" t="s">
        <v>1269</v>
      </c>
      <c r="C12" s="922" t="s">
        <v>1053</v>
      </c>
      <c r="D12" s="2236">
        <v>36708750</v>
      </c>
      <c r="E12" s="2236">
        <v>823186323</v>
      </c>
      <c r="F12" s="2236">
        <f>1187505047-E12</f>
        <v>364318724</v>
      </c>
      <c r="G12" s="674"/>
      <c r="H12" s="674"/>
      <c r="I12" s="675">
        <f t="shared" si="1"/>
        <v>1224213797</v>
      </c>
      <c r="J12" s="348">
        <v>708443675</v>
      </c>
    </row>
    <row r="13" spans="1:13" ht="39.75" customHeight="1" x14ac:dyDescent="0.2">
      <c r="A13" s="506"/>
      <c r="B13" s="923" t="s">
        <v>1556</v>
      </c>
      <c r="C13" s="922" t="s">
        <v>1555</v>
      </c>
      <c r="D13" s="2236">
        <f>12160250+403814671</f>
        <v>415974921</v>
      </c>
      <c r="E13" s="2236">
        <v>88951871</v>
      </c>
      <c r="F13" s="674"/>
      <c r="G13" s="674"/>
      <c r="H13" s="674"/>
      <c r="I13" s="675">
        <f t="shared" si="1"/>
        <v>504926792</v>
      </c>
    </row>
    <row r="14" spans="1:13" ht="35.25" customHeight="1" x14ac:dyDescent="0.2">
      <c r="A14" s="506"/>
      <c r="B14" s="698" t="s">
        <v>1554</v>
      </c>
      <c r="C14" s="922" t="s">
        <v>1541</v>
      </c>
      <c r="D14" s="674">
        <v>15401844</v>
      </c>
      <c r="E14" s="674">
        <v>3536226</v>
      </c>
      <c r="F14" s="674">
        <f>16619873+29016236-E14</f>
        <v>42099883</v>
      </c>
      <c r="G14" s="674"/>
      <c r="H14" s="674"/>
      <c r="I14" s="675">
        <f t="shared" si="1"/>
        <v>61037953</v>
      </c>
    </row>
    <row r="15" spans="1:13" ht="35.25" customHeight="1" x14ac:dyDescent="0.2">
      <c r="A15" s="506"/>
      <c r="B15" s="698" t="s">
        <v>1558</v>
      </c>
      <c r="C15" s="922" t="s">
        <v>1557</v>
      </c>
      <c r="D15" s="674">
        <v>6032500</v>
      </c>
      <c r="E15" s="2236">
        <v>18607424</v>
      </c>
      <c r="F15" s="674"/>
      <c r="G15" s="674"/>
      <c r="H15" s="674"/>
      <c r="I15" s="675">
        <f t="shared" si="1"/>
        <v>24639924</v>
      </c>
    </row>
    <row r="16" spans="1:13" ht="20.25" customHeight="1" x14ac:dyDescent="0.2">
      <c r="A16" s="506" t="s">
        <v>191</v>
      </c>
      <c r="B16" s="698" t="s">
        <v>1054</v>
      </c>
      <c r="C16" s="922"/>
      <c r="D16" s="674"/>
      <c r="E16" s="674"/>
      <c r="F16" s="674"/>
      <c r="G16" s="674"/>
      <c r="H16" s="674"/>
      <c r="I16" s="675">
        <f t="shared" si="1"/>
        <v>0</v>
      </c>
      <c r="L16" s="348" t="s">
        <v>1055</v>
      </c>
      <c r="M16" s="348">
        <v>38607</v>
      </c>
    </row>
    <row r="17" spans="1:9" ht="17.25" customHeight="1" x14ac:dyDescent="0.2">
      <c r="A17" s="506" t="s">
        <v>192</v>
      </c>
      <c r="B17" s="698" t="s">
        <v>1056</v>
      </c>
      <c r="C17" s="922"/>
      <c r="D17" s="674"/>
      <c r="E17" s="674"/>
      <c r="F17" s="674"/>
      <c r="G17" s="674"/>
      <c r="H17" s="674"/>
      <c r="I17" s="675">
        <f t="shared" si="1"/>
        <v>0</v>
      </c>
    </row>
    <row r="18" spans="1:9" ht="23.25" customHeight="1" thickBot="1" x14ac:dyDescent="0.25">
      <c r="A18" s="2007" t="s">
        <v>1057</v>
      </c>
      <c r="B18" s="2008"/>
      <c r="C18" s="514">
        <f t="shared" ref="C18:I18" si="3">+C6+C7+C11+C16+C17</f>
        <v>0</v>
      </c>
      <c r="D18" s="514">
        <f t="shared" si="3"/>
        <v>679761414</v>
      </c>
      <c r="E18" s="514">
        <f t="shared" si="3"/>
        <v>962464468</v>
      </c>
      <c r="F18" s="514">
        <f t="shared" si="3"/>
        <v>434601231</v>
      </c>
      <c r="G18" s="514">
        <f t="shared" si="3"/>
        <v>28182624</v>
      </c>
      <c r="H18" s="514">
        <f t="shared" si="3"/>
        <v>359301297</v>
      </c>
      <c r="I18" s="515">
        <f t="shared" si="3"/>
        <v>2464311034</v>
      </c>
    </row>
    <row r="22" spans="1:9" x14ac:dyDescent="0.2">
      <c r="D22" s="348">
        <v>465572429</v>
      </c>
    </row>
  </sheetData>
  <mergeCells count="9">
    <mergeCell ref="J3:J5"/>
    <mergeCell ref="A18:B18"/>
    <mergeCell ref="A1:I1"/>
    <mergeCell ref="A3:A4"/>
    <mergeCell ref="B3:B4"/>
    <mergeCell ref="C3:C4"/>
    <mergeCell ref="D3:D4"/>
    <mergeCell ref="E3:H3"/>
    <mergeCell ref="I3:I4"/>
  </mergeCells>
  <printOptions horizontalCentered="1"/>
  <pageMargins left="0.31496062992125984" right="0.31496062992125984" top="0.74803149606299213" bottom="0.35433070866141736" header="0.31496062992125984" footer="0.31496062992125984"/>
  <pageSetup paperSize="9" scale="78" orientation="landscape" r:id="rId1"/>
  <headerFooter>
    <oddHeader>&amp;C2023. évi költségvetés
&amp;R&amp;A</oddHeader>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P687"/>
  <sheetViews>
    <sheetView view="pageBreakPreview" topLeftCell="A26" zoomScaleNormal="100" zoomScaleSheetLayoutView="100" workbookViewId="0">
      <selection activeCell="C60" sqref="C60"/>
    </sheetView>
  </sheetViews>
  <sheetFormatPr defaultColWidth="12.42578125" defaultRowHeight="11.25" x14ac:dyDescent="0.2"/>
  <cols>
    <col min="1" max="1" width="25.5703125" style="525" bestFit="1" customWidth="1"/>
    <col min="2" max="4" width="26.140625" style="525" bestFit="1" customWidth="1"/>
    <col min="5" max="5" width="16.42578125" style="525" bestFit="1" customWidth="1"/>
    <col min="6" max="6" width="21.85546875" style="525" customWidth="1"/>
    <col min="7" max="16384" width="12.42578125" style="525"/>
  </cols>
  <sheetData>
    <row r="1" spans="1:94" s="518" customFormat="1" ht="29.25" customHeight="1" x14ac:dyDescent="0.25">
      <c r="A1" s="2019" t="s">
        <v>1061</v>
      </c>
      <c r="B1" s="2019"/>
      <c r="C1" s="2019"/>
      <c r="D1" s="2019"/>
      <c r="E1" s="2019"/>
      <c r="F1" s="516"/>
      <c r="G1" s="517"/>
      <c r="H1" s="517"/>
      <c r="I1" s="517"/>
      <c r="J1" s="517"/>
      <c r="K1" s="517"/>
      <c r="L1" s="517"/>
      <c r="M1" s="517"/>
      <c r="N1" s="517"/>
      <c r="O1" s="517"/>
      <c r="P1" s="517"/>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c r="AX1" s="517"/>
      <c r="AY1" s="517"/>
      <c r="AZ1" s="517"/>
      <c r="BA1" s="517"/>
      <c r="BB1" s="517"/>
      <c r="BC1" s="517"/>
      <c r="BD1" s="517"/>
      <c r="BE1" s="517"/>
      <c r="BF1" s="517"/>
      <c r="BG1" s="517"/>
      <c r="BH1" s="517"/>
      <c r="BI1" s="517"/>
      <c r="BJ1" s="517"/>
      <c r="BK1" s="517"/>
      <c r="BL1" s="517"/>
      <c r="BM1" s="517"/>
      <c r="BN1" s="517"/>
      <c r="BO1" s="517"/>
      <c r="BP1" s="517"/>
      <c r="BQ1" s="517"/>
      <c r="BR1" s="517"/>
      <c r="BS1" s="517"/>
      <c r="BT1" s="517"/>
      <c r="BU1" s="517"/>
      <c r="BV1" s="517"/>
      <c r="BW1" s="517"/>
      <c r="BX1" s="517"/>
      <c r="BY1" s="517"/>
      <c r="BZ1" s="517"/>
      <c r="CA1" s="517"/>
      <c r="CB1" s="517"/>
      <c r="CC1" s="517"/>
      <c r="CD1" s="517"/>
      <c r="CE1" s="517"/>
      <c r="CF1" s="517"/>
      <c r="CG1" s="517"/>
      <c r="CH1" s="517"/>
      <c r="CI1" s="517"/>
      <c r="CJ1" s="517"/>
      <c r="CK1" s="517"/>
      <c r="CL1" s="517"/>
      <c r="CM1" s="517"/>
      <c r="CN1" s="517"/>
      <c r="CO1" s="517"/>
      <c r="CP1" s="517"/>
    </row>
    <row r="2" spans="1:94" s="517" customFormat="1" ht="14.25" customHeight="1" x14ac:dyDescent="0.25">
      <c r="A2" s="908"/>
      <c r="B2" s="908"/>
      <c r="C2" s="908"/>
      <c r="D2" s="908"/>
      <c r="E2" s="908"/>
      <c r="F2" s="908"/>
    </row>
    <row r="3" spans="1:94" s="517" customFormat="1" ht="11.25" customHeight="1" x14ac:dyDescent="0.2">
      <c r="A3" s="519"/>
      <c r="E3" s="520"/>
      <c r="F3" s="521"/>
    </row>
    <row r="4" spans="1:94" s="517" customFormat="1" ht="3" customHeight="1" thickBot="1" x14ac:dyDescent="0.25">
      <c r="F4" s="520"/>
    </row>
    <row r="5" spans="1:94" s="524" customFormat="1" ht="37.5" customHeight="1" x14ac:dyDescent="0.2">
      <c r="A5" s="2020" t="s">
        <v>2</v>
      </c>
      <c r="B5" s="2021" t="s">
        <v>1062</v>
      </c>
      <c r="C5" s="2021"/>
      <c r="D5" s="2021"/>
      <c r="E5" s="2022" t="s">
        <v>1063</v>
      </c>
      <c r="F5" s="517"/>
      <c r="G5" s="517"/>
      <c r="H5" s="517"/>
      <c r="I5" s="517"/>
      <c r="J5" s="517"/>
      <c r="K5" s="517"/>
      <c r="L5" s="517"/>
      <c r="M5" s="517"/>
      <c r="N5" s="517"/>
      <c r="O5" s="517"/>
      <c r="P5" s="517"/>
      <c r="Q5" s="517"/>
      <c r="R5" s="517"/>
      <c r="S5" s="517"/>
      <c r="T5" s="517"/>
      <c r="U5" s="517"/>
      <c r="V5" s="517"/>
      <c r="W5" s="517"/>
      <c r="X5" s="517"/>
      <c r="Y5" s="517"/>
      <c r="Z5" s="517"/>
      <c r="AA5" s="517"/>
      <c r="AB5" s="517"/>
      <c r="AC5" s="517"/>
      <c r="AD5" s="517"/>
      <c r="AE5" s="517"/>
      <c r="AF5" s="517"/>
      <c r="AG5" s="517"/>
      <c r="AH5" s="517"/>
      <c r="AI5" s="517"/>
      <c r="AJ5" s="517"/>
      <c r="AK5" s="517"/>
      <c r="AL5" s="517"/>
      <c r="AM5" s="517"/>
      <c r="AN5" s="517"/>
      <c r="AO5" s="517"/>
      <c r="AP5" s="517"/>
      <c r="AQ5" s="517"/>
      <c r="AR5" s="517"/>
      <c r="AS5" s="517"/>
      <c r="AT5" s="517"/>
      <c r="AU5" s="517"/>
      <c r="AV5" s="517"/>
      <c r="AW5" s="517"/>
      <c r="AX5" s="517"/>
      <c r="AY5" s="517"/>
      <c r="AZ5" s="517"/>
      <c r="BA5" s="517"/>
      <c r="BB5" s="517"/>
      <c r="BC5" s="517"/>
      <c r="BD5" s="517"/>
      <c r="BE5" s="517"/>
      <c r="BF5" s="517"/>
      <c r="BG5" s="517"/>
      <c r="BH5" s="517"/>
      <c r="BI5" s="517"/>
      <c r="BJ5" s="517"/>
      <c r="BK5" s="517"/>
      <c r="BL5" s="517"/>
      <c r="BM5" s="517"/>
      <c r="BN5" s="517"/>
      <c r="BO5" s="517"/>
      <c r="BP5" s="517"/>
      <c r="BQ5" s="517"/>
      <c r="BR5" s="517"/>
      <c r="BS5" s="517"/>
      <c r="BT5" s="517"/>
      <c r="BU5" s="517"/>
      <c r="BV5" s="517"/>
      <c r="BW5" s="517"/>
      <c r="BX5" s="517"/>
      <c r="BY5" s="517"/>
      <c r="BZ5" s="517"/>
      <c r="CA5" s="517"/>
      <c r="CB5" s="517"/>
      <c r="CC5" s="517"/>
      <c r="CD5" s="517"/>
      <c r="CE5" s="517"/>
      <c r="CF5" s="517"/>
      <c r="CG5" s="517"/>
      <c r="CH5" s="517"/>
      <c r="CI5" s="517"/>
      <c r="CJ5" s="517"/>
      <c r="CK5" s="517"/>
      <c r="CL5" s="517"/>
      <c r="CM5" s="517"/>
      <c r="CN5" s="517"/>
      <c r="CO5" s="517"/>
      <c r="CP5" s="517"/>
    </row>
    <row r="6" spans="1:94" ht="24.75" customHeight="1" x14ac:dyDescent="0.2">
      <c r="A6" s="2020"/>
      <c r="B6" s="522" t="s">
        <v>1064</v>
      </c>
      <c r="C6" s="522" t="s">
        <v>1064</v>
      </c>
      <c r="D6" s="522" t="s">
        <v>1064</v>
      </c>
      <c r="E6" s="2022"/>
      <c r="F6" s="517"/>
      <c r="G6" s="517"/>
      <c r="H6" s="517"/>
      <c r="I6" s="517"/>
      <c r="J6" s="517"/>
      <c r="K6" s="517"/>
      <c r="L6" s="517"/>
      <c r="M6" s="517"/>
      <c r="N6" s="517"/>
      <c r="O6" s="517"/>
      <c r="P6" s="517"/>
      <c r="Q6" s="517"/>
      <c r="R6" s="517"/>
      <c r="S6" s="517"/>
      <c r="T6" s="517"/>
      <c r="U6" s="517"/>
      <c r="V6" s="517"/>
      <c r="W6" s="517"/>
      <c r="X6" s="517"/>
      <c r="Y6" s="517"/>
      <c r="Z6" s="517"/>
      <c r="AA6" s="517"/>
      <c r="AB6" s="517"/>
      <c r="AC6" s="517"/>
      <c r="AD6" s="517"/>
      <c r="AE6" s="517"/>
      <c r="AF6" s="517"/>
      <c r="AG6" s="517"/>
      <c r="AH6" s="517"/>
      <c r="AI6" s="517"/>
      <c r="AJ6" s="517"/>
      <c r="AK6" s="517"/>
      <c r="AL6" s="517"/>
      <c r="AM6" s="517"/>
      <c r="AN6" s="517"/>
      <c r="AO6" s="517"/>
      <c r="AP6" s="517"/>
      <c r="AQ6" s="517"/>
      <c r="AR6" s="517"/>
      <c r="AS6" s="517"/>
      <c r="AT6" s="517"/>
      <c r="AU6" s="517"/>
      <c r="AV6" s="517"/>
      <c r="AW6" s="517"/>
      <c r="AX6" s="517"/>
      <c r="AY6" s="517"/>
      <c r="AZ6" s="517"/>
      <c r="BA6" s="517"/>
      <c r="BB6" s="517"/>
      <c r="BC6" s="517"/>
      <c r="BD6" s="517"/>
      <c r="BE6" s="517"/>
      <c r="BF6" s="517"/>
      <c r="BG6" s="517"/>
      <c r="BH6" s="517"/>
      <c r="BI6" s="517"/>
      <c r="BJ6" s="517"/>
      <c r="BK6" s="517"/>
      <c r="BL6" s="517"/>
      <c r="BM6" s="517"/>
      <c r="BN6" s="517"/>
      <c r="BO6" s="517"/>
      <c r="BP6" s="517"/>
      <c r="BQ6" s="517"/>
      <c r="BR6" s="517"/>
      <c r="BS6" s="517"/>
      <c r="BT6" s="517"/>
      <c r="BU6" s="517"/>
      <c r="BV6" s="517"/>
      <c r="BW6" s="517"/>
      <c r="BX6" s="517"/>
      <c r="BY6" s="517"/>
      <c r="BZ6" s="517"/>
      <c r="CA6" s="517"/>
      <c r="CB6" s="517"/>
      <c r="CC6" s="517"/>
      <c r="CD6" s="517"/>
      <c r="CE6" s="517"/>
      <c r="CF6" s="517"/>
      <c r="CG6" s="517"/>
      <c r="CH6" s="517"/>
      <c r="CI6" s="517"/>
      <c r="CJ6" s="517"/>
      <c r="CK6" s="517"/>
      <c r="CL6" s="517"/>
      <c r="CM6" s="517"/>
      <c r="CN6" s="517"/>
      <c r="CO6" s="517"/>
      <c r="CP6" s="517"/>
    </row>
    <row r="7" spans="1:94" s="527" customFormat="1" ht="16.5" customHeight="1" thickBot="1" x14ac:dyDescent="0.25">
      <c r="A7" s="2020"/>
      <c r="B7" s="526">
        <f>360000000-10507432</f>
        <v>349492568</v>
      </c>
      <c r="C7" s="526">
        <v>207051367</v>
      </c>
      <c r="D7" s="526">
        <v>92948633</v>
      </c>
      <c r="E7" s="2023"/>
      <c r="F7" s="517"/>
      <c r="G7" s="517"/>
      <c r="H7" s="517"/>
      <c r="I7" s="517"/>
      <c r="J7" s="517"/>
      <c r="K7" s="517"/>
      <c r="L7" s="517"/>
      <c r="M7" s="517"/>
      <c r="N7" s="517"/>
      <c r="O7" s="517"/>
      <c r="P7" s="517"/>
      <c r="Q7" s="517"/>
      <c r="R7" s="517"/>
      <c r="S7" s="517"/>
      <c r="T7" s="517"/>
      <c r="U7" s="517"/>
      <c r="V7" s="517"/>
      <c r="W7" s="517"/>
      <c r="X7" s="517"/>
      <c r="Y7" s="517"/>
      <c r="Z7" s="517"/>
      <c r="AA7" s="517"/>
      <c r="AB7" s="517"/>
      <c r="AC7" s="517"/>
      <c r="AD7" s="517"/>
      <c r="AE7" s="517"/>
      <c r="AF7" s="517"/>
      <c r="AG7" s="517"/>
      <c r="AH7" s="517"/>
      <c r="AI7" s="517"/>
      <c r="AJ7" s="517"/>
      <c r="AK7" s="517"/>
      <c r="AL7" s="517"/>
      <c r="AM7" s="517"/>
      <c r="AN7" s="517"/>
      <c r="AO7" s="517"/>
      <c r="AP7" s="517"/>
      <c r="AQ7" s="517"/>
      <c r="AR7" s="517"/>
      <c r="AS7" s="517"/>
      <c r="AT7" s="517"/>
      <c r="AU7" s="517"/>
      <c r="AV7" s="517"/>
      <c r="AW7" s="517"/>
      <c r="AX7" s="517"/>
      <c r="AY7" s="517"/>
      <c r="AZ7" s="517"/>
      <c r="BA7" s="517"/>
      <c r="BB7" s="517"/>
      <c r="BC7" s="517"/>
      <c r="BD7" s="517"/>
      <c r="BE7" s="517"/>
      <c r="BF7" s="517"/>
      <c r="BG7" s="517"/>
      <c r="BH7" s="517"/>
      <c r="BI7" s="517"/>
      <c r="BJ7" s="517"/>
      <c r="BK7" s="517"/>
      <c r="BL7" s="517"/>
      <c r="BM7" s="517"/>
      <c r="BN7" s="517"/>
      <c r="BO7" s="517"/>
      <c r="BP7" s="517"/>
      <c r="BQ7" s="517"/>
      <c r="BR7" s="517"/>
      <c r="BS7" s="517"/>
      <c r="BT7" s="517"/>
      <c r="BU7" s="517"/>
      <c r="BV7" s="517"/>
      <c r="BW7" s="517"/>
      <c r="BX7" s="517"/>
      <c r="BY7" s="517"/>
      <c r="BZ7" s="517"/>
      <c r="CA7" s="517"/>
      <c r="CB7" s="517"/>
      <c r="CC7" s="517"/>
      <c r="CD7" s="517"/>
      <c r="CE7" s="517"/>
      <c r="CF7" s="517"/>
      <c r="CG7" s="517"/>
      <c r="CH7" s="517"/>
      <c r="CI7" s="517"/>
      <c r="CJ7" s="517"/>
      <c r="CK7" s="517"/>
      <c r="CL7" s="517"/>
      <c r="CM7" s="517"/>
      <c r="CN7" s="517"/>
      <c r="CO7" s="517"/>
      <c r="CP7" s="517"/>
    </row>
    <row r="8" spans="1:94" s="530" customFormat="1" ht="45" customHeight="1" x14ac:dyDescent="0.2">
      <c r="A8" s="528" t="s">
        <v>1065</v>
      </c>
      <c r="B8" s="529" t="s">
        <v>1066</v>
      </c>
      <c r="C8" s="529" t="s">
        <v>1067</v>
      </c>
      <c r="D8" s="529" t="s">
        <v>1068</v>
      </c>
      <c r="E8" s="2024"/>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7"/>
      <c r="BC8" s="517"/>
      <c r="BD8" s="517"/>
      <c r="BE8" s="517"/>
      <c r="BF8" s="517"/>
      <c r="BG8" s="517"/>
      <c r="BH8" s="517"/>
      <c r="BI8" s="517"/>
      <c r="BJ8" s="517"/>
      <c r="BK8" s="517"/>
      <c r="BL8" s="517"/>
      <c r="BM8" s="517"/>
      <c r="BN8" s="517"/>
      <c r="BO8" s="517"/>
      <c r="BP8" s="517"/>
      <c r="BQ8" s="517"/>
      <c r="BR8" s="517"/>
      <c r="BS8" s="517"/>
      <c r="BT8" s="517"/>
      <c r="BU8" s="517"/>
      <c r="BV8" s="517"/>
      <c r="BW8" s="517"/>
      <c r="BX8" s="517"/>
      <c r="BY8" s="517"/>
      <c r="BZ8" s="517"/>
      <c r="CA8" s="517"/>
      <c r="CB8" s="517"/>
      <c r="CC8" s="517"/>
      <c r="CD8" s="517"/>
      <c r="CE8" s="517"/>
      <c r="CF8" s="517"/>
      <c r="CG8" s="517"/>
      <c r="CH8" s="517"/>
      <c r="CI8" s="517"/>
      <c r="CJ8" s="517"/>
      <c r="CK8" s="517"/>
      <c r="CL8" s="517"/>
      <c r="CM8" s="517"/>
      <c r="CN8" s="517"/>
      <c r="CO8" s="517"/>
      <c r="CP8" s="517"/>
    </row>
    <row r="9" spans="1:94" s="530" customFormat="1" ht="22.5" customHeight="1" x14ac:dyDescent="0.2">
      <c r="A9" s="528" t="s">
        <v>1069</v>
      </c>
      <c r="B9" s="531">
        <v>41466</v>
      </c>
      <c r="C9" s="531">
        <v>41647</v>
      </c>
      <c r="D9" s="531">
        <v>41647</v>
      </c>
      <c r="E9" s="2024"/>
      <c r="F9" s="517"/>
      <c r="G9" s="517"/>
      <c r="H9" s="517"/>
      <c r="I9" s="517"/>
      <c r="J9" s="517"/>
      <c r="K9" s="517"/>
      <c r="L9" s="517"/>
      <c r="M9" s="517"/>
      <c r="N9" s="517"/>
      <c r="O9" s="517"/>
      <c r="P9" s="517"/>
      <c r="Q9" s="517"/>
      <c r="R9" s="517"/>
      <c r="S9" s="517"/>
      <c r="T9" s="517"/>
      <c r="U9" s="517"/>
      <c r="V9" s="517"/>
      <c r="W9" s="517"/>
      <c r="X9" s="517"/>
      <c r="Y9" s="517"/>
      <c r="Z9" s="517"/>
      <c r="AA9" s="517"/>
      <c r="AB9" s="517"/>
      <c r="AC9" s="517"/>
      <c r="AD9" s="517"/>
      <c r="AE9" s="517"/>
      <c r="AF9" s="517"/>
      <c r="AG9" s="517"/>
      <c r="AH9" s="517"/>
      <c r="AI9" s="517"/>
      <c r="AJ9" s="517"/>
      <c r="AK9" s="517"/>
      <c r="AL9" s="517"/>
      <c r="AM9" s="517"/>
      <c r="AN9" s="517"/>
      <c r="AO9" s="517"/>
      <c r="AP9" s="517"/>
      <c r="AQ9" s="517"/>
      <c r="AR9" s="517"/>
      <c r="AS9" s="517"/>
      <c r="AT9" s="517"/>
      <c r="AU9" s="517"/>
      <c r="AV9" s="517"/>
      <c r="AW9" s="517"/>
      <c r="AX9" s="517"/>
      <c r="AY9" s="517"/>
      <c r="AZ9" s="517"/>
      <c r="BA9" s="517"/>
      <c r="BB9" s="517"/>
      <c r="BC9" s="517"/>
      <c r="BD9" s="517"/>
      <c r="BE9" s="517"/>
      <c r="BF9" s="517"/>
      <c r="BG9" s="517"/>
      <c r="BH9" s="517"/>
      <c r="BI9" s="517"/>
      <c r="BJ9" s="517"/>
      <c r="BK9" s="517"/>
      <c r="BL9" s="517"/>
      <c r="BM9" s="517"/>
      <c r="BN9" s="517"/>
      <c r="BO9" s="517"/>
      <c r="BP9" s="517"/>
      <c r="BQ9" s="517"/>
      <c r="BR9" s="517"/>
      <c r="BS9" s="517"/>
      <c r="BT9" s="517"/>
      <c r="BU9" s="517"/>
      <c r="BV9" s="517"/>
      <c r="BW9" s="517"/>
      <c r="BX9" s="517"/>
      <c r="BY9" s="517"/>
      <c r="BZ9" s="517"/>
      <c r="CA9" s="517"/>
      <c r="CB9" s="517"/>
      <c r="CC9" s="517"/>
      <c r="CD9" s="517"/>
      <c r="CE9" s="517"/>
      <c r="CF9" s="517"/>
      <c r="CG9" s="517"/>
      <c r="CH9" s="517"/>
      <c r="CI9" s="517"/>
      <c r="CJ9" s="517"/>
      <c r="CK9" s="517"/>
      <c r="CL9" s="517"/>
      <c r="CM9" s="517"/>
      <c r="CN9" s="517"/>
      <c r="CO9" s="517"/>
      <c r="CP9" s="517"/>
    </row>
    <row r="10" spans="1:94" s="530" customFormat="1" ht="18" customHeight="1" x14ac:dyDescent="0.2">
      <c r="A10" s="532" t="s">
        <v>1070</v>
      </c>
      <c r="B10" s="533"/>
      <c r="C10" s="533"/>
      <c r="D10" s="533"/>
      <c r="E10" s="2024"/>
      <c r="F10" s="517"/>
      <c r="G10" s="517"/>
      <c r="H10" s="517"/>
      <c r="I10" s="517"/>
      <c r="J10" s="517"/>
      <c r="K10" s="517"/>
      <c r="L10" s="517"/>
      <c r="M10" s="517"/>
      <c r="N10" s="517"/>
      <c r="O10" s="517"/>
      <c r="P10" s="517"/>
      <c r="Q10" s="517"/>
      <c r="R10" s="517"/>
      <c r="S10" s="517"/>
      <c r="T10" s="517"/>
      <c r="U10" s="517"/>
      <c r="V10" s="517"/>
      <c r="W10" s="517"/>
      <c r="X10" s="517"/>
      <c r="Y10" s="517"/>
      <c r="Z10" s="517"/>
      <c r="AA10" s="517"/>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7"/>
      <c r="AY10" s="517"/>
      <c r="AZ10" s="517"/>
      <c r="BA10" s="517"/>
      <c r="BB10" s="517"/>
      <c r="BC10" s="517"/>
      <c r="BD10" s="517"/>
      <c r="BE10" s="517"/>
      <c r="BF10" s="517"/>
      <c r="BG10" s="517"/>
      <c r="BH10" s="517"/>
      <c r="BI10" s="517"/>
      <c r="BJ10" s="517"/>
      <c r="BK10" s="517"/>
      <c r="BL10" s="517"/>
      <c r="BM10" s="517"/>
      <c r="BN10" s="517"/>
      <c r="BO10" s="517"/>
      <c r="BP10" s="517"/>
      <c r="BQ10" s="517"/>
      <c r="BR10" s="517"/>
      <c r="BS10" s="517"/>
      <c r="BT10" s="517"/>
      <c r="BU10" s="517"/>
      <c r="BV10" s="517"/>
      <c r="BW10" s="517"/>
      <c r="BX10" s="517"/>
      <c r="BY10" s="517"/>
      <c r="BZ10" s="517"/>
      <c r="CA10" s="517"/>
      <c r="CB10" s="517"/>
      <c r="CC10" s="517"/>
      <c r="CD10" s="517"/>
      <c r="CE10" s="517"/>
      <c r="CF10" s="517"/>
      <c r="CG10" s="517"/>
      <c r="CH10" s="517"/>
      <c r="CI10" s="517"/>
      <c r="CJ10" s="517"/>
      <c r="CK10" s="517"/>
      <c r="CL10" s="517"/>
      <c r="CM10" s="517"/>
      <c r="CN10" s="517"/>
      <c r="CO10" s="517"/>
      <c r="CP10" s="517"/>
    </row>
    <row r="11" spans="1:94" s="530" customFormat="1" ht="13.5" customHeight="1" x14ac:dyDescent="0.2">
      <c r="A11" s="534" t="s">
        <v>1071</v>
      </c>
      <c r="B11" s="528" t="s">
        <v>1072</v>
      </c>
      <c r="C11" s="528" t="s">
        <v>1073</v>
      </c>
      <c r="D11" s="528" t="s">
        <v>1073</v>
      </c>
      <c r="E11" s="2024"/>
      <c r="F11" s="517"/>
      <c r="G11" s="517"/>
      <c r="H11" s="517"/>
      <c r="I11" s="517"/>
      <c r="J11" s="517"/>
      <c r="K11" s="517"/>
      <c r="L11" s="517"/>
      <c r="M11" s="517"/>
      <c r="N11" s="517"/>
      <c r="O11" s="517"/>
      <c r="P11" s="517"/>
      <c r="Q11" s="517"/>
      <c r="R11" s="517"/>
      <c r="S11" s="517"/>
      <c r="T11" s="517"/>
      <c r="U11" s="517"/>
      <c r="V11" s="517"/>
      <c r="W11" s="517"/>
      <c r="X11" s="517"/>
      <c r="Y11" s="517"/>
      <c r="Z11" s="517"/>
      <c r="AA11" s="517"/>
      <c r="AB11" s="517"/>
      <c r="AC11" s="517"/>
      <c r="AD11" s="517"/>
      <c r="AE11" s="517"/>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7"/>
      <c r="BB11" s="517"/>
      <c r="BC11" s="517"/>
      <c r="BD11" s="517"/>
      <c r="BE11" s="517"/>
      <c r="BF11" s="517"/>
      <c r="BG11" s="517"/>
      <c r="BH11" s="517"/>
      <c r="BI11" s="517"/>
      <c r="BJ11" s="517"/>
      <c r="BK11" s="517"/>
      <c r="BL11" s="517"/>
      <c r="BM11" s="517"/>
      <c r="BN11" s="517"/>
      <c r="BO11" s="517"/>
      <c r="BP11" s="517"/>
      <c r="BQ11" s="517"/>
      <c r="BR11" s="517"/>
      <c r="BS11" s="517"/>
      <c r="BT11" s="517"/>
      <c r="BU11" s="517"/>
      <c r="BV11" s="517"/>
      <c r="BW11" s="517"/>
      <c r="BX11" s="517"/>
      <c r="BY11" s="517"/>
      <c r="BZ11" s="517"/>
      <c r="CA11" s="517"/>
      <c r="CB11" s="517"/>
      <c r="CC11" s="517"/>
      <c r="CD11" s="517"/>
      <c r="CE11" s="517"/>
      <c r="CF11" s="517"/>
      <c r="CG11" s="517"/>
      <c r="CH11" s="517"/>
      <c r="CI11" s="517"/>
      <c r="CJ11" s="517"/>
      <c r="CK11" s="517"/>
      <c r="CL11" s="517"/>
      <c r="CM11" s="517"/>
      <c r="CN11" s="517"/>
      <c r="CO11" s="517"/>
      <c r="CP11" s="517"/>
    </row>
    <row r="12" spans="1:94" s="537" customFormat="1" ht="12.75" customHeight="1" x14ac:dyDescent="0.2">
      <c r="A12" s="534" t="s">
        <v>53</v>
      </c>
      <c r="B12" s="535" t="s">
        <v>188</v>
      </c>
      <c r="C12" s="535" t="s">
        <v>189</v>
      </c>
      <c r="D12" s="535" t="s">
        <v>190</v>
      </c>
      <c r="E12" s="2024"/>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6"/>
      <c r="AY12" s="536"/>
      <c r="AZ12" s="536"/>
      <c r="BA12" s="536"/>
      <c r="BB12" s="536"/>
      <c r="BC12" s="536"/>
      <c r="BD12" s="536"/>
      <c r="BE12" s="536"/>
      <c r="BF12" s="536"/>
      <c r="BG12" s="536"/>
      <c r="BH12" s="536"/>
      <c r="BI12" s="536"/>
      <c r="BJ12" s="536"/>
      <c r="BK12" s="536"/>
      <c r="BL12" s="536"/>
      <c r="BM12" s="536"/>
      <c r="BN12" s="536"/>
      <c r="BO12" s="536"/>
      <c r="BP12" s="536"/>
      <c r="BQ12" s="536"/>
      <c r="BR12" s="536"/>
      <c r="BS12" s="536"/>
      <c r="BT12" s="536"/>
      <c r="BU12" s="536"/>
      <c r="BV12" s="536"/>
      <c r="BW12" s="536"/>
      <c r="BX12" s="536"/>
      <c r="BY12" s="536"/>
      <c r="BZ12" s="536"/>
      <c r="CA12" s="536"/>
      <c r="CB12" s="536"/>
      <c r="CC12" s="536"/>
      <c r="CD12" s="536"/>
      <c r="CE12" s="536"/>
      <c r="CF12" s="536"/>
      <c r="CG12" s="536"/>
      <c r="CH12" s="536"/>
      <c r="CI12" s="536"/>
      <c r="CJ12" s="536"/>
      <c r="CK12" s="536"/>
      <c r="CL12" s="536"/>
      <c r="CM12" s="536"/>
      <c r="CN12" s="536"/>
      <c r="CO12" s="536"/>
      <c r="CP12" s="536"/>
    </row>
    <row r="13" spans="1:94" s="540" customFormat="1" ht="31.5" customHeight="1" x14ac:dyDescent="0.2">
      <c r="A13" s="522" t="s">
        <v>1074</v>
      </c>
      <c r="B13" s="538" t="s">
        <v>1075</v>
      </c>
      <c r="C13" s="538" t="s">
        <v>1075</v>
      </c>
      <c r="D13" s="538" t="s">
        <v>1075</v>
      </c>
      <c r="E13" s="2024"/>
      <c r="F13" s="539"/>
      <c r="G13" s="539"/>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row>
    <row r="14" spans="1:94" s="540" customFormat="1" ht="44.25" customHeight="1" x14ac:dyDescent="0.2">
      <c r="A14" s="541" t="s">
        <v>1076</v>
      </c>
      <c r="B14" s="523"/>
      <c r="C14" s="523"/>
      <c r="D14" s="523"/>
      <c r="E14" s="2025"/>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row>
    <row r="15" spans="1:94" s="543" customFormat="1" ht="14.25" customHeight="1" x14ac:dyDescent="0.2">
      <c r="A15" s="542" t="s">
        <v>1077</v>
      </c>
      <c r="B15" s="542"/>
      <c r="C15" s="542"/>
      <c r="D15" s="542"/>
      <c r="E15" s="542" t="s">
        <v>1078</v>
      </c>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row>
    <row r="16" spans="1:94" ht="15.95" customHeight="1" x14ac:dyDescent="0.2">
      <c r="A16" s="522" t="s">
        <v>1079</v>
      </c>
      <c r="B16" s="544">
        <v>64716139</v>
      </c>
      <c r="C16" s="544"/>
      <c r="D16" s="544"/>
      <c r="E16" s="909">
        <f>SUM(B16:B16)</f>
        <v>64716139</v>
      </c>
      <c r="F16" s="517"/>
      <c r="G16" s="517"/>
      <c r="H16" s="517"/>
      <c r="I16" s="517"/>
      <c r="J16" s="517"/>
      <c r="K16" s="517"/>
      <c r="L16" s="517"/>
      <c r="M16" s="517"/>
      <c r="N16" s="517"/>
      <c r="O16" s="517"/>
      <c r="P16" s="517"/>
      <c r="Q16" s="517"/>
      <c r="R16" s="517"/>
      <c r="S16" s="517"/>
      <c r="T16" s="517"/>
      <c r="U16" s="517"/>
      <c r="V16" s="517"/>
      <c r="W16" s="517"/>
      <c r="X16" s="517"/>
      <c r="Y16" s="517"/>
      <c r="Z16" s="517"/>
      <c r="AA16" s="517"/>
      <c r="AB16" s="517"/>
      <c r="AC16" s="517"/>
      <c r="AD16" s="517"/>
      <c r="AE16" s="517"/>
      <c r="AF16" s="517"/>
      <c r="AG16" s="517"/>
      <c r="AH16" s="517"/>
      <c r="AI16" s="517"/>
      <c r="AJ16" s="517"/>
      <c r="AK16" s="517"/>
      <c r="AL16" s="517"/>
      <c r="AM16" s="517"/>
      <c r="AN16" s="517"/>
      <c r="AO16" s="517"/>
      <c r="AP16" s="517"/>
      <c r="AQ16" s="517"/>
      <c r="AR16" s="517"/>
      <c r="AS16" s="517"/>
      <c r="AT16" s="517"/>
      <c r="AU16" s="517"/>
      <c r="AV16" s="517"/>
      <c r="AW16" s="517"/>
      <c r="AX16" s="517"/>
      <c r="AY16" s="517"/>
      <c r="AZ16" s="517"/>
      <c r="BA16" s="517"/>
      <c r="BB16" s="517"/>
      <c r="BC16" s="517"/>
      <c r="BD16" s="517"/>
      <c r="BE16" s="517"/>
      <c r="BF16" s="517"/>
      <c r="BG16" s="517"/>
      <c r="BH16" s="517"/>
      <c r="BI16" s="517"/>
      <c r="BJ16" s="517"/>
      <c r="BK16" s="517"/>
      <c r="BL16" s="517"/>
      <c r="BM16" s="517"/>
      <c r="BN16" s="517"/>
      <c r="BO16" s="517"/>
      <c r="BP16" s="517"/>
      <c r="BQ16" s="517"/>
      <c r="BR16" s="517"/>
      <c r="BS16" s="517"/>
      <c r="BT16" s="517"/>
      <c r="BU16" s="517"/>
      <c r="BV16" s="517"/>
      <c r="BW16" s="517"/>
      <c r="BX16" s="517"/>
      <c r="BY16" s="517"/>
      <c r="BZ16" s="517"/>
      <c r="CA16" s="517"/>
      <c r="CB16" s="517"/>
      <c r="CC16" s="517"/>
      <c r="CD16" s="517"/>
      <c r="CE16" s="517"/>
      <c r="CF16" s="517"/>
      <c r="CG16" s="517"/>
      <c r="CH16" s="517"/>
      <c r="CI16" s="517"/>
      <c r="CJ16" s="517"/>
      <c r="CK16" s="517"/>
      <c r="CL16" s="517"/>
      <c r="CM16" s="517"/>
      <c r="CN16" s="517"/>
      <c r="CO16" s="517"/>
      <c r="CP16" s="517"/>
    </row>
    <row r="17" spans="1:94" ht="15.95" customHeight="1" x14ac:dyDescent="0.2">
      <c r="A17" s="522" t="s">
        <v>1080</v>
      </c>
      <c r="B17" s="544"/>
      <c r="C17" s="544"/>
      <c r="D17" s="544"/>
      <c r="E17" s="909">
        <f>SUM(B17:B17)</f>
        <v>0</v>
      </c>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517"/>
      <c r="AD17" s="517"/>
      <c r="AE17" s="517"/>
      <c r="AF17" s="517"/>
      <c r="AG17" s="517"/>
      <c r="AH17" s="517"/>
      <c r="AI17" s="517"/>
      <c r="AJ17" s="517"/>
      <c r="AK17" s="517"/>
      <c r="AL17" s="517"/>
      <c r="AM17" s="517"/>
      <c r="AN17" s="517"/>
      <c r="AO17" s="517"/>
      <c r="AP17" s="517"/>
      <c r="AQ17" s="517"/>
      <c r="AR17" s="517"/>
      <c r="AS17" s="517"/>
      <c r="AT17" s="517"/>
      <c r="AU17" s="517"/>
      <c r="AV17" s="517"/>
      <c r="AW17" s="517"/>
      <c r="AX17" s="517"/>
      <c r="AY17" s="517"/>
      <c r="AZ17" s="517"/>
      <c r="BA17" s="517"/>
      <c r="BB17" s="517"/>
      <c r="BC17" s="517"/>
      <c r="BD17" s="517"/>
      <c r="BE17" s="517"/>
      <c r="BF17" s="517"/>
      <c r="BG17" s="517"/>
      <c r="BH17" s="517"/>
      <c r="BI17" s="517"/>
      <c r="BJ17" s="517"/>
      <c r="BK17" s="517"/>
      <c r="BL17" s="517"/>
      <c r="BM17" s="517"/>
      <c r="BN17" s="517"/>
      <c r="BO17" s="517"/>
      <c r="BP17" s="517"/>
      <c r="BQ17" s="517"/>
      <c r="BR17" s="517"/>
      <c r="BS17" s="517"/>
      <c r="BT17" s="517"/>
      <c r="BU17" s="517"/>
      <c r="BV17" s="517"/>
      <c r="BW17" s="517"/>
      <c r="BX17" s="517"/>
      <c r="BY17" s="517"/>
      <c r="BZ17" s="517"/>
      <c r="CA17" s="517"/>
      <c r="CB17" s="517"/>
      <c r="CC17" s="517"/>
      <c r="CD17" s="517"/>
      <c r="CE17" s="517"/>
      <c r="CF17" s="517"/>
      <c r="CG17" s="517"/>
      <c r="CH17" s="517"/>
      <c r="CI17" s="517"/>
      <c r="CJ17" s="517"/>
      <c r="CK17" s="517"/>
      <c r="CL17" s="517"/>
      <c r="CM17" s="517"/>
      <c r="CN17" s="517"/>
      <c r="CO17" s="517"/>
      <c r="CP17" s="517"/>
    </row>
    <row r="18" spans="1:94" s="518" customFormat="1" ht="15.95" customHeight="1" x14ac:dyDescent="0.2">
      <c r="A18" s="522" t="s">
        <v>1081</v>
      </c>
      <c r="B18" s="544"/>
      <c r="C18" s="544"/>
      <c r="D18" s="544"/>
      <c r="E18" s="909">
        <f>SUM(B18:B18)</f>
        <v>0</v>
      </c>
      <c r="F18" s="517"/>
      <c r="G18" s="517"/>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c r="AE18" s="517"/>
      <c r="AF18" s="517"/>
      <c r="AG18" s="517"/>
      <c r="AH18" s="517"/>
      <c r="AI18" s="517"/>
      <c r="AJ18" s="517"/>
      <c r="AK18" s="517"/>
      <c r="AL18" s="517"/>
      <c r="AM18" s="517"/>
      <c r="AN18" s="517"/>
      <c r="AO18" s="517"/>
      <c r="AP18" s="517"/>
      <c r="AQ18" s="517"/>
      <c r="AR18" s="517"/>
      <c r="AS18" s="517"/>
      <c r="AT18" s="517"/>
      <c r="AU18" s="517"/>
      <c r="AV18" s="517"/>
      <c r="AW18" s="517"/>
      <c r="AX18" s="517"/>
      <c r="AY18" s="517"/>
      <c r="AZ18" s="517"/>
      <c r="BA18" s="517"/>
      <c r="BB18" s="517"/>
      <c r="BC18" s="517"/>
      <c r="BD18" s="517"/>
      <c r="BE18" s="517"/>
      <c r="BF18" s="517"/>
      <c r="BG18" s="517"/>
      <c r="BH18" s="517"/>
      <c r="BI18" s="517"/>
      <c r="BJ18" s="517"/>
      <c r="BK18" s="517"/>
      <c r="BL18" s="517"/>
      <c r="BM18" s="517"/>
      <c r="BN18" s="517"/>
      <c r="BO18" s="517"/>
      <c r="BP18" s="517"/>
      <c r="BQ18" s="517"/>
      <c r="BR18" s="517"/>
      <c r="BS18" s="517"/>
      <c r="BT18" s="517"/>
      <c r="BU18" s="517"/>
      <c r="BV18" s="517"/>
      <c r="BW18" s="517"/>
      <c r="BX18" s="517"/>
      <c r="BY18" s="517"/>
      <c r="BZ18" s="517"/>
      <c r="CA18" s="517"/>
      <c r="CB18" s="517"/>
      <c r="CC18" s="517"/>
      <c r="CD18" s="517"/>
      <c r="CE18" s="517"/>
      <c r="CF18" s="517"/>
      <c r="CG18" s="517"/>
      <c r="CH18" s="517"/>
      <c r="CI18" s="517"/>
      <c r="CJ18" s="517"/>
      <c r="CK18" s="517"/>
      <c r="CL18" s="517"/>
      <c r="CM18" s="517"/>
      <c r="CN18" s="517"/>
      <c r="CO18" s="517"/>
      <c r="CP18" s="517"/>
    </row>
    <row r="19" spans="1:94" s="518" customFormat="1" ht="15.95" customHeight="1" x14ac:dyDescent="0.2">
      <c r="A19" s="522" t="s">
        <v>1082</v>
      </c>
      <c r="B19" s="544"/>
      <c r="C19" s="544">
        <v>2435898</v>
      </c>
      <c r="D19" s="544">
        <v>1094000</v>
      </c>
      <c r="E19" s="909">
        <f>SUM(B19:D19)</f>
        <v>3529898</v>
      </c>
      <c r="F19" s="517"/>
      <c r="G19" s="517"/>
      <c r="H19" s="517"/>
      <c r="I19" s="517"/>
      <c r="J19" s="517"/>
      <c r="K19" s="517"/>
      <c r="L19" s="517"/>
      <c r="M19" s="517"/>
      <c r="N19" s="517"/>
      <c r="O19" s="517"/>
      <c r="P19" s="517"/>
      <c r="Q19" s="517"/>
      <c r="R19" s="517"/>
      <c r="S19" s="517"/>
      <c r="T19" s="517"/>
      <c r="U19" s="517"/>
      <c r="V19" s="517"/>
      <c r="W19" s="517"/>
      <c r="X19" s="517"/>
      <c r="Y19" s="517"/>
      <c r="Z19" s="517"/>
      <c r="AA19" s="517"/>
      <c r="AB19" s="517"/>
      <c r="AC19" s="517"/>
      <c r="AD19" s="517"/>
      <c r="AE19" s="517"/>
      <c r="AF19" s="517"/>
      <c r="AG19" s="517"/>
      <c r="AH19" s="517"/>
      <c r="AI19" s="517"/>
      <c r="AJ19" s="517"/>
      <c r="AK19" s="517"/>
      <c r="AL19" s="517"/>
      <c r="AM19" s="517"/>
      <c r="AN19" s="517"/>
      <c r="AO19" s="517"/>
      <c r="AP19" s="517"/>
      <c r="AQ19" s="517"/>
      <c r="AR19" s="517"/>
      <c r="AS19" s="517"/>
      <c r="AT19" s="517"/>
      <c r="AU19" s="517"/>
      <c r="AV19" s="517"/>
      <c r="AW19" s="517"/>
      <c r="AX19" s="517"/>
      <c r="AY19" s="517"/>
      <c r="AZ19" s="517"/>
      <c r="BA19" s="517"/>
      <c r="BB19" s="517"/>
      <c r="BC19" s="517"/>
      <c r="BD19" s="517"/>
      <c r="BE19" s="517"/>
      <c r="BF19" s="517"/>
      <c r="BG19" s="517"/>
      <c r="BH19" s="517"/>
      <c r="BI19" s="517"/>
      <c r="BJ19" s="517"/>
      <c r="BK19" s="517"/>
      <c r="BL19" s="517"/>
      <c r="BM19" s="517"/>
      <c r="BN19" s="517"/>
      <c r="BO19" s="517"/>
      <c r="BP19" s="517"/>
      <c r="BQ19" s="517"/>
      <c r="BR19" s="517"/>
      <c r="BS19" s="517"/>
      <c r="BT19" s="517"/>
      <c r="BU19" s="517"/>
      <c r="BV19" s="517"/>
      <c r="BW19" s="517"/>
      <c r="BX19" s="517"/>
      <c r="BY19" s="517"/>
      <c r="BZ19" s="517"/>
      <c r="CA19" s="517"/>
      <c r="CB19" s="517"/>
      <c r="CC19" s="517"/>
      <c r="CD19" s="517"/>
      <c r="CE19" s="517"/>
      <c r="CF19" s="517"/>
      <c r="CG19" s="517"/>
      <c r="CH19" s="517"/>
      <c r="CI19" s="517"/>
      <c r="CJ19" s="517"/>
      <c r="CK19" s="517"/>
      <c r="CL19" s="517"/>
      <c r="CM19" s="517"/>
      <c r="CN19" s="517"/>
      <c r="CO19" s="517"/>
      <c r="CP19" s="517"/>
    </row>
    <row r="20" spans="1:94" s="518" customFormat="1" ht="28.15" customHeight="1" x14ac:dyDescent="0.2">
      <c r="A20" s="522" t="s">
        <v>1083</v>
      </c>
      <c r="B20" s="544">
        <v>10547274</v>
      </c>
      <c r="C20" s="544">
        <f>9743592-2435898</f>
        <v>7307694</v>
      </c>
      <c r="D20" s="544">
        <f>4376000-1094000</f>
        <v>3282000</v>
      </c>
      <c r="E20" s="909">
        <f t="shared" ref="E20:E41" si="0">SUM(B20:D20)</f>
        <v>21136968</v>
      </c>
      <c r="F20" s="517"/>
      <c r="G20" s="517"/>
      <c r="H20" s="517"/>
      <c r="I20" s="517"/>
      <c r="J20" s="517"/>
      <c r="K20" s="517"/>
      <c r="L20" s="517"/>
      <c r="M20" s="517"/>
      <c r="N20" s="517"/>
      <c r="O20" s="517"/>
      <c r="P20" s="517"/>
      <c r="Q20" s="517"/>
      <c r="R20" s="517"/>
      <c r="S20" s="517"/>
      <c r="T20" s="517"/>
      <c r="U20" s="517"/>
      <c r="V20" s="517"/>
      <c r="W20" s="517"/>
      <c r="X20" s="517"/>
      <c r="Y20" s="517"/>
      <c r="Z20" s="517"/>
      <c r="AA20" s="517"/>
      <c r="AB20" s="517"/>
      <c r="AC20" s="517"/>
      <c r="AD20" s="517"/>
      <c r="AE20" s="517"/>
      <c r="AF20" s="517"/>
      <c r="AG20" s="517"/>
      <c r="AH20" s="517"/>
      <c r="AI20" s="517"/>
      <c r="AJ20" s="517"/>
      <c r="AK20" s="517"/>
      <c r="AL20" s="517"/>
      <c r="AM20" s="517"/>
      <c r="AN20" s="517"/>
      <c r="AO20" s="517"/>
      <c r="AP20" s="517"/>
      <c r="AQ20" s="517"/>
      <c r="AR20" s="517"/>
      <c r="AS20" s="517"/>
      <c r="AT20" s="517"/>
      <c r="AU20" s="517"/>
      <c r="AV20" s="517"/>
      <c r="AW20" s="517"/>
      <c r="AX20" s="517"/>
      <c r="AY20" s="517"/>
      <c r="AZ20" s="517"/>
      <c r="BA20" s="517"/>
      <c r="BB20" s="517"/>
      <c r="BC20" s="517"/>
      <c r="BD20" s="517"/>
      <c r="BE20" s="517"/>
      <c r="BF20" s="517"/>
      <c r="BG20" s="517"/>
      <c r="BH20" s="517"/>
      <c r="BI20" s="517"/>
      <c r="BJ20" s="517"/>
      <c r="BK20" s="517"/>
      <c r="BL20" s="517"/>
      <c r="BM20" s="517"/>
      <c r="BN20" s="517"/>
      <c r="BO20" s="517"/>
      <c r="BP20" s="517"/>
      <c r="BQ20" s="517"/>
      <c r="BR20" s="517"/>
      <c r="BS20" s="517"/>
      <c r="BT20" s="517"/>
      <c r="BU20" s="517"/>
      <c r="BV20" s="517"/>
      <c r="BW20" s="517"/>
      <c r="BX20" s="517"/>
      <c r="BY20" s="517"/>
      <c r="BZ20" s="517"/>
      <c r="CA20" s="517"/>
      <c r="CB20" s="517"/>
      <c r="CC20" s="517"/>
      <c r="CD20" s="517"/>
      <c r="CE20" s="517"/>
      <c r="CF20" s="517"/>
      <c r="CG20" s="517"/>
      <c r="CH20" s="517"/>
      <c r="CI20" s="517"/>
      <c r="CJ20" s="517"/>
      <c r="CK20" s="517"/>
      <c r="CL20" s="517"/>
      <c r="CM20" s="517"/>
      <c r="CN20" s="517"/>
      <c r="CO20" s="517"/>
      <c r="CP20" s="517"/>
    </row>
    <row r="21" spans="1:94" s="518" customFormat="1" ht="15.95" customHeight="1" x14ac:dyDescent="0.2">
      <c r="A21" s="522" t="s">
        <v>1084</v>
      </c>
      <c r="B21" s="544"/>
      <c r="C21" s="544">
        <v>2435898</v>
      </c>
      <c r="D21" s="544">
        <v>1094000</v>
      </c>
      <c r="E21" s="909">
        <f t="shared" si="0"/>
        <v>3529898</v>
      </c>
      <c r="F21" s="517"/>
      <c r="G21" s="517"/>
      <c r="H21" s="517"/>
      <c r="I21" s="517"/>
      <c r="J21" s="517"/>
      <c r="K21" s="517"/>
      <c r="L21" s="517"/>
      <c r="M21" s="517"/>
      <c r="N21" s="517"/>
      <c r="O21" s="517"/>
      <c r="P21" s="517"/>
      <c r="Q21" s="517"/>
      <c r="R21" s="517"/>
      <c r="S21" s="517"/>
      <c r="T21" s="517"/>
      <c r="U21" s="517"/>
      <c r="V21" s="517"/>
      <c r="W21" s="517"/>
      <c r="X21" s="517"/>
      <c r="Y21" s="517"/>
      <c r="Z21" s="517"/>
      <c r="AA21" s="517"/>
      <c r="AB21" s="517"/>
      <c r="AC21" s="517"/>
      <c r="AD21" s="517"/>
      <c r="AE21" s="517"/>
      <c r="AF21" s="517"/>
      <c r="AG21" s="517"/>
      <c r="AH21" s="517"/>
      <c r="AI21" s="517"/>
      <c r="AJ21" s="517"/>
      <c r="AK21" s="517"/>
      <c r="AL21" s="517"/>
      <c r="AM21" s="517"/>
      <c r="AN21" s="517"/>
      <c r="AO21" s="517"/>
      <c r="AP21" s="517"/>
      <c r="AQ21" s="517"/>
      <c r="AR21" s="517"/>
      <c r="AS21" s="517"/>
      <c r="AT21" s="517"/>
      <c r="AU21" s="517"/>
      <c r="AV21" s="517"/>
      <c r="AW21" s="517"/>
      <c r="AX21" s="517"/>
      <c r="AY21" s="517"/>
      <c r="AZ21" s="517"/>
      <c r="BA21" s="517"/>
      <c r="BB21" s="517"/>
      <c r="BC21" s="517"/>
      <c r="BD21" s="517"/>
      <c r="BE21" s="517"/>
      <c r="BF21" s="517"/>
      <c r="BG21" s="517"/>
      <c r="BH21" s="517"/>
      <c r="BI21" s="517"/>
      <c r="BJ21" s="517"/>
      <c r="BK21" s="517"/>
      <c r="BL21" s="517"/>
      <c r="BM21" s="517"/>
      <c r="BN21" s="517"/>
      <c r="BO21" s="517"/>
      <c r="BP21" s="517"/>
      <c r="BQ21" s="517"/>
      <c r="BR21" s="517"/>
      <c r="BS21" s="517"/>
      <c r="BT21" s="517"/>
      <c r="BU21" s="517"/>
      <c r="BV21" s="517"/>
      <c r="BW21" s="517"/>
      <c r="BX21" s="517"/>
      <c r="BY21" s="517"/>
      <c r="BZ21" s="517"/>
      <c r="CA21" s="517"/>
      <c r="CB21" s="517"/>
      <c r="CC21" s="517"/>
      <c r="CD21" s="517"/>
      <c r="CE21" s="517"/>
      <c r="CF21" s="517"/>
      <c r="CG21" s="517"/>
      <c r="CH21" s="517"/>
      <c r="CI21" s="517"/>
      <c r="CJ21" s="517"/>
      <c r="CK21" s="517"/>
      <c r="CL21" s="517"/>
      <c r="CM21" s="517"/>
      <c r="CN21" s="517"/>
      <c r="CO21" s="517"/>
      <c r="CP21" s="517"/>
    </row>
    <row r="22" spans="1:94" s="518" customFormat="1" ht="28.15" customHeight="1" x14ac:dyDescent="0.2">
      <c r="A22" s="522" t="s">
        <v>1085</v>
      </c>
      <c r="B22" s="544">
        <v>14063032</v>
      </c>
      <c r="C22" s="544">
        <v>9743592</v>
      </c>
      <c r="D22" s="544">
        <v>4376000</v>
      </c>
      <c r="E22" s="909">
        <f t="shared" si="0"/>
        <v>28182624</v>
      </c>
      <c r="F22" s="517"/>
      <c r="G22" s="517"/>
      <c r="H22" s="517"/>
      <c r="I22" s="517"/>
      <c r="J22" s="517"/>
      <c r="K22" s="517"/>
      <c r="L22" s="517"/>
      <c r="M22" s="517"/>
      <c r="N22" s="517"/>
      <c r="O22" s="517"/>
      <c r="P22" s="517"/>
      <c r="Q22" s="517"/>
      <c r="R22" s="517"/>
      <c r="S22" s="517"/>
      <c r="T22" s="517"/>
      <c r="U22" s="517"/>
      <c r="V22" s="517"/>
      <c r="W22" s="517"/>
      <c r="X22" s="517"/>
      <c r="Y22" s="517"/>
      <c r="Z22" s="517"/>
      <c r="AA22" s="517"/>
      <c r="AB22" s="517"/>
      <c r="AC22" s="517"/>
      <c r="AD22" s="517"/>
      <c r="AE22" s="517"/>
      <c r="AF22" s="517"/>
      <c r="AG22" s="517"/>
      <c r="AH22" s="517"/>
      <c r="AI22" s="517"/>
      <c r="AJ22" s="517"/>
      <c r="AK22" s="517"/>
      <c r="AL22" s="517"/>
      <c r="AM22" s="517"/>
      <c r="AN22" s="517"/>
      <c r="AO22" s="517"/>
      <c r="AP22" s="517"/>
      <c r="AQ22" s="517"/>
      <c r="AR22" s="517"/>
      <c r="AS22" s="517"/>
      <c r="AT22" s="517"/>
      <c r="AU22" s="517"/>
      <c r="AV22" s="517"/>
      <c r="AW22" s="517"/>
      <c r="AX22" s="517"/>
      <c r="AY22" s="517"/>
      <c r="AZ22" s="517"/>
      <c r="BA22" s="517"/>
      <c r="BB22" s="517"/>
      <c r="BC22" s="517"/>
      <c r="BD22" s="517"/>
      <c r="BE22" s="517"/>
      <c r="BF22" s="517"/>
      <c r="BG22" s="517"/>
      <c r="BH22" s="517"/>
      <c r="BI22" s="517"/>
      <c r="BJ22" s="517"/>
      <c r="BK22" s="517"/>
      <c r="BL22" s="517"/>
      <c r="BM22" s="517"/>
      <c r="BN22" s="517"/>
      <c r="BO22" s="517"/>
      <c r="BP22" s="517"/>
      <c r="BQ22" s="517"/>
      <c r="BR22" s="517"/>
      <c r="BS22" s="517"/>
      <c r="BT22" s="517"/>
      <c r="BU22" s="517"/>
      <c r="BV22" s="517"/>
      <c r="BW22" s="517"/>
      <c r="BX22" s="517"/>
      <c r="BY22" s="517"/>
      <c r="BZ22" s="517"/>
      <c r="CA22" s="517"/>
      <c r="CB22" s="517"/>
      <c r="CC22" s="517"/>
      <c r="CD22" s="517"/>
      <c r="CE22" s="517"/>
      <c r="CF22" s="517"/>
      <c r="CG22" s="517"/>
      <c r="CH22" s="517"/>
      <c r="CI22" s="517"/>
      <c r="CJ22" s="517"/>
      <c r="CK22" s="517"/>
      <c r="CL22" s="517"/>
      <c r="CM22" s="517"/>
      <c r="CN22" s="517"/>
      <c r="CO22" s="517"/>
      <c r="CP22" s="517"/>
    </row>
    <row r="23" spans="1:94" s="518" customFormat="1" ht="15.95" customHeight="1" x14ac:dyDescent="0.2">
      <c r="A23" s="522" t="s">
        <v>1033</v>
      </c>
      <c r="B23" s="544">
        <v>14063032</v>
      </c>
      <c r="C23" s="544">
        <v>9743592</v>
      </c>
      <c r="D23" s="544">
        <v>4376000</v>
      </c>
      <c r="E23" s="909">
        <f t="shared" si="0"/>
        <v>28182624</v>
      </c>
      <c r="F23" s="517"/>
      <c r="G23" s="517"/>
      <c r="H23" s="517"/>
      <c r="I23" s="517"/>
      <c r="J23" s="517"/>
      <c r="K23" s="517"/>
      <c r="L23" s="517"/>
      <c r="M23" s="517"/>
      <c r="N23" s="517"/>
      <c r="O23" s="517"/>
      <c r="P23" s="517"/>
      <c r="Q23" s="517"/>
      <c r="R23" s="517"/>
      <c r="S23" s="517"/>
      <c r="T23" s="517"/>
      <c r="U23" s="517"/>
      <c r="V23" s="517"/>
      <c r="W23" s="517"/>
      <c r="X23" s="517"/>
      <c r="Y23" s="517"/>
      <c r="Z23" s="517"/>
      <c r="AA23" s="517"/>
      <c r="AB23" s="517"/>
      <c r="AC23" s="517"/>
      <c r="AD23" s="517"/>
      <c r="AE23" s="517"/>
      <c r="AF23" s="517"/>
      <c r="AG23" s="517"/>
      <c r="AH23" s="517"/>
      <c r="AI23" s="517"/>
      <c r="AJ23" s="517"/>
      <c r="AK23" s="517"/>
      <c r="AL23" s="517"/>
      <c r="AM23" s="517"/>
      <c r="AN23" s="517"/>
      <c r="AO23" s="517"/>
      <c r="AP23" s="517"/>
      <c r="AQ23" s="517"/>
      <c r="AR23" s="517"/>
      <c r="AS23" s="517"/>
      <c r="AT23" s="517"/>
      <c r="AU23" s="517"/>
      <c r="AV23" s="517"/>
      <c r="AW23" s="517"/>
      <c r="AX23" s="517"/>
      <c r="AY23" s="517"/>
      <c r="AZ23" s="517"/>
      <c r="BA23" s="517"/>
      <c r="BB23" s="517"/>
      <c r="BC23" s="517"/>
      <c r="BD23" s="517"/>
      <c r="BE23" s="517"/>
      <c r="BF23" s="517"/>
      <c r="BG23" s="517"/>
      <c r="BH23" s="517"/>
      <c r="BI23" s="517"/>
      <c r="BJ23" s="517"/>
      <c r="BK23" s="517"/>
      <c r="BL23" s="517"/>
      <c r="BM23" s="517"/>
      <c r="BN23" s="517"/>
      <c r="BO23" s="517"/>
      <c r="BP23" s="517"/>
      <c r="BQ23" s="517"/>
      <c r="BR23" s="517"/>
      <c r="BS23" s="517"/>
      <c r="BT23" s="517"/>
      <c r="BU23" s="517"/>
      <c r="BV23" s="517"/>
      <c r="BW23" s="517"/>
      <c r="BX23" s="517"/>
      <c r="BY23" s="517"/>
      <c r="BZ23" s="517"/>
      <c r="CA23" s="517"/>
      <c r="CB23" s="517"/>
      <c r="CC23" s="517"/>
      <c r="CD23" s="517"/>
      <c r="CE23" s="517"/>
      <c r="CF23" s="517"/>
      <c r="CG23" s="517"/>
      <c r="CH23" s="517"/>
      <c r="CI23" s="517"/>
      <c r="CJ23" s="517"/>
      <c r="CK23" s="517"/>
      <c r="CL23" s="517"/>
      <c r="CM23" s="517"/>
      <c r="CN23" s="517"/>
      <c r="CO23" s="517"/>
      <c r="CP23" s="517"/>
    </row>
    <row r="24" spans="1:94" s="518" customFormat="1" ht="15.95" customHeight="1" x14ac:dyDescent="0.2">
      <c r="A24" s="522" t="s">
        <v>1034</v>
      </c>
      <c r="B24" s="544">
        <v>14063032</v>
      </c>
      <c r="C24" s="544">
        <v>9743592</v>
      </c>
      <c r="D24" s="544">
        <v>4376000</v>
      </c>
      <c r="E24" s="909">
        <f t="shared" si="0"/>
        <v>28182624</v>
      </c>
      <c r="F24" s="517"/>
      <c r="G24" s="546"/>
      <c r="H24" s="547"/>
      <c r="I24" s="547"/>
      <c r="J24" s="548"/>
      <c r="K24" s="549"/>
      <c r="L24" s="517"/>
      <c r="M24" s="517"/>
      <c r="N24" s="517"/>
      <c r="O24" s="517"/>
      <c r="P24" s="517"/>
      <c r="Q24" s="517"/>
      <c r="R24" s="517"/>
      <c r="S24" s="517"/>
      <c r="T24" s="517"/>
      <c r="U24" s="517"/>
      <c r="V24" s="517"/>
      <c r="W24" s="517"/>
      <c r="X24" s="517"/>
      <c r="Y24" s="517"/>
      <c r="Z24" s="517"/>
      <c r="AA24" s="517"/>
      <c r="AB24" s="517"/>
      <c r="AC24" s="517"/>
      <c r="AD24" s="517"/>
      <c r="AE24" s="517"/>
      <c r="AF24" s="517"/>
      <c r="AG24" s="517"/>
      <c r="AH24" s="517"/>
      <c r="AI24" s="517"/>
      <c r="AJ24" s="517"/>
      <c r="AK24" s="517"/>
      <c r="AL24" s="517"/>
      <c r="AM24" s="517"/>
      <c r="AN24" s="517"/>
      <c r="AO24" s="517"/>
      <c r="AP24" s="517"/>
      <c r="AQ24" s="517"/>
      <c r="AR24" s="517"/>
      <c r="AS24" s="517"/>
      <c r="AT24" s="517"/>
      <c r="AU24" s="517"/>
      <c r="AV24" s="517"/>
      <c r="AW24" s="517"/>
      <c r="AX24" s="517"/>
      <c r="AY24" s="517"/>
      <c r="AZ24" s="517"/>
      <c r="BA24" s="517"/>
      <c r="BB24" s="517"/>
      <c r="BC24" s="517"/>
      <c r="BD24" s="517"/>
      <c r="BE24" s="517"/>
      <c r="BF24" s="517"/>
      <c r="BG24" s="517"/>
      <c r="BH24" s="517"/>
      <c r="BI24" s="517"/>
      <c r="BJ24" s="517"/>
      <c r="BK24" s="517"/>
      <c r="BL24" s="517"/>
      <c r="BM24" s="517"/>
      <c r="BN24" s="517"/>
      <c r="BO24" s="517"/>
      <c r="BP24" s="517"/>
      <c r="BQ24" s="517"/>
      <c r="BR24" s="517"/>
      <c r="BS24" s="517"/>
      <c r="BT24" s="517"/>
      <c r="BU24" s="517"/>
      <c r="BV24" s="517"/>
      <c r="BW24" s="517"/>
      <c r="BX24" s="517"/>
      <c r="BY24" s="517"/>
      <c r="BZ24" s="517"/>
      <c r="CA24" s="517"/>
      <c r="CB24" s="517"/>
      <c r="CC24" s="517"/>
      <c r="CD24" s="517"/>
      <c r="CE24" s="517"/>
      <c r="CF24" s="517"/>
      <c r="CG24" s="517"/>
      <c r="CH24" s="517"/>
      <c r="CI24" s="517"/>
      <c r="CJ24" s="517"/>
      <c r="CK24" s="517"/>
      <c r="CL24" s="517"/>
      <c r="CM24" s="517"/>
      <c r="CN24" s="517"/>
      <c r="CO24" s="517"/>
      <c r="CP24" s="517"/>
    </row>
    <row r="25" spans="1:94" s="518" customFormat="1" ht="15.95" customHeight="1" x14ac:dyDescent="0.2">
      <c r="A25" s="522" t="s">
        <v>1035</v>
      </c>
      <c r="B25" s="544">
        <v>14063032</v>
      </c>
      <c r="C25" s="544">
        <v>9743592</v>
      </c>
      <c r="D25" s="544">
        <v>4376000</v>
      </c>
      <c r="E25" s="909">
        <f t="shared" si="0"/>
        <v>28182624</v>
      </c>
      <c r="F25" s="517"/>
      <c r="G25" s="550"/>
      <c r="H25" s="550"/>
      <c r="I25" s="550"/>
      <c r="J25" s="550"/>
      <c r="K25" s="550"/>
      <c r="L25" s="517"/>
      <c r="M25" s="517"/>
      <c r="N25" s="517"/>
      <c r="O25" s="517"/>
      <c r="P25" s="517"/>
      <c r="Q25" s="517"/>
      <c r="R25" s="517"/>
      <c r="S25" s="517"/>
      <c r="T25" s="517"/>
      <c r="U25" s="517"/>
      <c r="V25" s="517"/>
      <c r="W25" s="517"/>
      <c r="X25" s="517"/>
      <c r="Y25" s="517"/>
      <c r="Z25" s="517"/>
      <c r="AA25" s="517"/>
      <c r="AB25" s="517"/>
      <c r="AC25" s="517"/>
      <c r="AD25" s="517"/>
      <c r="AE25" s="517"/>
      <c r="AF25" s="517"/>
      <c r="AG25" s="517"/>
      <c r="AH25" s="517"/>
      <c r="AI25" s="517"/>
      <c r="AJ25" s="517"/>
      <c r="AK25" s="517"/>
      <c r="AL25" s="517"/>
      <c r="AM25" s="517"/>
      <c r="AN25" s="517"/>
      <c r="AO25" s="517"/>
      <c r="AP25" s="517"/>
      <c r="AQ25" s="517"/>
      <c r="AR25" s="517"/>
      <c r="AS25" s="517"/>
      <c r="AT25" s="517"/>
      <c r="AU25" s="517"/>
      <c r="AV25" s="517"/>
      <c r="AW25" s="517"/>
      <c r="AX25" s="517"/>
      <c r="AY25" s="517"/>
      <c r="AZ25" s="517"/>
      <c r="BA25" s="517"/>
      <c r="BB25" s="517"/>
      <c r="BC25" s="517"/>
      <c r="BD25" s="517"/>
      <c r="BE25" s="517"/>
      <c r="BF25" s="517"/>
      <c r="BG25" s="517"/>
      <c r="BH25" s="517"/>
      <c r="BI25" s="517"/>
      <c r="BJ25" s="517"/>
      <c r="BK25" s="517"/>
      <c r="BL25" s="517"/>
      <c r="BM25" s="517"/>
      <c r="BN25" s="517"/>
      <c r="BO25" s="517"/>
      <c r="BP25" s="517"/>
      <c r="BQ25" s="517"/>
      <c r="BR25" s="517"/>
      <c r="BS25" s="517"/>
      <c r="BT25" s="517"/>
      <c r="BU25" s="517"/>
      <c r="BV25" s="517"/>
      <c r="BW25" s="517"/>
      <c r="BX25" s="517"/>
      <c r="BY25" s="517"/>
      <c r="BZ25" s="517"/>
      <c r="CA25" s="517"/>
      <c r="CB25" s="517"/>
      <c r="CC25" s="517"/>
      <c r="CD25" s="517"/>
      <c r="CE25" s="517"/>
      <c r="CF25" s="517"/>
      <c r="CG25" s="517"/>
      <c r="CH25" s="517"/>
      <c r="CI25" s="517"/>
      <c r="CJ25" s="517"/>
      <c r="CK25" s="517"/>
      <c r="CL25" s="517"/>
      <c r="CM25" s="517"/>
      <c r="CN25" s="517"/>
      <c r="CO25" s="517"/>
      <c r="CP25" s="517"/>
    </row>
    <row r="26" spans="1:94" s="518" customFormat="1" ht="15.95" customHeight="1" x14ac:dyDescent="0.2">
      <c r="A26" s="910" t="s">
        <v>1059</v>
      </c>
      <c r="B26" s="911">
        <v>14063032</v>
      </c>
      <c r="C26" s="911">
        <v>9743592</v>
      </c>
      <c r="D26" s="911">
        <v>4376000</v>
      </c>
      <c r="E26" s="911">
        <f t="shared" si="0"/>
        <v>28182624</v>
      </c>
      <c r="F26" s="517"/>
      <c r="G26" s="550"/>
      <c r="H26" s="550"/>
      <c r="I26" s="550"/>
      <c r="J26" s="550"/>
      <c r="K26" s="550"/>
      <c r="L26" s="517"/>
      <c r="M26" s="517"/>
      <c r="N26" s="517"/>
      <c r="O26" s="517"/>
      <c r="P26" s="517"/>
      <c r="Q26" s="517"/>
      <c r="R26" s="517"/>
      <c r="S26" s="517"/>
      <c r="T26" s="517"/>
      <c r="U26" s="517"/>
      <c r="V26" s="517"/>
      <c r="W26" s="517"/>
      <c r="X26" s="517"/>
      <c r="Y26" s="517"/>
      <c r="Z26" s="517"/>
      <c r="AA26" s="517"/>
      <c r="AB26" s="517"/>
      <c r="AC26" s="517"/>
      <c r="AD26" s="517"/>
      <c r="AE26" s="517"/>
      <c r="AF26" s="517"/>
      <c r="AG26" s="517"/>
      <c r="AH26" s="517"/>
      <c r="AI26" s="517"/>
      <c r="AJ26" s="517"/>
      <c r="AK26" s="517"/>
      <c r="AL26" s="517"/>
      <c r="AM26" s="517"/>
      <c r="AN26" s="517"/>
      <c r="AO26" s="517"/>
      <c r="AP26" s="517"/>
      <c r="AQ26" s="517"/>
      <c r="AR26" s="517"/>
      <c r="AS26" s="517"/>
      <c r="AT26" s="517"/>
      <c r="AU26" s="517"/>
      <c r="AV26" s="517"/>
      <c r="AW26" s="517"/>
      <c r="AX26" s="517"/>
      <c r="AY26" s="517"/>
      <c r="AZ26" s="517"/>
      <c r="BA26" s="517"/>
      <c r="BB26" s="517"/>
      <c r="BC26" s="517"/>
      <c r="BD26" s="517"/>
      <c r="BE26" s="517"/>
      <c r="BF26" s="517"/>
      <c r="BG26" s="517"/>
      <c r="BH26" s="517"/>
      <c r="BI26" s="517"/>
      <c r="BJ26" s="517"/>
      <c r="BK26" s="517"/>
      <c r="BL26" s="517"/>
      <c r="BM26" s="517"/>
      <c r="BN26" s="517"/>
      <c r="BO26" s="517"/>
      <c r="BP26" s="517"/>
      <c r="BQ26" s="517"/>
      <c r="BR26" s="517"/>
      <c r="BS26" s="517"/>
      <c r="BT26" s="517"/>
      <c r="BU26" s="517"/>
      <c r="BV26" s="517"/>
      <c r="BW26" s="517"/>
      <c r="BX26" s="517"/>
      <c r="BY26" s="517"/>
      <c r="BZ26" s="517"/>
      <c r="CA26" s="517"/>
      <c r="CB26" s="517"/>
      <c r="CC26" s="517"/>
      <c r="CD26" s="517"/>
      <c r="CE26" s="517"/>
      <c r="CF26" s="517"/>
      <c r="CG26" s="517"/>
      <c r="CH26" s="517"/>
      <c r="CI26" s="517"/>
      <c r="CJ26" s="517"/>
      <c r="CK26" s="517"/>
      <c r="CL26" s="517"/>
      <c r="CM26" s="517"/>
      <c r="CN26" s="517"/>
      <c r="CO26" s="517"/>
      <c r="CP26" s="517"/>
    </row>
    <row r="27" spans="1:94" s="518" customFormat="1" ht="15.95" customHeight="1" x14ac:dyDescent="0.2">
      <c r="A27" s="910" t="s">
        <v>1086</v>
      </c>
      <c r="B27" s="911">
        <v>14063032</v>
      </c>
      <c r="C27" s="911">
        <v>9743592</v>
      </c>
      <c r="D27" s="911">
        <v>4376000</v>
      </c>
      <c r="E27" s="911">
        <f t="shared" si="0"/>
        <v>28182624</v>
      </c>
      <c r="F27" s="517"/>
      <c r="G27" s="550"/>
      <c r="H27" s="550"/>
      <c r="I27" s="550"/>
      <c r="J27" s="550"/>
      <c r="K27" s="550"/>
      <c r="L27" s="517"/>
      <c r="M27" s="517"/>
      <c r="N27" s="517"/>
      <c r="O27" s="517"/>
      <c r="P27" s="517"/>
      <c r="Q27" s="517"/>
      <c r="R27" s="517"/>
      <c r="S27" s="517"/>
      <c r="T27" s="517"/>
      <c r="U27" s="517"/>
      <c r="V27" s="517"/>
      <c r="W27" s="517"/>
      <c r="X27" s="517"/>
      <c r="Y27" s="517"/>
      <c r="Z27" s="517"/>
      <c r="AA27" s="517"/>
      <c r="AB27" s="517"/>
      <c r="AC27" s="517"/>
      <c r="AD27" s="517"/>
      <c r="AE27" s="517"/>
      <c r="AF27" s="517"/>
      <c r="AG27" s="517"/>
      <c r="AH27" s="517"/>
      <c r="AI27" s="517"/>
      <c r="AJ27" s="517"/>
      <c r="AK27" s="517"/>
      <c r="AL27" s="517"/>
      <c r="AM27" s="517"/>
      <c r="AN27" s="517"/>
      <c r="AO27" s="517"/>
      <c r="AP27" s="517"/>
      <c r="AQ27" s="517"/>
      <c r="AR27" s="517"/>
      <c r="AS27" s="517"/>
      <c r="AT27" s="517"/>
      <c r="AU27" s="517"/>
      <c r="AV27" s="517"/>
      <c r="AW27" s="517"/>
      <c r="AX27" s="517"/>
      <c r="AY27" s="517"/>
      <c r="AZ27" s="517"/>
      <c r="BA27" s="517"/>
      <c r="BB27" s="517"/>
      <c r="BC27" s="517"/>
      <c r="BD27" s="517"/>
      <c r="BE27" s="517"/>
      <c r="BF27" s="517"/>
      <c r="BG27" s="517"/>
      <c r="BH27" s="517"/>
      <c r="BI27" s="517"/>
      <c r="BJ27" s="517"/>
      <c r="BK27" s="517"/>
      <c r="BL27" s="517"/>
      <c r="BM27" s="517"/>
      <c r="BN27" s="517"/>
      <c r="BO27" s="517"/>
      <c r="BP27" s="517"/>
      <c r="BQ27" s="517"/>
      <c r="BR27" s="517"/>
      <c r="BS27" s="517"/>
      <c r="BT27" s="517"/>
      <c r="BU27" s="517"/>
      <c r="BV27" s="517"/>
      <c r="BW27" s="517"/>
      <c r="BX27" s="517"/>
      <c r="BY27" s="517"/>
      <c r="BZ27" s="517"/>
      <c r="CA27" s="517"/>
      <c r="CB27" s="517"/>
      <c r="CC27" s="517"/>
      <c r="CD27" s="517"/>
      <c r="CE27" s="517"/>
      <c r="CF27" s="517"/>
      <c r="CG27" s="517"/>
      <c r="CH27" s="517"/>
      <c r="CI27" s="517"/>
      <c r="CJ27" s="517"/>
      <c r="CK27" s="517"/>
      <c r="CL27" s="517"/>
      <c r="CM27" s="517"/>
      <c r="CN27" s="517"/>
      <c r="CO27" s="517"/>
      <c r="CP27" s="517"/>
    </row>
    <row r="28" spans="1:94" s="518" customFormat="1" ht="15.95" customHeight="1" x14ac:dyDescent="0.2">
      <c r="A28" s="910" t="s">
        <v>1087</v>
      </c>
      <c r="B28" s="911">
        <v>14063032</v>
      </c>
      <c r="C28" s="911">
        <v>9743592</v>
      </c>
      <c r="D28" s="911">
        <v>4376000</v>
      </c>
      <c r="E28" s="911">
        <f t="shared" si="0"/>
        <v>28182624</v>
      </c>
      <c r="F28" s="517"/>
      <c r="G28" s="550"/>
      <c r="H28" s="550"/>
      <c r="I28" s="550"/>
      <c r="J28" s="550"/>
      <c r="K28" s="550"/>
      <c r="L28" s="517"/>
      <c r="M28" s="517"/>
      <c r="N28" s="517"/>
      <c r="O28" s="517"/>
      <c r="P28" s="517"/>
      <c r="Q28" s="517"/>
      <c r="R28" s="517"/>
      <c r="S28" s="517"/>
      <c r="T28" s="517"/>
      <c r="U28" s="517"/>
      <c r="V28" s="517"/>
      <c r="W28" s="517"/>
      <c r="X28" s="517"/>
      <c r="Y28" s="517"/>
      <c r="Z28" s="517"/>
      <c r="AA28" s="517"/>
      <c r="AB28" s="517"/>
      <c r="AC28" s="517"/>
      <c r="AD28" s="517"/>
      <c r="AE28" s="517"/>
      <c r="AF28" s="517"/>
      <c r="AG28" s="517"/>
      <c r="AH28" s="517"/>
      <c r="AI28" s="517"/>
      <c r="AJ28" s="517"/>
      <c r="AK28" s="517"/>
      <c r="AL28" s="517"/>
      <c r="AM28" s="517"/>
      <c r="AN28" s="517"/>
      <c r="AO28" s="517"/>
      <c r="AP28" s="517"/>
      <c r="AQ28" s="517"/>
      <c r="AR28" s="517"/>
      <c r="AS28" s="517"/>
      <c r="AT28" s="517"/>
      <c r="AU28" s="517"/>
      <c r="AV28" s="517"/>
      <c r="AW28" s="517"/>
      <c r="AX28" s="517"/>
      <c r="AY28" s="517"/>
      <c r="AZ28" s="517"/>
      <c r="BA28" s="517"/>
      <c r="BB28" s="517"/>
      <c r="BC28" s="517"/>
      <c r="BD28" s="517"/>
      <c r="BE28" s="517"/>
      <c r="BF28" s="517"/>
      <c r="BG28" s="517"/>
      <c r="BH28" s="517"/>
      <c r="BI28" s="517"/>
      <c r="BJ28" s="517"/>
      <c r="BK28" s="517"/>
      <c r="BL28" s="517"/>
      <c r="BM28" s="517"/>
      <c r="BN28" s="517"/>
      <c r="BO28" s="517"/>
      <c r="BP28" s="517"/>
      <c r="BQ28" s="517"/>
      <c r="BR28" s="517"/>
      <c r="BS28" s="517"/>
      <c r="BT28" s="517"/>
      <c r="BU28" s="517"/>
      <c r="BV28" s="517"/>
      <c r="BW28" s="517"/>
      <c r="BX28" s="517"/>
      <c r="BY28" s="517"/>
      <c r="BZ28" s="517"/>
      <c r="CA28" s="517"/>
      <c r="CB28" s="517"/>
      <c r="CC28" s="517"/>
      <c r="CD28" s="517"/>
      <c r="CE28" s="517"/>
      <c r="CF28" s="517"/>
      <c r="CG28" s="517"/>
      <c r="CH28" s="517"/>
      <c r="CI28" s="517"/>
      <c r="CJ28" s="517"/>
      <c r="CK28" s="517"/>
      <c r="CL28" s="517"/>
      <c r="CM28" s="517"/>
      <c r="CN28" s="517"/>
      <c r="CO28" s="517"/>
      <c r="CP28" s="517"/>
    </row>
    <row r="29" spans="1:94" s="518" customFormat="1" ht="15.95" customHeight="1" x14ac:dyDescent="0.2">
      <c r="A29" s="910" t="s">
        <v>1088</v>
      </c>
      <c r="B29" s="911">
        <v>14063032</v>
      </c>
      <c r="C29" s="911">
        <v>9743592</v>
      </c>
      <c r="D29" s="911">
        <v>4376000</v>
      </c>
      <c r="E29" s="911">
        <f t="shared" si="0"/>
        <v>28182624</v>
      </c>
      <c r="F29" s="517"/>
      <c r="G29" s="550"/>
      <c r="H29" s="550"/>
      <c r="I29" s="550"/>
      <c r="J29" s="550"/>
      <c r="K29" s="550"/>
      <c r="L29" s="517"/>
      <c r="M29" s="517"/>
      <c r="N29" s="517"/>
      <c r="O29" s="517"/>
      <c r="P29" s="517"/>
      <c r="Q29" s="517"/>
      <c r="R29" s="517"/>
      <c r="S29" s="517"/>
      <c r="T29" s="517"/>
      <c r="U29" s="517"/>
      <c r="V29" s="517"/>
      <c r="W29" s="517"/>
      <c r="X29" s="517"/>
      <c r="Y29" s="517"/>
      <c r="Z29" s="517"/>
      <c r="AA29" s="517"/>
      <c r="AB29" s="517"/>
      <c r="AC29" s="517"/>
      <c r="AD29" s="517"/>
      <c r="AE29" s="517"/>
      <c r="AF29" s="517"/>
      <c r="AG29" s="517"/>
      <c r="AH29" s="517"/>
      <c r="AI29" s="517"/>
      <c r="AJ29" s="517"/>
      <c r="AK29" s="517"/>
      <c r="AL29" s="517"/>
      <c r="AM29" s="517"/>
      <c r="AN29" s="517"/>
      <c r="AO29" s="517"/>
      <c r="AP29" s="517"/>
      <c r="AQ29" s="517"/>
      <c r="AR29" s="517"/>
      <c r="AS29" s="517"/>
      <c r="AT29" s="517"/>
      <c r="AU29" s="517"/>
      <c r="AV29" s="517"/>
      <c r="AW29" s="517"/>
      <c r="AX29" s="517"/>
      <c r="AY29" s="517"/>
      <c r="AZ29" s="517"/>
      <c r="BA29" s="517"/>
      <c r="BB29" s="517"/>
      <c r="BC29" s="517"/>
      <c r="BD29" s="517"/>
      <c r="BE29" s="517"/>
      <c r="BF29" s="517"/>
      <c r="BG29" s="517"/>
      <c r="BH29" s="517"/>
      <c r="BI29" s="517"/>
      <c r="BJ29" s="517"/>
      <c r="BK29" s="517"/>
      <c r="BL29" s="517"/>
      <c r="BM29" s="517"/>
      <c r="BN29" s="517"/>
      <c r="BO29" s="517"/>
      <c r="BP29" s="517"/>
      <c r="BQ29" s="517"/>
      <c r="BR29" s="517"/>
      <c r="BS29" s="517"/>
      <c r="BT29" s="517"/>
      <c r="BU29" s="517"/>
      <c r="BV29" s="517"/>
      <c r="BW29" s="517"/>
      <c r="BX29" s="517"/>
      <c r="BY29" s="517"/>
      <c r="BZ29" s="517"/>
      <c r="CA29" s="517"/>
      <c r="CB29" s="517"/>
      <c r="CC29" s="517"/>
      <c r="CD29" s="517"/>
      <c r="CE29" s="517"/>
      <c r="CF29" s="517"/>
      <c r="CG29" s="517"/>
      <c r="CH29" s="517"/>
      <c r="CI29" s="517"/>
      <c r="CJ29" s="517"/>
      <c r="CK29" s="517"/>
      <c r="CL29" s="517"/>
      <c r="CM29" s="517"/>
      <c r="CN29" s="517"/>
      <c r="CO29" s="517"/>
      <c r="CP29" s="517"/>
    </row>
    <row r="30" spans="1:94" s="518" customFormat="1" ht="15.95" customHeight="1" x14ac:dyDescent="0.2">
      <c r="A30" s="910" t="s">
        <v>1089</v>
      </c>
      <c r="B30" s="911">
        <v>14063032</v>
      </c>
      <c r="C30" s="911">
        <v>9743592</v>
      </c>
      <c r="D30" s="911">
        <v>4376000</v>
      </c>
      <c r="E30" s="911">
        <f t="shared" si="0"/>
        <v>28182624</v>
      </c>
      <c r="F30" s="517"/>
      <c r="G30" s="550"/>
      <c r="H30" s="550"/>
      <c r="I30" s="550"/>
      <c r="J30" s="550"/>
      <c r="K30" s="550"/>
      <c r="L30" s="517"/>
      <c r="M30" s="517"/>
      <c r="N30" s="517"/>
      <c r="O30" s="517"/>
      <c r="P30" s="517"/>
      <c r="Q30" s="517"/>
      <c r="R30" s="517"/>
      <c r="S30" s="517"/>
      <c r="T30" s="517"/>
      <c r="U30" s="517"/>
      <c r="V30" s="517"/>
      <c r="W30" s="517"/>
      <c r="X30" s="517"/>
      <c r="Y30" s="517"/>
      <c r="Z30" s="517"/>
      <c r="AA30" s="517"/>
      <c r="AB30" s="517"/>
      <c r="AC30" s="517"/>
      <c r="AD30" s="517"/>
      <c r="AE30" s="517"/>
      <c r="AF30" s="517"/>
      <c r="AG30" s="517"/>
      <c r="AH30" s="517"/>
      <c r="AI30" s="517"/>
      <c r="AJ30" s="517"/>
      <c r="AK30" s="517"/>
      <c r="AL30" s="517"/>
      <c r="AM30" s="517"/>
      <c r="AN30" s="517"/>
      <c r="AO30" s="517"/>
      <c r="AP30" s="517"/>
      <c r="AQ30" s="517"/>
      <c r="AR30" s="517"/>
      <c r="AS30" s="517"/>
      <c r="AT30" s="517"/>
      <c r="AU30" s="517"/>
      <c r="AV30" s="517"/>
      <c r="AW30" s="517"/>
      <c r="AX30" s="517"/>
      <c r="AY30" s="517"/>
      <c r="AZ30" s="517"/>
      <c r="BA30" s="517"/>
      <c r="BB30" s="517"/>
      <c r="BC30" s="517"/>
      <c r="BD30" s="517"/>
      <c r="BE30" s="517"/>
      <c r="BF30" s="517"/>
      <c r="BG30" s="517"/>
      <c r="BH30" s="517"/>
      <c r="BI30" s="517"/>
      <c r="BJ30" s="517"/>
      <c r="BK30" s="517"/>
      <c r="BL30" s="517"/>
      <c r="BM30" s="517"/>
      <c r="BN30" s="517"/>
      <c r="BO30" s="517"/>
      <c r="BP30" s="517"/>
      <c r="BQ30" s="517"/>
      <c r="BR30" s="517"/>
      <c r="BS30" s="517"/>
      <c r="BT30" s="517"/>
      <c r="BU30" s="517"/>
      <c r="BV30" s="517"/>
      <c r="BW30" s="517"/>
      <c r="BX30" s="517"/>
      <c r="BY30" s="517"/>
      <c r="BZ30" s="517"/>
      <c r="CA30" s="517"/>
      <c r="CB30" s="517"/>
      <c r="CC30" s="517"/>
      <c r="CD30" s="517"/>
      <c r="CE30" s="517"/>
      <c r="CF30" s="517"/>
      <c r="CG30" s="517"/>
      <c r="CH30" s="517"/>
      <c r="CI30" s="517"/>
      <c r="CJ30" s="517"/>
      <c r="CK30" s="517"/>
      <c r="CL30" s="517"/>
      <c r="CM30" s="517"/>
      <c r="CN30" s="517"/>
      <c r="CO30" s="517"/>
      <c r="CP30" s="517"/>
    </row>
    <row r="31" spans="1:94" s="518" customFormat="1" ht="15.95" customHeight="1" x14ac:dyDescent="0.2">
      <c r="A31" s="910" t="s">
        <v>1090</v>
      </c>
      <c r="B31" s="911">
        <v>14063032</v>
      </c>
      <c r="C31" s="911">
        <v>9743592</v>
      </c>
      <c r="D31" s="911">
        <v>4376000</v>
      </c>
      <c r="E31" s="911">
        <f t="shared" si="0"/>
        <v>28182624</v>
      </c>
      <c r="F31" s="517"/>
      <c r="G31" s="550"/>
      <c r="H31" s="550"/>
      <c r="I31" s="550"/>
      <c r="J31" s="550"/>
      <c r="K31" s="550"/>
      <c r="L31" s="517"/>
      <c r="M31" s="517"/>
      <c r="N31" s="517"/>
      <c r="O31" s="517"/>
      <c r="P31" s="517"/>
      <c r="Q31" s="517"/>
      <c r="R31" s="517"/>
      <c r="S31" s="517"/>
      <c r="T31" s="517"/>
      <c r="U31" s="517"/>
      <c r="V31" s="517"/>
      <c r="W31" s="517"/>
      <c r="X31" s="517"/>
      <c r="Y31" s="517"/>
      <c r="Z31" s="517"/>
      <c r="AA31" s="517"/>
      <c r="AB31" s="517"/>
      <c r="AC31" s="517"/>
      <c r="AD31" s="517"/>
      <c r="AE31" s="517"/>
      <c r="AF31" s="517"/>
      <c r="AG31" s="517"/>
      <c r="AH31" s="517"/>
      <c r="AI31" s="517"/>
      <c r="AJ31" s="517"/>
      <c r="AK31" s="517"/>
      <c r="AL31" s="517"/>
      <c r="AM31" s="517"/>
      <c r="AN31" s="517"/>
      <c r="AO31" s="517"/>
      <c r="AP31" s="517"/>
      <c r="AQ31" s="517"/>
      <c r="AR31" s="517"/>
      <c r="AS31" s="517"/>
      <c r="AT31" s="517"/>
      <c r="AU31" s="517"/>
      <c r="AV31" s="517"/>
      <c r="AW31" s="517"/>
      <c r="AX31" s="517"/>
      <c r="AY31" s="517"/>
      <c r="AZ31" s="517"/>
      <c r="BA31" s="517"/>
      <c r="BB31" s="517"/>
      <c r="BC31" s="517"/>
      <c r="BD31" s="517"/>
      <c r="BE31" s="517"/>
      <c r="BF31" s="517"/>
      <c r="BG31" s="517"/>
      <c r="BH31" s="517"/>
      <c r="BI31" s="517"/>
      <c r="BJ31" s="517"/>
      <c r="BK31" s="517"/>
      <c r="BL31" s="517"/>
      <c r="BM31" s="517"/>
      <c r="BN31" s="517"/>
      <c r="BO31" s="517"/>
      <c r="BP31" s="517"/>
      <c r="BQ31" s="517"/>
      <c r="BR31" s="517"/>
      <c r="BS31" s="517"/>
      <c r="BT31" s="517"/>
      <c r="BU31" s="517"/>
      <c r="BV31" s="517"/>
      <c r="BW31" s="517"/>
      <c r="BX31" s="517"/>
      <c r="BY31" s="517"/>
      <c r="BZ31" s="517"/>
      <c r="CA31" s="517"/>
      <c r="CB31" s="517"/>
      <c r="CC31" s="517"/>
      <c r="CD31" s="517"/>
      <c r="CE31" s="517"/>
      <c r="CF31" s="517"/>
      <c r="CG31" s="517"/>
      <c r="CH31" s="517"/>
      <c r="CI31" s="517"/>
      <c r="CJ31" s="517"/>
      <c r="CK31" s="517"/>
      <c r="CL31" s="517"/>
      <c r="CM31" s="517"/>
      <c r="CN31" s="517"/>
      <c r="CO31" s="517"/>
      <c r="CP31" s="517"/>
    </row>
    <row r="32" spans="1:94" s="518" customFormat="1" ht="15.95" customHeight="1" x14ac:dyDescent="0.2">
      <c r="A32" s="910" t="s">
        <v>1091</v>
      </c>
      <c r="B32" s="911">
        <v>14063032</v>
      </c>
      <c r="C32" s="911">
        <v>9743592</v>
      </c>
      <c r="D32" s="911">
        <v>4376000</v>
      </c>
      <c r="E32" s="911">
        <f t="shared" si="0"/>
        <v>28182624</v>
      </c>
      <c r="F32" s="517"/>
      <c r="G32" s="550"/>
      <c r="H32" s="550"/>
      <c r="I32" s="550"/>
      <c r="J32" s="550"/>
      <c r="K32" s="550"/>
      <c r="L32" s="517"/>
      <c r="M32" s="517"/>
      <c r="N32" s="517"/>
      <c r="O32" s="517"/>
      <c r="P32" s="517"/>
      <c r="Q32" s="517"/>
      <c r="R32" s="517"/>
      <c r="S32" s="517"/>
      <c r="T32" s="517"/>
      <c r="U32" s="517"/>
      <c r="V32" s="517"/>
      <c r="W32" s="517"/>
      <c r="X32" s="517"/>
      <c r="Y32" s="517"/>
      <c r="Z32" s="517"/>
      <c r="AA32" s="517"/>
      <c r="AB32" s="517"/>
      <c r="AC32" s="517"/>
      <c r="AD32" s="517"/>
      <c r="AE32" s="517"/>
      <c r="AF32" s="517"/>
      <c r="AG32" s="517"/>
      <c r="AH32" s="517"/>
      <c r="AI32" s="517"/>
      <c r="AJ32" s="517"/>
      <c r="AK32" s="517"/>
      <c r="AL32" s="517"/>
      <c r="AM32" s="517"/>
      <c r="AN32" s="517"/>
      <c r="AO32" s="517"/>
      <c r="AP32" s="517"/>
      <c r="AQ32" s="517"/>
      <c r="AR32" s="517"/>
      <c r="AS32" s="517"/>
      <c r="AT32" s="517"/>
      <c r="AU32" s="517"/>
      <c r="AV32" s="517"/>
      <c r="AW32" s="517"/>
      <c r="AX32" s="517"/>
      <c r="AY32" s="517"/>
      <c r="AZ32" s="517"/>
      <c r="BA32" s="517"/>
      <c r="BB32" s="517"/>
      <c r="BC32" s="517"/>
      <c r="BD32" s="517"/>
      <c r="BE32" s="517"/>
      <c r="BF32" s="517"/>
      <c r="BG32" s="517"/>
      <c r="BH32" s="517"/>
      <c r="BI32" s="517"/>
      <c r="BJ32" s="517"/>
      <c r="BK32" s="517"/>
      <c r="BL32" s="517"/>
      <c r="BM32" s="517"/>
      <c r="BN32" s="517"/>
      <c r="BO32" s="517"/>
      <c r="BP32" s="517"/>
      <c r="BQ32" s="517"/>
      <c r="BR32" s="517"/>
      <c r="BS32" s="517"/>
      <c r="BT32" s="517"/>
      <c r="BU32" s="517"/>
      <c r="BV32" s="517"/>
      <c r="BW32" s="517"/>
      <c r="BX32" s="517"/>
      <c r="BY32" s="517"/>
      <c r="BZ32" s="517"/>
      <c r="CA32" s="517"/>
      <c r="CB32" s="517"/>
      <c r="CC32" s="517"/>
      <c r="CD32" s="517"/>
      <c r="CE32" s="517"/>
      <c r="CF32" s="517"/>
      <c r="CG32" s="517"/>
      <c r="CH32" s="517"/>
      <c r="CI32" s="517"/>
      <c r="CJ32" s="517"/>
      <c r="CK32" s="517"/>
      <c r="CL32" s="517"/>
      <c r="CM32" s="517"/>
      <c r="CN32" s="517"/>
      <c r="CO32" s="517"/>
      <c r="CP32" s="517"/>
    </row>
    <row r="33" spans="1:94" s="518" customFormat="1" ht="15.95" customHeight="1" x14ac:dyDescent="0.2">
      <c r="A33" s="910" t="s">
        <v>1092</v>
      </c>
      <c r="B33" s="911">
        <v>14063032</v>
      </c>
      <c r="C33" s="911">
        <v>9743592</v>
      </c>
      <c r="D33" s="911">
        <v>4376000</v>
      </c>
      <c r="E33" s="911">
        <f t="shared" si="0"/>
        <v>28182624</v>
      </c>
      <c r="F33" s="517"/>
      <c r="G33" s="550"/>
      <c r="H33" s="550"/>
      <c r="I33" s="550"/>
      <c r="J33" s="550"/>
      <c r="K33" s="550"/>
      <c r="L33" s="517"/>
      <c r="M33" s="517"/>
      <c r="N33" s="517"/>
      <c r="O33" s="517"/>
      <c r="P33" s="517"/>
      <c r="Q33" s="517"/>
      <c r="R33" s="517"/>
      <c r="S33" s="517"/>
      <c r="T33" s="517"/>
      <c r="U33" s="517"/>
      <c r="V33" s="517"/>
      <c r="W33" s="517"/>
      <c r="X33" s="517"/>
      <c r="Y33" s="517"/>
      <c r="Z33" s="517"/>
      <c r="AA33" s="517"/>
      <c r="AB33" s="517"/>
      <c r="AC33" s="517"/>
      <c r="AD33" s="517"/>
      <c r="AE33" s="517"/>
      <c r="AF33" s="517"/>
      <c r="AG33" s="517"/>
      <c r="AH33" s="517"/>
      <c r="AI33" s="517"/>
      <c r="AJ33" s="517"/>
      <c r="AK33" s="517"/>
      <c r="AL33" s="517"/>
      <c r="AM33" s="517"/>
      <c r="AN33" s="517"/>
      <c r="AO33" s="517"/>
      <c r="AP33" s="517"/>
      <c r="AQ33" s="517"/>
      <c r="AR33" s="517"/>
      <c r="AS33" s="517"/>
      <c r="AT33" s="517"/>
      <c r="AU33" s="517"/>
      <c r="AV33" s="517"/>
      <c r="AW33" s="517"/>
      <c r="AX33" s="517"/>
      <c r="AY33" s="517"/>
      <c r="AZ33" s="517"/>
      <c r="BA33" s="517"/>
      <c r="BB33" s="517"/>
      <c r="BC33" s="517"/>
      <c r="BD33" s="517"/>
      <c r="BE33" s="517"/>
      <c r="BF33" s="517"/>
      <c r="BG33" s="517"/>
      <c r="BH33" s="517"/>
      <c r="BI33" s="517"/>
      <c r="BJ33" s="517"/>
      <c r="BK33" s="517"/>
      <c r="BL33" s="517"/>
      <c r="BM33" s="517"/>
      <c r="BN33" s="517"/>
      <c r="BO33" s="517"/>
      <c r="BP33" s="517"/>
      <c r="BQ33" s="517"/>
      <c r="BR33" s="517"/>
      <c r="BS33" s="517"/>
      <c r="BT33" s="517"/>
      <c r="BU33" s="517"/>
      <c r="BV33" s="517"/>
      <c r="BW33" s="517"/>
      <c r="BX33" s="517"/>
      <c r="BY33" s="517"/>
      <c r="BZ33" s="517"/>
      <c r="CA33" s="517"/>
      <c r="CB33" s="517"/>
      <c r="CC33" s="517"/>
      <c r="CD33" s="517"/>
      <c r="CE33" s="517"/>
      <c r="CF33" s="517"/>
      <c r="CG33" s="517"/>
      <c r="CH33" s="517"/>
      <c r="CI33" s="517"/>
      <c r="CJ33" s="517"/>
      <c r="CK33" s="517"/>
      <c r="CL33" s="517"/>
      <c r="CM33" s="517"/>
      <c r="CN33" s="517"/>
      <c r="CO33" s="517"/>
      <c r="CP33" s="517"/>
    </row>
    <row r="34" spans="1:94" s="518" customFormat="1" ht="15.95" customHeight="1" x14ac:dyDescent="0.2">
      <c r="A34" s="910" t="s">
        <v>1093</v>
      </c>
      <c r="B34" s="911">
        <v>14063032</v>
      </c>
      <c r="C34" s="911">
        <v>9743592</v>
      </c>
      <c r="D34" s="911">
        <v>4376000</v>
      </c>
      <c r="E34" s="911">
        <f t="shared" si="0"/>
        <v>28182624</v>
      </c>
      <c r="F34" s="517"/>
      <c r="G34" s="550"/>
      <c r="H34" s="550"/>
      <c r="I34" s="550"/>
      <c r="J34" s="550"/>
      <c r="K34" s="550"/>
      <c r="L34" s="517"/>
      <c r="M34" s="517"/>
      <c r="N34" s="517"/>
      <c r="O34" s="517"/>
      <c r="P34" s="517"/>
      <c r="Q34" s="517"/>
      <c r="R34" s="517"/>
      <c r="S34" s="517"/>
      <c r="T34" s="517"/>
      <c r="U34" s="517"/>
      <c r="V34" s="517"/>
      <c r="W34" s="517"/>
      <c r="X34" s="517"/>
      <c r="Y34" s="517"/>
      <c r="Z34" s="517"/>
      <c r="AA34" s="517"/>
      <c r="AB34" s="517"/>
      <c r="AC34" s="517"/>
      <c r="AD34" s="517"/>
      <c r="AE34" s="517"/>
      <c r="AF34" s="517"/>
      <c r="AG34" s="517"/>
      <c r="AH34" s="517"/>
      <c r="AI34" s="517"/>
      <c r="AJ34" s="517"/>
      <c r="AK34" s="517"/>
      <c r="AL34" s="517"/>
      <c r="AM34" s="517"/>
      <c r="AN34" s="517"/>
      <c r="AO34" s="517"/>
      <c r="AP34" s="517"/>
      <c r="AQ34" s="517"/>
      <c r="AR34" s="517"/>
      <c r="AS34" s="517"/>
      <c r="AT34" s="517"/>
      <c r="AU34" s="517"/>
      <c r="AV34" s="517"/>
      <c r="AW34" s="517"/>
      <c r="AX34" s="517"/>
      <c r="AY34" s="517"/>
      <c r="AZ34" s="517"/>
      <c r="BA34" s="517"/>
      <c r="BB34" s="517"/>
      <c r="BC34" s="517"/>
      <c r="BD34" s="517"/>
      <c r="BE34" s="517"/>
      <c r="BF34" s="517"/>
      <c r="BG34" s="517"/>
      <c r="BH34" s="517"/>
      <c r="BI34" s="517"/>
      <c r="BJ34" s="517"/>
      <c r="BK34" s="517"/>
      <c r="BL34" s="517"/>
      <c r="BM34" s="517"/>
      <c r="BN34" s="517"/>
      <c r="BO34" s="517"/>
      <c r="BP34" s="517"/>
      <c r="BQ34" s="517"/>
      <c r="BR34" s="517"/>
      <c r="BS34" s="517"/>
      <c r="BT34" s="517"/>
      <c r="BU34" s="517"/>
      <c r="BV34" s="517"/>
      <c r="BW34" s="517"/>
      <c r="BX34" s="517"/>
      <c r="BY34" s="517"/>
      <c r="BZ34" s="517"/>
      <c r="CA34" s="517"/>
      <c r="CB34" s="517"/>
      <c r="CC34" s="517"/>
      <c r="CD34" s="517"/>
      <c r="CE34" s="517"/>
      <c r="CF34" s="517"/>
      <c r="CG34" s="517"/>
      <c r="CH34" s="517"/>
      <c r="CI34" s="517"/>
      <c r="CJ34" s="517"/>
      <c r="CK34" s="517"/>
      <c r="CL34" s="517"/>
      <c r="CM34" s="517"/>
      <c r="CN34" s="517"/>
      <c r="CO34" s="517"/>
      <c r="CP34" s="517"/>
    </row>
    <row r="35" spans="1:94" s="518" customFormat="1" ht="15.95" customHeight="1" x14ac:dyDescent="0.2">
      <c r="A35" s="910" t="s">
        <v>1094</v>
      </c>
      <c r="B35" s="911">
        <v>14063032</v>
      </c>
      <c r="C35" s="911">
        <v>9743592</v>
      </c>
      <c r="D35" s="911">
        <v>4376000</v>
      </c>
      <c r="E35" s="911">
        <f t="shared" si="0"/>
        <v>28182624</v>
      </c>
      <c r="F35" s="517"/>
      <c r="G35" s="550"/>
      <c r="H35" s="550"/>
      <c r="I35" s="550"/>
      <c r="J35" s="550"/>
      <c r="K35" s="550"/>
      <c r="L35" s="517"/>
      <c r="M35" s="517"/>
      <c r="N35" s="517"/>
      <c r="O35" s="517"/>
      <c r="P35" s="517"/>
      <c r="Q35" s="517"/>
      <c r="R35" s="517"/>
      <c r="S35" s="517"/>
      <c r="T35" s="517"/>
      <c r="U35" s="517"/>
      <c r="V35" s="517"/>
      <c r="W35" s="517"/>
      <c r="X35" s="517"/>
      <c r="Y35" s="517"/>
      <c r="Z35" s="517"/>
      <c r="AA35" s="517"/>
      <c r="AB35" s="517"/>
      <c r="AC35" s="517"/>
      <c r="AD35" s="517"/>
      <c r="AE35" s="517"/>
      <c r="AF35" s="517"/>
      <c r="AG35" s="517"/>
      <c r="AH35" s="517"/>
      <c r="AI35" s="517"/>
      <c r="AJ35" s="517"/>
      <c r="AK35" s="517"/>
      <c r="AL35" s="517"/>
      <c r="AM35" s="517"/>
      <c r="AN35" s="517"/>
      <c r="AO35" s="517"/>
      <c r="AP35" s="517"/>
      <c r="AQ35" s="517"/>
      <c r="AR35" s="517"/>
      <c r="AS35" s="517"/>
      <c r="AT35" s="517"/>
      <c r="AU35" s="517"/>
      <c r="AV35" s="517"/>
      <c r="AW35" s="517"/>
      <c r="AX35" s="517"/>
      <c r="AY35" s="517"/>
      <c r="AZ35" s="517"/>
      <c r="BA35" s="517"/>
      <c r="BB35" s="517"/>
      <c r="BC35" s="517"/>
      <c r="BD35" s="517"/>
      <c r="BE35" s="517"/>
      <c r="BF35" s="517"/>
      <c r="BG35" s="517"/>
      <c r="BH35" s="517"/>
      <c r="BI35" s="517"/>
      <c r="BJ35" s="517"/>
      <c r="BK35" s="517"/>
      <c r="BL35" s="517"/>
      <c r="BM35" s="517"/>
      <c r="BN35" s="517"/>
      <c r="BO35" s="517"/>
      <c r="BP35" s="517"/>
      <c r="BQ35" s="517"/>
      <c r="BR35" s="517"/>
      <c r="BS35" s="517"/>
      <c r="BT35" s="517"/>
      <c r="BU35" s="517"/>
      <c r="BV35" s="517"/>
      <c r="BW35" s="517"/>
      <c r="BX35" s="517"/>
      <c r="BY35" s="517"/>
      <c r="BZ35" s="517"/>
      <c r="CA35" s="517"/>
      <c r="CB35" s="517"/>
      <c r="CC35" s="517"/>
      <c r="CD35" s="517"/>
      <c r="CE35" s="517"/>
      <c r="CF35" s="517"/>
      <c r="CG35" s="517"/>
      <c r="CH35" s="517"/>
      <c r="CI35" s="517"/>
      <c r="CJ35" s="517"/>
      <c r="CK35" s="517"/>
      <c r="CL35" s="517"/>
      <c r="CM35" s="517"/>
      <c r="CN35" s="517"/>
      <c r="CO35" s="517"/>
      <c r="CP35" s="517"/>
    </row>
    <row r="36" spans="1:94" s="518" customFormat="1" ht="15.95" customHeight="1" x14ac:dyDescent="0.2">
      <c r="A36" s="910" t="s">
        <v>1095</v>
      </c>
      <c r="B36" s="911">
        <v>14063032</v>
      </c>
      <c r="C36" s="911">
        <v>9743592</v>
      </c>
      <c r="D36" s="911">
        <v>4376000</v>
      </c>
      <c r="E36" s="911">
        <f t="shared" si="0"/>
        <v>28182624</v>
      </c>
      <c r="F36" s="517"/>
      <c r="G36" s="550"/>
      <c r="H36" s="550"/>
      <c r="I36" s="550"/>
      <c r="J36" s="550"/>
      <c r="K36" s="550"/>
      <c r="L36" s="517"/>
      <c r="M36" s="517"/>
      <c r="N36" s="517"/>
      <c r="O36" s="517"/>
      <c r="P36" s="517"/>
      <c r="Q36" s="517"/>
      <c r="R36" s="517"/>
      <c r="S36" s="517"/>
      <c r="T36" s="517"/>
      <c r="U36" s="517"/>
      <c r="V36" s="517"/>
      <c r="W36" s="517"/>
      <c r="X36" s="517"/>
      <c r="Y36" s="517"/>
      <c r="Z36" s="517"/>
      <c r="AA36" s="517"/>
      <c r="AB36" s="517"/>
      <c r="AC36" s="517"/>
      <c r="AD36" s="517"/>
      <c r="AE36" s="517"/>
      <c r="AF36" s="517"/>
      <c r="AG36" s="517"/>
      <c r="AH36" s="517"/>
      <c r="AI36" s="517"/>
      <c r="AJ36" s="517"/>
      <c r="AK36" s="517"/>
      <c r="AL36" s="517"/>
      <c r="AM36" s="517"/>
      <c r="AN36" s="517"/>
      <c r="AO36" s="517"/>
      <c r="AP36" s="517"/>
      <c r="AQ36" s="517"/>
      <c r="AR36" s="517"/>
      <c r="AS36" s="517"/>
      <c r="AT36" s="517"/>
      <c r="AU36" s="517"/>
      <c r="AV36" s="517"/>
      <c r="AW36" s="517"/>
      <c r="AX36" s="517"/>
      <c r="AY36" s="517"/>
      <c r="AZ36" s="517"/>
      <c r="BA36" s="517"/>
      <c r="BB36" s="517"/>
      <c r="BC36" s="517"/>
      <c r="BD36" s="517"/>
      <c r="BE36" s="517"/>
      <c r="BF36" s="517"/>
      <c r="BG36" s="517"/>
      <c r="BH36" s="517"/>
      <c r="BI36" s="517"/>
      <c r="BJ36" s="517"/>
      <c r="BK36" s="517"/>
      <c r="BL36" s="517"/>
      <c r="BM36" s="517"/>
      <c r="BN36" s="517"/>
      <c r="BO36" s="517"/>
      <c r="BP36" s="517"/>
      <c r="BQ36" s="517"/>
      <c r="BR36" s="517"/>
      <c r="BS36" s="517"/>
      <c r="BT36" s="517"/>
      <c r="BU36" s="517"/>
      <c r="BV36" s="517"/>
      <c r="BW36" s="517"/>
      <c r="BX36" s="517"/>
      <c r="BY36" s="517"/>
      <c r="BZ36" s="517"/>
      <c r="CA36" s="517"/>
      <c r="CB36" s="517"/>
      <c r="CC36" s="517"/>
      <c r="CD36" s="517"/>
      <c r="CE36" s="517"/>
      <c r="CF36" s="517"/>
      <c r="CG36" s="517"/>
      <c r="CH36" s="517"/>
      <c r="CI36" s="517"/>
      <c r="CJ36" s="517"/>
      <c r="CK36" s="517"/>
      <c r="CL36" s="517"/>
      <c r="CM36" s="517"/>
      <c r="CN36" s="517"/>
      <c r="CO36" s="517"/>
      <c r="CP36" s="517"/>
    </row>
    <row r="37" spans="1:94" s="518" customFormat="1" ht="15.95" customHeight="1" x14ac:dyDescent="0.2">
      <c r="A37" s="910" t="s">
        <v>1096</v>
      </c>
      <c r="B37" s="911">
        <v>14063032</v>
      </c>
      <c r="C37" s="911">
        <v>9743592</v>
      </c>
      <c r="D37" s="911">
        <v>4376000</v>
      </c>
      <c r="E37" s="911">
        <f t="shared" si="0"/>
        <v>28182624</v>
      </c>
      <c r="F37" s="517"/>
      <c r="G37" s="550"/>
      <c r="H37" s="550"/>
      <c r="I37" s="550"/>
      <c r="J37" s="550"/>
      <c r="K37" s="550"/>
      <c r="L37" s="517"/>
      <c r="M37" s="517"/>
      <c r="N37" s="517"/>
      <c r="O37" s="517"/>
      <c r="P37" s="517"/>
      <c r="Q37" s="517"/>
      <c r="R37" s="517"/>
      <c r="S37" s="517"/>
      <c r="T37" s="517"/>
      <c r="U37" s="517"/>
      <c r="V37" s="517"/>
      <c r="W37" s="517"/>
      <c r="X37" s="517"/>
      <c r="Y37" s="517"/>
      <c r="Z37" s="517"/>
      <c r="AA37" s="517"/>
      <c r="AB37" s="517"/>
      <c r="AC37" s="517"/>
      <c r="AD37" s="517"/>
      <c r="AE37" s="517"/>
      <c r="AF37" s="517"/>
      <c r="AG37" s="517"/>
      <c r="AH37" s="517"/>
      <c r="AI37" s="517"/>
      <c r="AJ37" s="517"/>
      <c r="AK37" s="517"/>
      <c r="AL37" s="517"/>
      <c r="AM37" s="517"/>
      <c r="AN37" s="517"/>
      <c r="AO37" s="517"/>
      <c r="AP37" s="517"/>
      <c r="AQ37" s="517"/>
      <c r="AR37" s="517"/>
      <c r="AS37" s="517"/>
      <c r="AT37" s="517"/>
      <c r="AU37" s="517"/>
      <c r="AV37" s="517"/>
      <c r="AW37" s="517"/>
      <c r="AX37" s="517"/>
      <c r="AY37" s="517"/>
      <c r="AZ37" s="517"/>
      <c r="BA37" s="517"/>
      <c r="BB37" s="517"/>
      <c r="BC37" s="517"/>
      <c r="BD37" s="517"/>
      <c r="BE37" s="517"/>
      <c r="BF37" s="517"/>
      <c r="BG37" s="517"/>
      <c r="BH37" s="517"/>
      <c r="BI37" s="517"/>
      <c r="BJ37" s="517"/>
      <c r="BK37" s="517"/>
      <c r="BL37" s="517"/>
      <c r="BM37" s="517"/>
      <c r="BN37" s="517"/>
      <c r="BO37" s="517"/>
      <c r="BP37" s="517"/>
      <c r="BQ37" s="517"/>
      <c r="BR37" s="517"/>
      <c r="BS37" s="517"/>
      <c r="BT37" s="517"/>
      <c r="BU37" s="517"/>
      <c r="BV37" s="517"/>
      <c r="BW37" s="517"/>
      <c r="BX37" s="517"/>
      <c r="BY37" s="517"/>
      <c r="BZ37" s="517"/>
      <c r="CA37" s="517"/>
      <c r="CB37" s="517"/>
      <c r="CC37" s="517"/>
      <c r="CD37" s="517"/>
      <c r="CE37" s="517"/>
      <c r="CF37" s="517"/>
      <c r="CG37" s="517"/>
      <c r="CH37" s="517"/>
      <c r="CI37" s="517"/>
      <c r="CJ37" s="517"/>
      <c r="CK37" s="517"/>
      <c r="CL37" s="517"/>
      <c r="CM37" s="517"/>
      <c r="CN37" s="517"/>
      <c r="CO37" s="517"/>
      <c r="CP37" s="517"/>
    </row>
    <row r="38" spans="1:94" s="518" customFormat="1" ht="15.95" customHeight="1" x14ac:dyDescent="0.2">
      <c r="A38" s="910" t="s">
        <v>1097</v>
      </c>
      <c r="B38" s="911">
        <v>14063032</v>
      </c>
      <c r="C38" s="911">
        <v>9743592</v>
      </c>
      <c r="D38" s="911">
        <v>4376000</v>
      </c>
      <c r="E38" s="911">
        <f t="shared" si="0"/>
        <v>28182624</v>
      </c>
      <c r="F38" s="517"/>
      <c r="G38" s="550"/>
      <c r="H38" s="550"/>
      <c r="I38" s="550"/>
      <c r="J38" s="550"/>
      <c r="K38" s="550"/>
      <c r="L38" s="517"/>
      <c r="M38" s="517"/>
      <c r="N38" s="517"/>
      <c r="O38" s="517"/>
      <c r="P38" s="517"/>
      <c r="Q38" s="517"/>
      <c r="R38" s="517"/>
      <c r="S38" s="517"/>
      <c r="T38" s="517"/>
      <c r="U38" s="517"/>
      <c r="V38" s="517"/>
      <c r="W38" s="517"/>
      <c r="X38" s="517"/>
      <c r="Y38" s="517"/>
      <c r="Z38" s="517"/>
      <c r="AA38" s="517"/>
      <c r="AB38" s="517"/>
      <c r="AC38" s="517"/>
      <c r="AD38" s="517"/>
      <c r="AE38" s="517"/>
      <c r="AF38" s="517"/>
      <c r="AG38" s="517"/>
      <c r="AH38" s="517"/>
      <c r="AI38" s="517"/>
      <c r="AJ38" s="517"/>
      <c r="AK38" s="517"/>
      <c r="AL38" s="517"/>
      <c r="AM38" s="517"/>
      <c r="AN38" s="517"/>
      <c r="AO38" s="517"/>
      <c r="AP38" s="517"/>
      <c r="AQ38" s="517"/>
      <c r="AR38" s="517"/>
      <c r="AS38" s="517"/>
      <c r="AT38" s="517"/>
      <c r="AU38" s="517"/>
      <c r="AV38" s="517"/>
      <c r="AW38" s="517"/>
      <c r="AX38" s="517"/>
      <c r="AY38" s="517"/>
      <c r="AZ38" s="517"/>
      <c r="BA38" s="517"/>
      <c r="BB38" s="517"/>
      <c r="BC38" s="517"/>
      <c r="BD38" s="517"/>
      <c r="BE38" s="517"/>
      <c r="BF38" s="517"/>
      <c r="BG38" s="517"/>
      <c r="BH38" s="517"/>
      <c r="BI38" s="517"/>
      <c r="BJ38" s="517"/>
      <c r="BK38" s="517"/>
      <c r="BL38" s="517"/>
      <c r="BM38" s="517"/>
      <c r="BN38" s="517"/>
      <c r="BO38" s="517"/>
      <c r="BP38" s="517"/>
      <c r="BQ38" s="517"/>
      <c r="BR38" s="517"/>
      <c r="BS38" s="517"/>
      <c r="BT38" s="517"/>
      <c r="BU38" s="517"/>
      <c r="BV38" s="517"/>
      <c r="BW38" s="517"/>
      <c r="BX38" s="517"/>
      <c r="BY38" s="517"/>
      <c r="BZ38" s="517"/>
      <c r="CA38" s="517"/>
      <c r="CB38" s="517"/>
      <c r="CC38" s="517"/>
      <c r="CD38" s="517"/>
      <c r="CE38" s="517"/>
      <c r="CF38" s="517"/>
      <c r="CG38" s="517"/>
      <c r="CH38" s="517"/>
      <c r="CI38" s="517"/>
      <c r="CJ38" s="517"/>
      <c r="CK38" s="517"/>
      <c r="CL38" s="517"/>
      <c r="CM38" s="517"/>
      <c r="CN38" s="517"/>
      <c r="CO38" s="517"/>
      <c r="CP38" s="517"/>
    </row>
    <row r="39" spans="1:94" s="518" customFormat="1" ht="15.95" customHeight="1" x14ac:dyDescent="0.2">
      <c r="A39" s="910" t="s">
        <v>1098</v>
      </c>
      <c r="B39" s="911">
        <v>14063032</v>
      </c>
      <c r="C39" s="911">
        <v>9743592</v>
      </c>
      <c r="D39" s="911">
        <v>4376000</v>
      </c>
      <c r="E39" s="911">
        <f t="shared" si="0"/>
        <v>28182624</v>
      </c>
      <c r="F39" s="517"/>
      <c r="G39" s="550"/>
      <c r="H39" s="550"/>
      <c r="I39" s="550"/>
      <c r="J39" s="550"/>
      <c r="K39" s="550"/>
      <c r="L39" s="517"/>
      <c r="M39" s="517"/>
      <c r="N39" s="517"/>
      <c r="O39" s="517"/>
      <c r="P39" s="517"/>
      <c r="Q39" s="517"/>
      <c r="R39" s="517"/>
      <c r="S39" s="517"/>
      <c r="T39" s="517"/>
      <c r="U39" s="517"/>
      <c r="V39" s="517"/>
      <c r="W39" s="517"/>
      <c r="X39" s="517"/>
      <c r="Y39" s="517"/>
      <c r="Z39" s="517"/>
      <c r="AA39" s="517"/>
      <c r="AB39" s="517"/>
      <c r="AC39" s="517"/>
      <c r="AD39" s="517"/>
      <c r="AE39" s="517"/>
      <c r="AF39" s="517"/>
      <c r="AG39" s="517"/>
      <c r="AH39" s="517"/>
      <c r="AI39" s="517"/>
      <c r="AJ39" s="517"/>
      <c r="AK39" s="517"/>
      <c r="AL39" s="517"/>
      <c r="AM39" s="517"/>
      <c r="AN39" s="517"/>
      <c r="AO39" s="517"/>
      <c r="AP39" s="517"/>
      <c r="AQ39" s="517"/>
      <c r="AR39" s="517"/>
      <c r="AS39" s="517"/>
      <c r="AT39" s="517"/>
      <c r="AU39" s="517"/>
      <c r="AV39" s="517"/>
      <c r="AW39" s="517"/>
      <c r="AX39" s="517"/>
      <c r="AY39" s="517"/>
      <c r="AZ39" s="517"/>
      <c r="BA39" s="517"/>
      <c r="BB39" s="517"/>
      <c r="BC39" s="517"/>
      <c r="BD39" s="517"/>
      <c r="BE39" s="517"/>
      <c r="BF39" s="517"/>
      <c r="BG39" s="517"/>
      <c r="BH39" s="517"/>
      <c r="BI39" s="517"/>
      <c r="BJ39" s="517"/>
      <c r="BK39" s="517"/>
      <c r="BL39" s="517"/>
      <c r="BM39" s="517"/>
      <c r="BN39" s="517"/>
      <c r="BO39" s="517"/>
      <c r="BP39" s="517"/>
      <c r="BQ39" s="517"/>
      <c r="BR39" s="517"/>
      <c r="BS39" s="517"/>
      <c r="BT39" s="517"/>
      <c r="BU39" s="517"/>
      <c r="BV39" s="517"/>
      <c r="BW39" s="517"/>
      <c r="BX39" s="517"/>
      <c r="BY39" s="517"/>
      <c r="BZ39" s="517"/>
      <c r="CA39" s="517"/>
      <c r="CB39" s="517"/>
      <c r="CC39" s="517"/>
      <c r="CD39" s="517"/>
      <c r="CE39" s="517"/>
      <c r="CF39" s="517"/>
      <c r="CG39" s="517"/>
      <c r="CH39" s="517"/>
      <c r="CI39" s="517"/>
      <c r="CJ39" s="517"/>
      <c r="CK39" s="517"/>
      <c r="CL39" s="517"/>
      <c r="CM39" s="517"/>
      <c r="CN39" s="517"/>
      <c r="CO39" s="517"/>
      <c r="CP39" s="517"/>
    </row>
    <row r="40" spans="1:94" s="518" customFormat="1" ht="15.95" customHeight="1" x14ac:dyDescent="0.2">
      <c r="A40" s="910" t="s">
        <v>1099</v>
      </c>
      <c r="B40" s="911">
        <v>14063032</v>
      </c>
      <c r="C40" s="911">
        <v>9743592</v>
      </c>
      <c r="D40" s="911">
        <v>4376000</v>
      </c>
      <c r="E40" s="911">
        <f t="shared" si="0"/>
        <v>28182624</v>
      </c>
      <c r="F40" s="517"/>
      <c r="G40" s="550"/>
      <c r="H40" s="550"/>
      <c r="I40" s="550"/>
      <c r="J40" s="550"/>
      <c r="K40" s="550"/>
      <c r="L40" s="517"/>
      <c r="M40" s="517"/>
      <c r="N40" s="517"/>
      <c r="O40" s="517"/>
      <c r="P40" s="517"/>
      <c r="Q40" s="517"/>
      <c r="R40" s="517"/>
      <c r="S40" s="517"/>
      <c r="T40" s="517"/>
      <c r="U40" s="517"/>
      <c r="V40" s="517"/>
      <c r="W40" s="517"/>
      <c r="X40" s="517"/>
      <c r="Y40" s="517"/>
      <c r="Z40" s="517"/>
      <c r="AA40" s="517"/>
      <c r="AB40" s="517"/>
      <c r="AC40" s="517"/>
      <c r="AD40" s="517"/>
      <c r="AE40" s="517"/>
      <c r="AF40" s="517"/>
      <c r="AG40" s="517"/>
      <c r="AH40" s="517"/>
      <c r="AI40" s="517"/>
      <c r="AJ40" s="517"/>
      <c r="AK40" s="517"/>
      <c r="AL40" s="517"/>
      <c r="AM40" s="517"/>
      <c r="AN40" s="517"/>
      <c r="AO40" s="517"/>
      <c r="AP40" s="517"/>
      <c r="AQ40" s="517"/>
      <c r="AR40" s="517"/>
      <c r="AS40" s="517"/>
      <c r="AT40" s="517"/>
      <c r="AU40" s="517"/>
      <c r="AV40" s="517"/>
      <c r="AW40" s="517"/>
      <c r="AX40" s="517"/>
      <c r="AY40" s="517"/>
      <c r="AZ40" s="517"/>
      <c r="BA40" s="517"/>
      <c r="BB40" s="517"/>
      <c r="BC40" s="517"/>
      <c r="BD40" s="517"/>
      <c r="BE40" s="517"/>
      <c r="BF40" s="517"/>
      <c r="BG40" s="517"/>
      <c r="BH40" s="517"/>
      <c r="BI40" s="517"/>
      <c r="BJ40" s="517"/>
      <c r="BK40" s="517"/>
      <c r="BL40" s="517"/>
      <c r="BM40" s="517"/>
      <c r="BN40" s="517"/>
      <c r="BO40" s="517"/>
      <c r="BP40" s="517"/>
      <c r="BQ40" s="517"/>
      <c r="BR40" s="517"/>
      <c r="BS40" s="517"/>
      <c r="BT40" s="517"/>
      <c r="BU40" s="517"/>
      <c r="BV40" s="517"/>
      <c r="BW40" s="517"/>
      <c r="BX40" s="517"/>
      <c r="BY40" s="517"/>
      <c r="BZ40" s="517"/>
      <c r="CA40" s="517"/>
      <c r="CB40" s="517"/>
      <c r="CC40" s="517"/>
      <c r="CD40" s="517"/>
      <c r="CE40" s="517"/>
      <c r="CF40" s="517"/>
      <c r="CG40" s="517"/>
      <c r="CH40" s="517"/>
      <c r="CI40" s="517"/>
      <c r="CJ40" s="517"/>
      <c r="CK40" s="517"/>
      <c r="CL40" s="517"/>
      <c r="CM40" s="517"/>
      <c r="CN40" s="517"/>
      <c r="CO40" s="517"/>
      <c r="CP40" s="517"/>
    </row>
    <row r="41" spans="1:94" s="518" customFormat="1" ht="15.95" customHeight="1" x14ac:dyDescent="0.2">
      <c r="A41" s="910" t="s">
        <v>1100</v>
      </c>
      <c r="B41" s="911">
        <v>7031547</v>
      </c>
      <c r="C41" s="911">
        <v>9743629</v>
      </c>
      <c r="D41" s="911">
        <v>4334633</v>
      </c>
      <c r="E41" s="911">
        <f t="shared" si="0"/>
        <v>21109809</v>
      </c>
      <c r="F41" s="517"/>
      <c r="G41" s="550"/>
      <c r="H41" s="550"/>
      <c r="I41" s="550"/>
      <c r="J41" s="550"/>
      <c r="K41" s="550"/>
      <c r="L41" s="517"/>
      <c r="M41" s="517"/>
      <c r="N41" s="517"/>
      <c r="O41" s="517"/>
      <c r="P41" s="517"/>
      <c r="Q41" s="517"/>
      <c r="R41" s="517"/>
      <c r="S41" s="517"/>
      <c r="T41" s="517"/>
      <c r="U41" s="517"/>
      <c r="V41" s="517"/>
      <c r="W41" s="517"/>
      <c r="X41" s="517"/>
      <c r="Y41" s="517"/>
      <c r="Z41" s="517"/>
      <c r="AA41" s="517"/>
      <c r="AB41" s="517"/>
      <c r="AC41" s="517"/>
      <c r="AD41" s="517"/>
      <c r="AE41" s="517"/>
      <c r="AF41" s="517"/>
      <c r="AG41" s="517"/>
      <c r="AH41" s="517"/>
      <c r="AI41" s="517"/>
      <c r="AJ41" s="517"/>
      <c r="AK41" s="517"/>
      <c r="AL41" s="517"/>
      <c r="AM41" s="517"/>
      <c r="AN41" s="517"/>
      <c r="AO41" s="517"/>
      <c r="AP41" s="517"/>
      <c r="AQ41" s="517"/>
      <c r="AR41" s="517"/>
      <c r="AS41" s="517"/>
      <c r="AT41" s="517"/>
      <c r="AU41" s="517"/>
      <c r="AV41" s="517"/>
      <c r="AW41" s="517"/>
      <c r="AX41" s="517"/>
      <c r="AY41" s="517"/>
      <c r="AZ41" s="517"/>
      <c r="BA41" s="517"/>
      <c r="BB41" s="517"/>
      <c r="BC41" s="517"/>
      <c r="BD41" s="517"/>
      <c r="BE41" s="517"/>
      <c r="BF41" s="517"/>
      <c r="BG41" s="517"/>
      <c r="BH41" s="517"/>
      <c r="BI41" s="517"/>
      <c r="BJ41" s="517"/>
      <c r="BK41" s="517"/>
      <c r="BL41" s="517"/>
      <c r="BM41" s="517"/>
      <c r="BN41" s="517"/>
      <c r="BO41" s="517"/>
      <c r="BP41" s="517"/>
      <c r="BQ41" s="517"/>
      <c r="BR41" s="517"/>
      <c r="BS41" s="517"/>
      <c r="BT41" s="517"/>
      <c r="BU41" s="517"/>
      <c r="BV41" s="517"/>
      <c r="BW41" s="517"/>
      <c r="BX41" s="517"/>
      <c r="BY41" s="517"/>
      <c r="BZ41" s="517"/>
      <c r="CA41" s="517"/>
      <c r="CB41" s="517"/>
      <c r="CC41" s="517"/>
      <c r="CD41" s="517"/>
      <c r="CE41" s="517"/>
      <c r="CF41" s="517"/>
      <c r="CG41" s="517"/>
      <c r="CH41" s="517"/>
      <c r="CI41" s="517"/>
      <c r="CJ41" s="517"/>
      <c r="CK41" s="517"/>
      <c r="CL41" s="517"/>
      <c r="CM41" s="517"/>
      <c r="CN41" s="517"/>
      <c r="CO41" s="517"/>
      <c r="CP41" s="517"/>
    </row>
    <row r="42" spans="1:94" s="518" customFormat="1" ht="21" customHeight="1" thickBot="1" x14ac:dyDescent="0.25">
      <c r="A42" s="952" t="s">
        <v>1531</v>
      </c>
      <c r="B42" s="552">
        <f>SUM(B26:B41)</f>
        <v>217977027</v>
      </c>
      <c r="C42" s="552">
        <f>SUM(C26:C41)</f>
        <v>155897509</v>
      </c>
      <c r="D42" s="552">
        <f>SUM(D26:D41)</f>
        <v>69974633</v>
      </c>
      <c r="E42" s="953">
        <f>SUM(E26:E41)</f>
        <v>443849169</v>
      </c>
      <c r="F42" s="517"/>
      <c r="G42" s="550"/>
      <c r="H42" s="550"/>
      <c r="I42" s="550"/>
      <c r="J42" s="550"/>
      <c r="K42" s="550"/>
      <c r="L42" s="517"/>
      <c r="M42" s="517"/>
      <c r="N42" s="517"/>
      <c r="O42" s="517"/>
      <c r="P42" s="517"/>
      <c r="Q42" s="517"/>
      <c r="R42" s="517"/>
      <c r="S42" s="517"/>
      <c r="T42" s="517"/>
      <c r="U42" s="517"/>
      <c r="V42" s="517"/>
      <c r="W42" s="517"/>
      <c r="X42" s="517"/>
      <c r="Y42" s="517"/>
      <c r="Z42" s="517"/>
      <c r="AA42" s="517"/>
      <c r="AB42" s="517"/>
      <c r="AC42" s="517"/>
      <c r="AD42" s="517"/>
      <c r="AE42" s="517"/>
      <c r="AF42" s="517"/>
      <c r="AG42" s="517"/>
      <c r="AH42" s="517"/>
      <c r="AI42" s="517"/>
      <c r="AJ42" s="517"/>
      <c r="AK42" s="517"/>
      <c r="AL42" s="517"/>
      <c r="AM42" s="517"/>
      <c r="AN42" s="517"/>
      <c r="AO42" s="517"/>
      <c r="AP42" s="517"/>
      <c r="AQ42" s="517"/>
      <c r="AR42" s="517"/>
      <c r="AS42" s="517"/>
      <c r="AT42" s="517"/>
      <c r="AU42" s="517"/>
      <c r="AV42" s="517"/>
      <c r="AW42" s="517"/>
      <c r="AX42" s="517"/>
      <c r="AY42" s="517"/>
      <c r="AZ42" s="517"/>
      <c r="BA42" s="517"/>
      <c r="BB42" s="517"/>
      <c r="BC42" s="517"/>
      <c r="BD42" s="517"/>
      <c r="BE42" s="517"/>
      <c r="BF42" s="517"/>
      <c r="BG42" s="517"/>
      <c r="BH42" s="517"/>
      <c r="BI42" s="517"/>
      <c r="BJ42" s="517"/>
      <c r="BK42" s="517"/>
      <c r="BL42" s="517"/>
      <c r="BM42" s="517"/>
      <c r="BN42" s="517"/>
      <c r="BO42" s="517"/>
      <c r="BP42" s="517"/>
      <c r="BQ42" s="517"/>
      <c r="BR42" s="517"/>
      <c r="BS42" s="517"/>
      <c r="BT42" s="517"/>
      <c r="BU42" s="517"/>
      <c r="BV42" s="517"/>
      <c r="BW42" s="517"/>
      <c r="BX42" s="517"/>
      <c r="BY42" s="517"/>
      <c r="BZ42" s="517"/>
      <c r="CA42" s="517"/>
      <c r="CB42" s="517"/>
      <c r="CC42" s="517"/>
      <c r="CD42" s="517"/>
      <c r="CE42" s="517"/>
      <c r="CF42" s="517"/>
      <c r="CG42" s="517"/>
      <c r="CH42" s="517"/>
      <c r="CI42" s="517"/>
      <c r="CJ42" s="517"/>
      <c r="CK42" s="517"/>
      <c r="CL42" s="517"/>
      <c r="CM42" s="517"/>
      <c r="CN42" s="517"/>
      <c r="CO42" s="517"/>
      <c r="CP42" s="517"/>
    </row>
    <row r="43" spans="1:94" s="518" customFormat="1" ht="15.95" customHeight="1" thickTop="1" thickBot="1" x14ac:dyDescent="0.25">
      <c r="A43" s="954" t="s">
        <v>1532</v>
      </c>
      <c r="B43" s="554">
        <f>+B42</f>
        <v>217977027</v>
      </c>
      <c r="C43" s="554">
        <f>+C42</f>
        <v>155897509</v>
      </c>
      <c r="D43" s="554">
        <f>+D42</f>
        <v>69974633</v>
      </c>
      <c r="E43" s="554">
        <f>SUM(B43:D43)</f>
        <v>443849169</v>
      </c>
      <c r="F43" s="517"/>
      <c r="G43" s="550"/>
      <c r="H43" s="550"/>
      <c r="I43" s="550"/>
      <c r="J43" s="550"/>
      <c r="K43" s="550"/>
      <c r="L43" s="517"/>
      <c r="M43" s="517"/>
      <c r="N43" s="517"/>
      <c r="O43" s="517"/>
      <c r="P43" s="517"/>
      <c r="Q43" s="517"/>
      <c r="R43" s="517"/>
      <c r="S43" s="517"/>
      <c r="T43" s="517"/>
      <c r="U43" s="517"/>
      <c r="V43" s="517"/>
      <c r="W43" s="517"/>
      <c r="X43" s="517"/>
      <c r="Y43" s="517"/>
      <c r="Z43" s="517"/>
      <c r="AA43" s="517"/>
      <c r="AB43" s="517"/>
      <c r="AC43" s="517"/>
      <c r="AD43" s="517"/>
      <c r="AE43" s="517"/>
      <c r="AF43" s="517"/>
      <c r="AG43" s="517"/>
      <c r="AH43" s="517"/>
      <c r="AI43" s="517"/>
      <c r="AJ43" s="517"/>
      <c r="AK43" s="517"/>
      <c r="AL43" s="517"/>
      <c r="AM43" s="517"/>
      <c r="AN43" s="517"/>
      <c r="AO43" s="517"/>
      <c r="AP43" s="517"/>
      <c r="AQ43" s="517"/>
      <c r="AR43" s="517"/>
      <c r="AS43" s="517"/>
      <c r="AT43" s="517"/>
      <c r="AU43" s="517"/>
      <c r="AV43" s="517"/>
      <c r="AW43" s="517"/>
      <c r="AX43" s="517"/>
      <c r="AY43" s="517"/>
      <c r="AZ43" s="517"/>
      <c r="BA43" s="517"/>
      <c r="BB43" s="517"/>
      <c r="BC43" s="517"/>
      <c r="BD43" s="517"/>
      <c r="BE43" s="517"/>
      <c r="BF43" s="517"/>
      <c r="BG43" s="517"/>
      <c r="BH43" s="517"/>
      <c r="BI43" s="517"/>
      <c r="BJ43" s="517"/>
      <c r="BK43" s="517"/>
      <c r="BL43" s="517"/>
      <c r="BM43" s="517"/>
      <c r="BN43" s="517"/>
      <c r="BO43" s="517"/>
      <c r="BP43" s="517"/>
      <c r="BQ43" s="517"/>
      <c r="BR43" s="517"/>
      <c r="BS43" s="517"/>
      <c r="BT43" s="517"/>
      <c r="BU43" s="517"/>
      <c r="BV43" s="517"/>
      <c r="BW43" s="517"/>
      <c r="BX43" s="517"/>
      <c r="BY43" s="517"/>
      <c r="BZ43" s="517"/>
      <c r="CA43" s="517"/>
      <c r="CB43" s="517"/>
      <c r="CC43" s="517"/>
      <c r="CD43" s="517"/>
      <c r="CE43" s="517"/>
      <c r="CF43" s="517"/>
      <c r="CG43" s="517"/>
      <c r="CH43" s="517"/>
      <c r="CI43" s="517"/>
      <c r="CJ43" s="517"/>
      <c r="CK43" s="517"/>
      <c r="CL43" s="517"/>
      <c r="CM43" s="517"/>
      <c r="CN43" s="517"/>
      <c r="CO43" s="517"/>
      <c r="CP43" s="517"/>
    </row>
    <row r="44" spans="1:94" s="517" customFormat="1" ht="11.25" customHeight="1" thickTop="1" x14ac:dyDescent="0.2">
      <c r="A44" s="555"/>
      <c r="B44" s="556"/>
      <c r="C44" s="556"/>
      <c r="D44" s="556"/>
      <c r="E44" s="556"/>
      <c r="F44" s="557"/>
    </row>
    <row r="45" spans="1:94" s="558" customFormat="1" ht="16.5" customHeight="1" x14ac:dyDescent="0.15">
      <c r="A45" s="558" t="s">
        <v>1101</v>
      </c>
      <c r="C45" s="559"/>
      <c r="D45" s="559"/>
      <c r="F45" s="560"/>
      <c r="G45" s="560"/>
    </row>
    <row r="46" spans="1:94" s="558" customFormat="1" ht="21" customHeight="1" x14ac:dyDescent="0.2">
      <c r="A46" s="2018" t="s">
        <v>1102</v>
      </c>
      <c r="B46" s="2018"/>
      <c r="C46" s="517"/>
      <c r="D46" s="517"/>
      <c r="E46" s="517"/>
      <c r="F46" s="560"/>
      <c r="G46" s="560"/>
    </row>
    <row r="47" spans="1:94" s="517" customFormat="1" x14ac:dyDescent="0.2">
      <c r="A47" s="561"/>
      <c r="F47" s="562"/>
      <c r="H47" s="562"/>
    </row>
    <row r="48" spans="1:94" s="517" customFormat="1" x14ac:dyDescent="0.2">
      <c r="A48" s="561"/>
      <c r="B48" s="562"/>
      <c r="F48" s="562"/>
    </row>
    <row r="49" spans="1:94" s="517" customFormat="1" x14ac:dyDescent="0.2"/>
    <row r="50" spans="1:94" s="517" customFormat="1" x14ac:dyDescent="0.2"/>
    <row r="51" spans="1:94" s="517" customFormat="1" x14ac:dyDescent="0.2">
      <c r="B51" s="557"/>
    </row>
    <row r="52" spans="1:94" s="517" customFormat="1" x14ac:dyDescent="0.2">
      <c r="B52" s="557">
        <f>SUM(B16:B25)</f>
        <v>131515541</v>
      </c>
      <c r="C52" s="557">
        <f>SUM(C16:C25)</f>
        <v>51153858</v>
      </c>
      <c r="D52" s="557">
        <f>SUM(D16:D25)</f>
        <v>22974000</v>
      </c>
      <c r="E52" s="557">
        <f>SUM(E16:E25)</f>
        <v>205643399</v>
      </c>
    </row>
    <row r="53" spans="1:94" s="517" customFormat="1" x14ac:dyDescent="0.2">
      <c r="B53" s="562">
        <f>SUM(B29:B41)</f>
        <v>175787931</v>
      </c>
      <c r="C53" s="562">
        <f>SUM(C29:C41)</f>
        <v>126666733</v>
      </c>
      <c r="D53" s="562">
        <f>SUM(D29:D41)</f>
        <v>56846633</v>
      </c>
      <c r="E53" s="562">
        <f>SUM(E29:E41)</f>
        <v>359301297</v>
      </c>
      <c r="F53" s="557">
        <f>SUM(E52:E53)</f>
        <v>564944696</v>
      </c>
      <c r="G53" s="562">
        <f>SUM(B7:D7)</f>
        <v>649492568</v>
      </c>
    </row>
    <row r="54" spans="1:94" s="563" customFormat="1" x14ac:dyDescent="0.2">
      <c r="A54" s="517"/>
      <c r="B54" s="517"/>
      <c r="C54" s="517"/>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517"/>
      <c r="AB54" s="517"/>
      <c r="AC54" s="517"/>
      <c r="AD54" s="517"/>
      <c r="AE54" s="517"/>
      <c r="AF54" s="517"/>
      <c r="AG54" s="517"/>
      <c r="AH54" s="517"/>
      <c r="AI54" s="517"/>
      <c r="AJ54" s="517"/>
      <c r="AK54" s="517"/>
      <c r="AL54" s="517"/>
      <c r="AM54" s="517"/>
      <c r="AN54" s="517"/>
      <c r="AO54" s="517"/>
      <c r="AP54" s="517"/>
      <c r="AQ54" s="517"/>
      <c r="AR54" s="517"/>
      <c r="AS54" s="517"/>
      <c r="AT54" s="517"/>
      <c r="AU54" s="517"/>
      <c r="AV54" s="517"/>
      <c r="AW54" s="517"/>
      <c r="AX54" s="517"/>
      <c r="AY54" s="517"/>
      <c r="AZ54" s="517"/>
      <c r="BA54" s="517"/>
      <c r="BB54" s="517"/>
      <c r="BC54" s="517"/>
      <c r="BD54" s="517"/>
      <c r="BE54" s="517"/>
      <c r="BF54" s="517"/>
      <c r="BG54" s="517"/>
      <c r="BH54" s="517"/>
      <c r="BI54" s="517"/>
      <c r="BJ54" s="517"/>
      <c r="BK54" s="517"/>
      <c r="BL54" s="517"/>
      <c r="BM54" s="517"/>
      <c r="BN54" s="517"/>
      <c r="BO54" s="517"/>
      <c r="BP54" s="517"/>
      <c r="BQ54" s="517"/>
      <c r="BR54" s="517"/>
      <c r="BS54" s="517"/>
      <c r="BT54" s="517"/>
      <c r="BU54" s="517"/>
      <c r="BV54" s="517"/>
      <c r="BW54" s="517"/>
      <c r="BX54" s="517"/>
      <c r="BY54" s="517"/>
      <c r="BZ54" s="517"/>
      <c r="CA54" s="517"/>
      <c r="CB54" s="517"/>
      <c r="CC54" s="517"/>
      <c r="CD54" s="517"/>
      <c r="CE54" s="517"/>
      <c r="CF54" s="517"/>
      <c r="CG54" s="517"/>
      <c r="CH54" s="517"/>
      <c r="CI54" s="517"/>
      <c r="CJ54" s="517"/>
      <c r="CK54" s="517"/>
      <c r="CL54" s="517"/>
      <c r="CM54" s="517"/>
      <c r="CN54" s="517"/>
      <c r="CO54" s="517"/>
      <c r="CP54" s="517"/>
    </row>
    <row r="55" spans="1:94" x14ac:dyDescent="0.2">
      <c r="A55" s="517"/>
      <c r="B55" s="517"/>
      <c r="C55" s="517"/>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c r="AE55" s="517"/>
      <c r="AF55" s="517"/>
      <c r="AG55" s="517"/>
      <c r="AH55" s="517"/>
      <c r="AI55" s="517"/>
      <c r="AJ55" s="517"/>
      <c r="AK55" s="517"/>
      <c r="AL55" s="517"/>
      <c r="AM55" s="517"/>
      <c r="AN55" s="517"/>
      <c r="AO55" s="517"/>
      <c r="AP55" s="517"/>
      <c r="AQ55" s="517"/>
      <c r="AR55" s="517"/>
      <c r="AS55" s="517"/>
      <c r="AT55" s="517"/>
      <c r="AU55" s="517"/>
      <c r="AV55" s="517"/>
      <c r="AW55" s="517"/>
      <c r="AX55" s="517"/>
      <c r="AY55" s="517"/>
      <c r="AZ55" s="517"/>
      <c r="BA55" s="517"/>
      <c r="BB55" s="517"/>
      <c r="BC55" s="517"/>
      <c r="BD55" s="517"/>
      <c r="BE55" s="517"/>
      <c r="BF55" s="517"/>
      <c r="BG55" s="517"/>
      <c r="BH55" s="517"/>
      <c r="BI55" s="517"/>
      <c r="BJ55" s="517"/>
      <c r="BK55" s="517"/>
      <c r="BL55" s="517"/>
      <c r="BM55" s="517"/>
      <c r="BN55" s="517"/>
      <c r="BO55" s="517"/>
      <c r="BP55" s="517"/>
      <c r="BQ55" s="517"/>
      <c r="BR55" s="517"/>
      <c r="BS55" s="517"/>
      <c r="BT55" s="517"/>
      <c r="BU55" s="517"/>
      <c r="BV55" s="517"/>
      <c r="BW55" s="517"/>
      <c r="BX55" s="517"/>
      <c r="BY55" s="517"/>
      <c r="BZ55" s="517"/>
      <c r="CA55" s="517"/>
      <c r="CB55" s="517"/>
      <c r="CC55" s="517"/>
      <c r="CD55" s="517"/>
      <c r="CE55" s="517"/>
      <c r="CF55" s="517"/>
      <c r="CG55" s="517"/>
      <c r="CH55" s="517"/>
      <c r="CI55" s="517"/>
      <c r="CJ55" s="517"/>
      <c r="CK55" s="517"/>
      <c r="CL55" s="517"/>
      <c r="CM55" s="517"/>
      <c r="CN55" s="517"/>
      <c r="CO55" s="517"/>
      <c r="CP55" s="517"/>
    </row>
    <row r="56" spans="1:94" x14ac:dyDescent="0.2">
      <c r="A56" s="517"/>
      <c r="B56" s="517"/>
      <c r="C56" s="517"/>
      <c r="D56" s="517"/>
      <c r="E56" s="517"/>
      <c r="F56" s="517"/>
      <c r="G56" s="517"/>
      <c r="H56" s="517"/>
      <c r="I56" s="517"/>
      <c r="J56" s="517"/>
      <c r="K56" s="517"/>
      <c r="L56" s="517"/>
      <c r="M56" s="517"/>
      <c r="N56" s="517"/>
      <c r="O56" s="517"/>
      <c r="P56" s="517"/>
      <c r="Q56" s="517"/>
      <c r="R56" s="517"/>
      <c r="S56" s="517"/>
      <c r="T56" s="517"/>
      <c r="U56" s="517"/>
      <c r="V56" s="517"/>
      <c r="W56" s="517"/>
      <c r="X56" s="517"/>
      <c r="Y56" s="517"/>
      <c r="Z56" s="517"/>
      <c r="AA56" s="517"/>
      <c r="AB56" s="517"/>
      <c r="AC56" s="517"/>
      <c r="AD56" s="517"/>
      <c r="AE56" s="517"/>
      <c r="AF56" s="517"/>
      <c r="AG56" s="517"/>
      <c r="AH56" s="517"/>
      <c r="AI56" s="517"/>
      <c r="AJ56" s="517"/>
      <c r="AK56" s="517"/>
      <c r="AL56" s="517"/>
      <c r="AM56" s="517"/>
      <c r="AN56" s="517"/>
      <c r="AO56" s="517"/>
      <c r="AP56" s="517"/>
      <c r="AQ56" s="517"/>
      <c r="AR56" s="517"/>
      <c r="AS56" s="517"/>
      <c r="AT56" s="517"/>
      <c r="AU56" s="517"/>
      <c r="AV56" s="517"/>
      <c r="AW56" s="517"/>
      <c r="AX56" s="517"/>
      <c r="AY56" s="517"/>
      <c r="AZ56" s="517"/>
      <c r="BA56" s="517"/>
      <c r="BB56" s="517"/>
      <c r="BC56" s="517"/>
      <c r="BD56" s="517"/>
      <c r="BE56" s="517"/>
      <c r="BF56" s="517"/>
      <c r="BG56" s="517"/>
      <c r="BH56" s="517"/>
      <c r="BI56" s="517"/>
      <c r="BJ56" s="517"/>
      <c r="BK56" s="517"/>
      <c r="BL56" s="517"/>
      <c r="BM56" s="517"/>
      <c r="BN56" s="517"/>
      <c r="BO56" s="517"/>
      <c r="BP56" s="517"/>
      <c r="BQ56" s="517"/>
      <c r="BR56" s="517"/>
      <c r="BS56" s="517"/>
      <c r="BT56" s="517"/>
      <c r="BU56" s="517"/>
      <c r="BV56" s="517"/>
      <c r="BW56" s="517"/>
      <c r="BX56" s="517"/>
      <c r="BY56" s="517"/>
      <c r="BZ56" s="517"/>
      <c r="CA56" s="517"/>
      <c r="CB56" s="517"/>
      <c r="CC56" s="517"/>
      <c r="CD56" s="517"/>
      <c r="CE56" s="517"/>
      <c r="CF56" s="517"/>
      <c r="CG56" s="517"/>
      <c r="CH56" s="517"/>
      <c r="CI56" s="517"/>
      <c r="CJ56" s="517"/>
      <c r="CK56" s="517"/>
      <c r="CL56" s="517"/>
      <c r="CM56" s="517"/>
      <c r="CN56" s="517"/>
      <c r="CO56" s="517"/>
      <c r="CP56" s="517"/>
    </row>
    <row r="57" spans="1:94" x14ac:dyDescent="0.2">
      <c r="A57" s="517"/>
      <c r="B57" s="517"/>
      <c r="C57" s="517"/>
      <c r="D57" s="517"/>
      <c r="E57" s="517"/>
      <c r="F57" s="517"/>
      <c r="G57" s="517"/>
      <c r="H57" s="517"/>
      <c r="I57" s="517"/>
      <c r="J57" s="517"/>
      <c r="K57" s="517"/>
      <c r="L57" s="517"/>
      <c r="M57" s="517"/>
      <c r="N57" s="517"/>
      <c r="O57" s="517"/>
      <c r="P57" s="517"/>
      <c r="Q57" s="517"/>
      <c r="R57" s="517"/>
      <c r="S57" s="517"/>
      <c r="T57" s="517"/>
      <c r="U57" s="517"/>
      <c r="V57" s="517"/>
      <c r="W57" s="517"/>
      <c r="X57" s="517"/>
      <c r="Y57" s="517"/>
      <c r="Z57" s="517"/>
      <c r="AA57" s="517"/>
      <c r="AB57" s="517"/>
      <c r="AC57" s="517"/>
      <c r="AD57" s="517"/>
      <c r="AE57" s="517"/>
      <c r="AF57" s="517"/>
      <c r="AG57" s="517"/>
      <c r="AH57" s="517"/>
      <c r="AI57" s="517"/>
      <c r="AJ57" s="517"/>
      <c r="AK57" s="517"/>
      <c r="AL57" s="517"/>
      <c r="AM57" s="517"/>
      <c r="AN57" s="517"/>
      <c r="AO57" s="517"/>
      <c r="AP57" s="517"/>
      <c r="AQ57" s="517"/>
      <c r="AR57" s="517"/>
      <c r="AS57" s="517"/>
      <c r="AT57" s="517"/>
      <c r="AU57" s="517"/>
      <c r="AV57" s="517"/>
      <c r="AW57" s="517"/>
      <c r="AX57" s="517"/>
      <c r="AY57" s="517"/>
      <c r="AZ57" s="517"/>
      <c r="BA57" s="517"/>
      <c r="BB57" s="517"/>
      <c r="BC57" s="517"/>
      <c r="BD57" s="517"/>
      <c r="BE57" s="517"/>
      <c r="BF57" s="517"/>
      <c r="BG57" s="517"/>
      <c r="BH57" s="517"/>
      <c r="BI57" s="517"/>
      <c r="BJ57" s="517"/>
      <c r="BK57" s="517"/>
      <c r="BL57" s="517"/>
      <c r="BM57" s="517"/>
      <c r="BN57" s="517"/>
      <c r="BO57" s="517"/>
      <c r="BP57" s="517"/>
      <c r="BQ57" s="517"/>
      <c r="BR57" s="517"/>
      <c r="BS57" s="517"/>
      <c r="BT57" s="517"/>
      <c r="BU57" s="517"/>
      <c r="BV57" s="517"/>
      <c r="BW57" s="517"/>
      <c r="BX57" s="517"/>
      <c r="BY57" s="517"/>
      <c r="BZ57" s="517"/>
      <c r="CA57" s="517"/>
      <c r="CB57" s="517"/>
      <c r="CC57" s="517"/>
      <c r="CD57" s="517"/>
      <c r="CE57" s="517"/>
      <c r="CF57" s="517"/>
      <c r="CG57" s="517"/>
      <c r="CH57" s="517"/>
      <c r="CI57" s="517"/>
      <c r="CJ57" s="517"/>
      <c r="CK57" s="517"/>
      <c r="CL57" s="517"/>
      <c r="CM57" s="517"/>
      <c r="CN57" s="517"/>
      <c r="CO57" s="517"/>
      <c r="CP57" s="517"/>
    </row>
    <row r="58" spans="1:94" x14ac:dyDescent="0.2">
      <c r="A58" s="517"/>
      <c r="B58" s="517"/>
      <c r="C58" s="517"/>
      <c r="D58" s="517"/>
      <c r="E58" s="517"/>
      <c r="F58" s="517"/>
      <c r="G58" s="517"/>
      <c r="H58" s="517"/>
      <c r="I58" s="517"/>
      <c r="J58" s="517"/>
      <c r="K58" s="517"/>
      <c r="L58" s="517"/>
      <c r="M58" s="517"/>
      <c r="N58" s="517"/>
      <c r="O58" s="517"/>
      <c r="P58" s="517"/>
      <c r="Q58" s="517"/>
      <c r="R58" s="517"/>
      <c r="S58" s="517"/>
      <c r="T58" s="517"/>
      <c r="U58" s="517"/>
      <c r="V58" s="517"/>
      <c r="W58" s="517"/>
      <c r="X58" s="517"/>
      <c r="Y58" s="517"/>
      <c r="Z58" s="517"/>
      <c r="AA58" s="517"/>
      <c r="AB58" s="517"/>
      <c r="AC58" s="517"/>
      <c r="AD58" s="517"/>
      <c r="AE58" s="517"/>
      <c r="AF58" s="517"/>
      <c r="AG58" s="517"/>
      <c r="AH58" s="517"/>
      <c r="AI58" s="517"/>
      <c r="AJ58" s="517"/>
      <c r="AK58" s="517"/>
      <c r="AL58" s="517"/>
      <c r="AM58" s="517"/>
      <c r="AN58" s="517"/>
      <c r="AO58" s="517"/>
      <c r="AP58" s="517"/>
      <c r="AQ58" s="517"/>
      <c r="AR58" s="517"/>
      <c r="AS58" s="517"/>
      <c r="AT58" s="517"/>
      <c r="AU58" s="517"/>
      <c r="AV58" s="517"/>
      <c r="AW58" s="517"/>
      <c r="AX58" s="517"/>
      <c r="AY58" s="517"/>
      <c r="AZ58" s="517"/>
      <c r="BA58" s="517"/>
      <c r="BB58" s="517"/>
      <c r="BC58" s="517"/>
      <c r="BD58" s="517"/>
      <c r="BE58" s="517"/>
      <c r="BF58" s="517"/>
      <c r="BG58" s="517"/>
      <c r="BH58" s="517"/>
      <c r="BI58" s="517"/>
      <c r="BJ58" s="517"/>
      <c r="BK58" s="517"/>
      <c r="BL58" s="517"/>
      <c r="BM58" s="517"/>
      <c r="BN58" s="517"/>
      <c r="BO58" s="517"/>
      <c r="BP58" s="517"/>
      <c r="BQ58" s="517"/>
      <c r="BR58" s="517"/>
      <c r="BS58" s="517"/>
      <c r="BT58" s="517"/>
      <c r="BU58" s="517"/>
      <c r="BV58" s="517"/>
      <c r="BW58" s="517"/>
      <c r="BX58" s="517"/>
      <c r="BY58" s="517"/>
      <c r="BZ58" s="517"/>
      <c r="CA58" s="517"/>
      <c r="CB58" s="517"/>
      <c r="CC58" s="517"/>
      <c r="CD58" s="517"/>
      <c r="CE58" s="517"/>
      <c r="CF58" s="517"/>
      <c r="CG58" s="517"/>
      <c r="CH58" s="517"/>
      <c r="CI58" s="517"/>
      <c r="CJ58" s="517"/>
      <c r="CK58" s="517"/>
      <c r="CL58" s="517"/>
      <c r="CM58" s="517"/>
      <c r="CN58" s="517"/>
      <c r="CO58" s="517"/>
      <c r="CP58" s="517"/>
    </row>
    <row r="59" spans="1:94" x14ac:dyDescent="0.2">
      <c r="A59" s="517"/>
      <c r="B59" s="517"/>
      <c r="C59" s="517"/>
      <c r="D59" s="517"/>
      <c r="E59" s="517"/>
      <c r="F59" s="517"/>
      <c r="G59" s="517"/>
      <c r="H59" s="517"/>
      <c r="I59" s="517"/>
      <c r="J59" s="517"/>
      <c r="K59" s="517"/>
      <c r="L59" s="517"/>
      <c r="M59" s="517"/>
      <c r="N59" s="517"/>
      <c r="O59" s="517"/>
      <c r="P59" s="517"/>
      <c r="Q59" s="517"/>
      <c r="R59" s="517"/>
      <c r="S59" s="517"/>
      <c r="T59" s="517"/>
      <c r="U59" s="517"/>
      <c r="V59" s="517"/>
      <c r="W59" s="517"/>
      <c r="X59" s="517"/>
      <c r="Y59" s="517"/>
      <c r="Z59" s="517"/>
      <c r="AA59" s="517"/>
      <c r="AB59" s="517"/>
      <c r="AC59" s="517"/>
      <c r="AD59" s="517"/>
      <c r="AE59" s="517"/>
      <c r="AF59" s="517"/>
      <c r="AG59" s="517"/>
      <c r="AH59" s="517"/>
      <c r="AI59" s="517"/>
      <c r="AJ59" s="517"/>
      <c r="AK59" s="517"/>
      <c r="AL59" s="517"/>
      <c r="AM59" s="517"/>
      <c r="AN59" s="517"/>
      <c r="AO59" s="517"/>
      <c r="AP59" s="517"/>
      <c r="AQ59" s="517"/>
      <c r="AR59" s="517"/>
      <c r="AS59" s="517"/>
      <c r="AT59" s="517"/>
      <c r="AU59" s="517"/>
      <c r="AV59" s="517"/>
      <c r="AW59" s="517"/>
      <c r="AX59" s="517"/>
      <c r="AY59" s="517"/>
      <c r="AZ59" s="517"/>
      <c r="BA59" s="517"/>
      <c r="BB59" s="517"/>
      <c r="BC59" s="517"/>
      <c r="BD59" s="517"/>
      <c r="BE59" s="517"/>
      <c r="BF59" s="517"/>
      <c r="BG59" s="517"/>
      <c r="BH59" s="517"/>
      <c r="BI59" s="517"/>
      <c r="BJ59" s="517"/>
      <c r="BK59" s="517"/>
      <c r="BL59" s="517"/>
      <c r="BM59" s="517"/>
      <c r="BN59" s="517"/>
      <c r="BO59" s="517"/>
      <c r="BP59" s="517"/>
      <c r="BQ59" s="517"/>
      <c r="BR59" s="517"/>
      <c r="BS59" s="517"/>
      <c r="BT59" s="517"/>
      <c r="BU59" s="517"/>
      <c r="BV59" s="517"/>
      <c r="BW59" s="517"/>
      <c r="BX59" s="517"/>
      <c r="BY59" s="517"/>
      <c r="BZ59" s="517"/>
      <c r="CA59" s="517"/>
      <c r="CB59" s="517"/>
      <c r="CC59" s="517"/>
      <c r="CD59" s="517"/>
      <c r="CE59" s="517"/>
      <c r="CF59" s="517"/>
      <c r="CG59" s="517"/>
      <c r="CH59" s="517"/>
      <c r="CI59" s="517"/>
      <c r="CJ59" s="517"/>
      <c r="CK59" s="517"/>
      <c r="CL59" s="517"/>
      <c r="CM59" s="517"/>
      <c r="CN59" s="517"/>
      <c r="CO59" s="517"/>
      <c r="CP59" s="517"/>
    </row>
    <row r="60" spans="1:94" x14ac:dyDescent="0.2">
      <c r="A60" s="517"/>
      <c r="B60" s="517"/>
      <c r="C60" s="517"/>
      <c r="D60" s="517"/>
      <c r="E60" s="517"/>
      <c r="F60" s="517"/>
      <c r="G60" s="517"/>
      <c r="H60" s="517"/>
      <c r="I60" s="517"/>
      <c r="J60" s="517"/>
      <c r="K60" s="517"/>
      <c r="L60" s="517"/>
      <c r="M60" s="517"/>
      <c r="N60" s="517"/>
      <c r="O60" s="517"/>
      <c r="P60" s="517"/>
      <c r="Q60" s="517"/>
      <c r="R60" s="517"/>
      <c r="S60" s="517"/>
      <c r="T60" s="517"/>
      <c r="U60" s="517"/>
      <c r="V60" s="517"/>
      <c r="W60" s="517"/>
      <c r="X60" s="517"/>
      <c r="Y60" s="517"/>
      <c r="Z60" s="517"/>
      <c r="AA60" s="517"/>
      <c r="AB60" s="517"/>
      <c r="AC60" s="517"/>
      <c r="AD60" s="517"/>
      <c r="AE60" s="517"/>
      <c r="AF60" s="517"/>
      <c r="AG60" s="517"/>
      <c r="AH60" s="517"/>
      <c r="AI60" s="517"/>
      <c r="AJ60" s="517"/>
      <c r="AK60" s="517"/>
      <c r="AL60" s="517"/>
      <c r="AM60" s="517"/>
      <c r="AN60" s="517"/>
      <c r="AO60" s="517"/>
      <c r="AP60" s="517"/>
      <c r="AQ60" s="517"/>
      <c r="AR60" s="517"/>
      <c r="AS60" s="517"/>
      <c r="AT60" s="517"/>
      <c r="AU60" s="517"/>
      <c r="AV60" s="517"/>
      <c r="AW60" s="517"/>
      <c r="AX60" s="517"/>
      <c r="AY60" s="517"/>
      <c r="AZ60" s="517"/>
      <c r="BA60" s="517"/>
      <c r="BB60" s="517"/>
      <c r="BC60" s="517"/>
      <c r="BD60" s="517"/>
      <c r="BE60" s="517"/>
      <c r="BF60" s="517"/>
      <c r="BG60" s="517"/>
      <c r="BH60" s="517"/>
      <c r="BI60" s="517"/>
      <c r="BJ60" s="517"/>
      <c r="BK60" s="517"/>
      <c r="BL60" s="517"/>
      <c r="BM60" s="517"/>
      <c r="BN60" s="517"/>
      <c r="BO60" s="517"/>
      <c r="BP60" s="517"/>
      <c r="BQ60" s="517"/>
      <c r="BR60" s="517"/>
      <c r="BS60" s="517"/>
      <c r="BT60" s="517"/>
      <c r="BU60" s="517"/>
      <c r="BV60" s="517"/>
      <c r="BW60" s="517"/>
      <c r="BX60" s="517"/>
      <c r="BY60" s="517"/>
      <c r="BZ60" s="517"/>
      <c r="CA60" s="517"/>
      <c r="CB60" s="517"/>
      <c r="CC60" s="517"/>
      <c r="CD60" s="517"/>
      <c r="CE60" s="517"/>
      <c r="CF60" s="517"/>
      <c r="CG60" s="517"/>
      <c r="CH60" s="517"/>
      <c r="CI60" s="517"/>
      <c r="CJ60" s="517"/>
      <c r="CK60" s="517"/>
      <c r="CL60" s="517"/>
      <c r="CM60" s="517"/>
      <c r="CN60" s="517"/>
      <c r="CO60" s="517"/>
      <c r="CP60" s="517"/>
    </row>
    <row r="61" spans="1:94" x14ac:dyDescent="0.2">
      <c r="A61" s="517"/>
      <c r="B61" s="517"/>
      <c r="C61" s="517"/>
      <c r="D61" s="517"/>
      <c r="E61" s="517"/>
      <c r="F61" s="517"/>
      <c r="G61" s="517"/>
      <c r="H61" s="517"/>
      <c r="I61" s="517"/>
      <c r="J61" s="517"/>
      <c r="K61" s="517"/>
      <c r="L61" s="517"/>
      <c r="M61" s="517"/>
      <c r="N61" s="517"/>
      <c r="O61" s="517"/>
      <c r="P61" s="517"/>
      <c r="Q61" s="517"/>
      <c r="R61" s="517"/>
      <c r="S61" s="517"/>
      <c r="T61" s="517"/>
      <c r="U61" s="517"/>
      <c r="V61" s="517"/>
      <c r="W61" s="517"/>
      <c r="X61" s="517"/>
      <c r="Y61" s="517"/>
      <c r="Z61" s="517"/>
      <c r="AA61" s="517"/>
      <c r="AB61" s="517"/>
      <c r="AC61" s="517"/>
      <c r="AD61" s="517"/>
      <c r="AE61" s="517"/>
      <c r="AF61" s="517"/>
      <c r="AG61" s="517"/>
      <c r="AH61" s="517"/>
      <c r="AI61" s="517"/>
      <c r="AJ61" s="517"/>
      <c r="AK61" s="517"/>
      <c r="AL61" s="517"/>
      <c r="AM61" s="517"/>
      <c r="AN61" s="517"/>
      <c r="AO61" s="517"/>
      <c r="AP61" s="517"/>
      <c r="AQ61" s="517"/>
      <c r="AR61" s="517"/>
      <c r="AS61" s="517"/>
      <c r="AT61" s="517"/>
      <c r="AU61" s="517"/>
      <c r="AV61" s="517"/>
      <c r="AW61" s="517"/>
      <c r="AX61" s="517"/>
      <c r="AY61" s="517"/>
      <c r="AZ61" s="517"/>
      <c r="BA61" s="517"/>
      <c r="BB61" s="517"/>
      <c r="BC61" s="517"/>
      <c r="BD61" s="517"/>
      <c r="BE61" s="517"/>
      <c r="BF61" s="517"/>
      <c r="BG61" s="517"/>
      <c r="BH61" s="517"/>
      <c r="BI61" s="517"/>
      <c r="BJ61" s="517"/>
      <c r="BK61" s="517"/>
      <c r="BL61" s="517"/>
      <c r="BM61" s="517"/>
      <c r="BN61" s="517"/>
      <c r="BO61" s="517"/>
      <c r="BP61" s="517"/>
      <c r="BQ61" s="517"/>
      <c r="BR61" s="517"/>
      <c r="BS61" s="517"/>
      <c r="BT61" s="517"/>
      <c r="BU61" s="517"/>
      <c r="BV61" s="517"/>
      <c r="BW61" s="517"/>
      <c r="BX61" s="517"/>
      <c r="BY61" s="517"/>
      <c r="BZ61" s="517"/>
      <c r="CA61" s="517"/>
      <c r="CB61" s="517"/>
      <c r="CC61" s="517"/>
      <c r="CD61" s="517"/>
      <c r="CE61" s="517"/>
      <c r="CF61" s="517"/>
      <c r="CG61" s="517"/>
      <c r="CH61" s="517"/>
      <c r="CI61" s="517"/>
      <c r="CJ61" s="517"/>
      <c r="CK61" s="517"/>
      <c r="CL61" s="517"/>
      <c r="CM61" s="517"/>
      <c r="CN61" s="517"/>
      <c r="CO61" s="517"/>
      <c r="CP61" s="517"/>
    </row>
    <row r="62" spans="1:94" x14ac:dyDescent="0.2">
      <c r="A62" s="517"/>
      <c r="B62" s="517"/>
      <c r="C62" s="517"/>
      <c r="D62" s="517"/>
      <c r="E62" s="517"/>
      <c r="F62" s="517"/>
      <c r="G62" s="517"/>
      <c r="H62" s="517"/>
      <c r="I62" s="517"/>
      <c r="J62" s="517"/>
      <c r="K62" s="517"/>
      <c r="L62" s="517"/>
      <c r="M62" s="517"/>
      <c r="N62" s="517"/>
      <c r="O62" s="517"/>
      <c r="P62" s="517"/>
      <c r="Q62" s="517"/>
      <c r="R62" s="517"/>
      <c r="S62" s="517"/>
      <c r="T62" s="517"/>
      <c r="U62" s="517"/>
      <c r="V62" s="517"/>
      <c r="W62" s="517"/>
      <c r="X62" s="517"/>
      <c r="Y62" s="517"/>
      <c r="Z62" s="517"/>
      <c r="AA62" s="517"/>
      <c r="AB62" s="517"/>
      <c r="AC62" s="517"/>
      <c r="AD62" s="517"/>
      <c r="AE62" s="517"/>
      <c r="AF62" s="517"/>
      <c r="AG62" s="517"/>
      <c r="AH62" s="517"/>
      <c r="AI62" s="517"/>
      <c r="AJ62" s="517"/>
      <c r="AK62" s="517"/>
      <c r="AL62" s="517"/>
      <c r="AM62" s="517"/>
      <c r="AN62" s="517"/>
      <c r="AO62" s="517"/>
      <c r="AP62" s="517"/>
      <c r="AQ62" s="517"/>
      <c r="AR62" s="517"/>
      <c r="AS62" s="517"/>
      <c r="AT62" s="517"/>
      <c r="AU62" s="517"/>
      <c r="AV62" s="517"/>
      <c r="AW62" s="517"/>
      <c r="AX62" s="517"/>
      <c r="AY62" s="517"/>
      <c r="AZ62" s="517"/>
      <c r="BA62" s="517"/>
      <c r="BB62" s="517"/>
      <c r="BC62" s="517"/>
      <c r="BD62" s="517"/>
      <c r="BE62" s="517"/>
      <c r="BF62" s="517"/>
      <c r="BG62" s="517"/>
      <c r="BH62" s="517"/>
      <c r="BI62" s="517"/>
      <c r="BJ62" s="517"/>
      <c r="BK62" s="517"/>
      <c r="BL62" s="517"/>
      <c r="BM62" s="517"/>
      <c r="BN62" s="517"/>
      <c r="BO62" s="517"/>
      <c r="BP62" s="517"/>
      <c r="BQ62" s="517"/>
      <c r="BR62" s="517"/>
      <c r="BS62" s="517"/>
      <c r="BT62" s="517"/>
      <c r="BU62" s="517"/>
      <c r="BV62" s="517"/>
      <c r="BW62" s="517"/>
      <c r="BX62" s="517"/>
      <c r="BY62" s="517"/>
      <c r="BZ62" s="517"/>
      <c r="CA62" s="517"/>
      <c r="CB62" s="517"/>
      <c r="CC62" s="517"/>
      <c r="CD62" s="517"/>
      <c r="CE62" s="517"/>
      <c r="CF62" s="517"/>
      <c r="CG62" s="517"/>
      <c r="CH62" s="517"/>
      <c r="CI62" s="517"/>
      <c r="CJ62" s="517"/>
      <c r="CK62" s="517"/>
      <c r="CL62" s="517"/>
      <c r="CM62" s="517"/>
      <c r="CN62" s="517"/>
      <c r="CO62" s="517"/>
      <c r="CP62" s="517"/>
    </row>
    <row r="63" spans="1:94" x14ac:dyDescent="0.2">
      <c r="A63" s="517"/>
      <c r="B63" s="517"/>
      <c r="C63" s="517"/>
      <c r="D63" s="517"/>
      <c r="E63" s="517"/>
      <c r="F63" s="517"/>
      <c r="G63" s="517"/>
      <c r="H63" s="517"/>
      <c r="I63" s="517"/>
      <c r="J63" s="517"/>
      <c r="K63" s="517"/>
      <c r="L63" s="517"/>
      <c r="M63" s="517"/>
      <c r="N63" s="517"/>
      <c r="O63" s="517"/>
      <c r="P63" s="517"/>
      <c r="Q63" s="517"/>
      <c r="R63" s="517"/>
      <c r="S63" s="517"/>
      <c r="T63" s="517"/>
      <c r="U63" s="517"/>
      <c r="V63" s="517"/>
      <c r="W63" s="517"/>
      <c r="X63" s="517"/>
      <c r="Y63" s="517"/>
      <c r="Z63" s="517"/>
      <c r="AA63" s="517"/>
      <c r="AB63" s="517"/>
      <c r="AC63" s="517"/>
      <c r="AD63" s="517"/>
      <c r="AE63" s="517"/>
      <c r="AF63" s="517"/>
      <c r="AG63" s="517"/>
      <c r="AH63" s="517"/>
      <c r="AI63" s="517"/>
      <c r="AJ63" s="517"/>
      <c r="AK63" s="517"/>
      <c r="AL63" s="517"/>
      <c r="AM63" s="517"/>
      <c r="AN63" s="517"/>
      <c r="AO63" s="517"/>
      <c r="AP63" s="517"/>
      <c r="AQ63" s="517"/>
      <c r="AR63" s="517"/>
      <c r="AS63" s="517"/>
      <c r="AT63" s="517"/>
      <c r="AU63" s="517"/>
      <c r="AV63" s="517"/>
      <c r="AW63" s="517"/>
      <c r="AX63" s="517"/>
      <c r="AY63" s="517"/>
      <c r="AZ63" s="517"/>
      <c r="BA63" s="517"/>
      <c r="BB63" s="517"/>
      <c r="BC63" s="517"/>
      <c r="BD63" s="517"/>
      <c r="BE63" s="517"/>
      <c r="BF63" s="517"/>
      <c r="BG63" s="517"/>
      <c r="BH63" s="517"/>
      <c r="BI63" s="517"/>
      <c r="BJ63" s="517"/>
      <c r="BK63" s="517"/>
      <c r="BL63" s="517"/>
      <c r="BM63" s="517"/>
      <c r="BN63" s="517"/>
      <c r="BO63" s="517"/>
      <c r="BP63" s="517"/>
      <c r="BQ63" s="517"/>
      <c r="BR63" s="517"/>
      <c r="BS63" s="517"/>
      <c r="BT63" s="517"/>
      <c r="BU63" s="517"/>
      <c r="BV63" s="517"/>
      <c r="BW63" s="517"/>
      <c r="BX63" s="517"/>
      <c r="BY63" s="517"/>
      <c r="BZ63" s="517"/>
      <c r="CA63" s="517"/>
      <c r="CB63" s="517"/>
      <c r="CC63" s="517"/>
      <c r="CD63" s="517"/>
      <c r="CE63" s="517"/>
      <c r="CF63" s="517"/>
      <c r="CG63" s="517"/>
      <c r="CH63" s="517"/>
      <c r="CI63" s="517"/>
      <c r="CJ63" s="517"/>
      <c r="CK63" s="517"/>
      <c r="CL63" s="517"/>
      <c r="CM63" s="517"/>
      <c r="CN63" s="517"/>
      <c r="CO63" s="517"/>
      <c r="CP63" s="517"/>
    </row>
    <row r="64" spans="1:94" x14ac:dyDescent="0.2">
      <c r="A64" s="517"/>
      <c r="B64" s="517"/>
      <c r="C64" s="517"/>
      <c r="D64" s="517"/>
      <c r="E64" s="517"/>
      <c r="F64" s="517"/>
      <c r="G64" s="517"/>
      <c r="H64" s="517"/>
      <c r="I64" s="517"/>
      <c r="J64" s="517"/>
      <c r="K64" s="517"/>
      <c r="L64" s="517"/>
      <c r="M64" s="517"/>
      <c r="N64" s="517"/>
      <c r="O64" s="517"/>
      <c r="P64" s="517"/>
      <c r="Q64" s="517"/>
      <c r="R64" s="517"/>
      <c r="S64" s="517"/>
      <c r="T64" s="517"/>
      <c r="U64" s="517"/>
      <c r="V64" s="517"/>
      <c r="W64" s="517"/>
      <c r="X64" s="517"/>
      <c r="Y64" s="517"/>
      <c r="Z64" s="517"/>
      <c r="AA64" s="517"/>
      <c r="AB64" s="517"/>
      <c r="AC64" s="517"/>
      <c r="AD64" s="517"/>
      <c r="AE64" s="517"/>
      <c r="AF64" s="517"/>
      <c r="AG64" s="517"/>
      <c r="AH64" s="517"/>
      <c r="AI64" s="517"/>
      <c r="AJ64" s="517"/>
      <c r="AK64" s="517"/>
      <c r="AL64" s="517"/>
      <c r="AM64" s="517"/>
      <c r="AN64" s="517"/>
      <c r="AO64" s="517"/>
      <c r="AP64" s="517"/>
      <c r="AQ64" s="517"/>
      <c r="AR64" s="517"/>
      <c r="AS64" s="517"/>
      <c r="AT64" s="517"/>
      <c r="AU64" s="517"/>
      <c r="AV64" s="517"/>
      <c r="AW64" s="517"/>
      <c r="AX64" s="517"/>
      <c r="AY64" s="517"/>
      <c r="AZ64" s="517"/>
      <c r="BA64" s="517"/>
      <c r="BB64" s="517"/>
      <c r="BC64" s="517"/>
      <c r="BD64" s="517"/>
      <c r="BE64" s="517"/>
      <c r="BF64" s="517"/>
      <c r="BG64" s="517"/>
      <c r="BH64" s="517"/>
      <c r="BI64" s="517"/>
      <c r="BJ64" s="517"/>
      <c r="BK64" s="517"/>
      <c r="BL64" s="517"/>
      <c r="BM64" s="517"/>
      <c r="BN64" s="517"/>
      <c r="BO64" s="517"/>
      <c r="BP64" s="517"/>
      <c r="BQ64" s="517"/>
      <c r="BR64" s="517"/>
      <c r="BS64" s="517"/>
      <c r="BT64" s="517"/>
      <c r="BU64" s="517"/>
      <c r="BV64" s="517"/>
      <c r="BW64" s="517"/>
      <c r="BX64" s="517"/>
      <c r="BY64" s="517"/>
      <c r="BZ64" s="517"/>
      <c r="CA64" s="517"/>
      <c r="CB64" s="517"/>
      <c r="CC64" s="517"/>
      <c r="CD64" s="517"/>
      <c r="CE64" s="517"/>
      <c r="CF64" s="517"/>
      <c r="CG64" s="517"/>
      <c r="CH64" s="517"/>
      <c r="CI64" s="517"/>
      <c r="CJ64" s="517"/>
      <c r="CK64" s="517"/>
      <c r="CL64" s="517"/>
      <c r="CM64" s="517"/>
      <c r="CN64" s="517"/>
      <c r="CO64" s="517"/>
      <c r="CP64" s="517"/>
    </row>
    <row r="65" spans="1:94" x14ac:dyDescent="0.2">
      <c r="A65" s="517"/>
      <c r="B65" s="517"/>
      <c r="C65" s="517"/>
      <c r="D65" s="517"/>
      <c r="E65" s="517"/>
      <c r="F65" s="517"/>
      <c r="G65" s="517"/>
      <c r="H65" s="517"/>
      <c r="I65" s="517"/>
      <c r="J65" s="517"/>
      <c r="K65" s="517"/>
      <c r="L65" s="517"/>
      <c r="M65" s="517"/>
      <c r="N65" s="517"/>
      <c r="O65" s="517"/>
      <c r="P65" s="517"/>
      <c r="Q65" s="517"/>
      <c r="R65" s="517"/>
      <c r="S65" s="517"/>
      <c r="T65" s="517"/>
      <c r="U65" s="517"/>
      <c r="V65" s="517"/>
      <c r="W65" s="517"/>
      <c r="X65" s="517"/>
      <c r="Y65" s="517"/>
      <c r="Z65" s="517"/>
      <c r="AA65" s="517"/>
      <c r="AB65" s="517"/>
      <c r="AC65" s="517"/>
      <c r="AD65" s="517"/>
      <c r="AE65" s="517"/>
      <c r="AF65" s="517"/>
      <c r="AG65" s="517"/>
      <c r="AH65" s="517"/>
      <c r="AI65" s="517"/>
      <c r="AJ65" s="517"/>
      <c r="AK65" s="517"/>
      <c r="AL65" s="517"/>
      <c r="AM65" s="517"/>
      <c r="AN65" s="517"/>
      <c r="AO65" s="517"/>
      <c r="AP65" s="517"/>
      <c r="AQ65" s="517"/>
      <c r="AR65" s="517"/>
      <c r="AS65" s="517"/>
      <c r="AT65" s="517"/>
      <c r="AU65" s="517"/>
      <c r="AV65" s="517"/>
      <c r="AW65" s="517"/>
      <c r="AX65" s="517"/>
      <c r="AY65" s="517"/>
      <c r="AZ65" s="517"/>
      <c r="BA65" s="517"/>
      <c r="BB65" s="517"/>
      <c r="BC65" s="517"/>
      <c r="BD65" s="517"/>
      <c r="BE65" s="517"/>
      <c r="BF65" s="517"/>
      <c r="BG65" s="517"/>
      <c r="BH65" s="517"/>
      <c r="BI65" s="517"/>
      <c r="BJ65" s="517"/>
      <c r="BK65" s="517"/>
      <c r="BL65" s="517"/>
      <c r="BM65" s="517"/>
      <c r="BN65" s="517"/>
      <c r="BO65" s="517"/>
      <c r="BP65" s="517"/>
      <c r="BQ65" s="517"/>
      <c r="BR65" s="517"/>
      <c r="BS65" s="517"/>
      <c r="BT65" s="517"/>
      <c r="BU65" s="517"/>
      <c r="BV65" s="517"/>
      <c r="BW65" s="517"/>
      <c r="BX65" s="517"/>
      <c r="BY65" s="517"/>
      <c r="BZ65" s="517"/>
      <c r="CA65" s="517"/>
      <c r="CB65" s="517"/>
      <c r="CC65" s="517"/>
      <c r="CD65" s="517"/>
      <c r="CE65" s="517"/>
      <c r="CF65" s="517"/>
      <c r="CG65" s="517"/>
      <c r="CH65" s="517"/>
      <c r="CI65" s="517"/>
      <c r="CJ65" s="517"/>
      <c r="CK65" s="517"/>
      <c r="CL65" s="517"/>
      <c r="CM65" s="517"/>
      <c r="CN65" s="517"/>
      <c r="CO65" s="517"/>
      <c r="CP65" s="517"/>
    </row>
    <row r="66" spans="1:94" x14ac:dyDescent="0.2">
      <c r="A66" s="517"/>
      <c r="B66" s="517"/>
      <c r="C66" s="517"/>
      <c r="D66" s="517"/>
      <c r="E66" s="517"/>
      <c r="F66" s="517"/>
      <c r="G66" s="517"/>
      <c r="H66" s="517"/>
      <c r="I66" s="517"/>
      <c r="J66" s="517"/>
      <c r="K66" s="517"/>
      <c r="L66" s="517"/>
      <c r="M66" s="517"/>
      <c r="N66" s="517"/>
      <c r="O66" s="517"/>
      <c r="P66" s="517"/>
      <c r="Q66" s="517"/>
      <c r="R66" s="517"/>
      <c r="S66" s="517"/>
      <c r="T66" s="517"/>
      <c r="U66" s="517"/>
      <c r="V66" s="517"/>
      <c r="W66" s="517"/>
      <c r="X66" s="517"/>
      <c r="Y66" s="517"/>
      <c r="Z66" s="517"/>
      <c r="AA66" s="517"/>
      <c r="AB66" s="517"/>
      <c r="AC66" s="517"/>
      <c r="AD66" s="517"/>
      <c r="AE66" s="517"/>
      <c r="AF66" s="517"/>
      <c r="AG66" s="517"/>
      <c r="AH66" s="517"/>
      <c r="AI66" s="517"/>
      <c r="AJ66" s="517"/>
      <c r="AK66" s="517"/>
      <c r="AL66" s="517"/>
      <c r="AM66" s="517"/>
      <c r="AN66" s="517"/>
      <c r="AO66" s="517"/>
      <c r="AP66" s="517"/>
      <c r="AQ66" s="517"/>
      <c r="AR66" s="517"/>
      <c r="AS66" s="517"/>
      <c r="AT66" s="517"/>
      <c r="AU66" s="517"/>
      <c r="AV66" s="517"/>
      <c r="AW66" s="517"/>
      <c r="AX66" s="517"/>
      <c r="AY66" s="517"/>
      <c r="AZ66" s="517"/>
      <c r="BA66" s="517"/>
      <c r="BB66" s="517"/>
      <c r="BC66" s="517"/>
      <c r="BD66" s="517"/>
      <c r="BE66" s="517"/>
      <c r="BF66" s="517"/>
      <c r="BG66" s="517"/>
      <c r="BH66" s="517"/>
      <c r="BI66" s="517"/>
      <c r="BJ66" s="517"/>
      <c r="BK66" s="517"/>
      <c r="BL66" s="517"/>
      <c r="BM66" s="517"/>
      <c r="BN66" s="517"/>
      <c r="BO66" s="517"/>
      <c r="BP66" s="517"/>
      <c r="BQ66" s="517"/>
      <c r="BR66" s="517"/>
      <c r="BS66" s="517"/>
      <c r="BT66" s="517"/>
      <c r="BU66" s="517"/>
      <c r="BV66" s="517"/>
      <c r="BW66" s="517"/>
      <c r="BX66" s="517"/>
      <c r="BY66" s="517"/>
      <c r="BZ66" s="517"/>
      <c r="CA66" s="517"/>
      <c r="CB66" s="517"/>
      <c r="CC66" s="517"/>
      <c r="CD66" s="517"/>
      <c r="CE66" s="517"/>
      <c r="CF66" s="517"/>
      <c r="CG66" s="517"/>
      <c r="CH66" s="517"/>
      <c r="CI66" s="517"/>
      <c r="CJ66" s="517"/>
      <c r="CK66" s="517"/>
      <c r="CL66" s="517"/>
      <c r="CM66" s="517"/>
      <c r="CN66" s="517"/>
      <c r="CO66" s="517"/>
      <c r="CP66" s="517"/>
    </row>
    <row r="67" spans="1:94" x14ac:dyDescent="0.2">
      <c r="A67" s="517"/>
      <c r="B67" s="517"/>
      <c r="C67" s="517"/>
      <c r="D67" s="517"/>
      <c r="E67" s="517"/>
      <c r="F67" s="517"/>
      <c r="G67" s="517"/>
      <c r="H67" s="517"/>
      <c r="I67" s="517"/>
      <c r="J67" s="517"/>
      <c r="K67" s="517"/>
      <c r="L67" s="517"/>
      <c r="M67" s="517"/>
      <c r="N67" s="517"/>
      <c r="O67" s="517"/>
      <c r="P67" s="517"/>
      <c r="Q67" s="517"/>
      <c r="R67" s="517"/>
      <c r="S67" s="517"/>
      <c r="T67" s="517"/>
      <c r="U67" s="517"/>
      <c r="V67" s="517"/>
      <c r="W67" s="517"/>
      <c r="X67" s="517"/>
      <c r="Y67" s="517"/>
      <c r="Z67" s="517"/>
      <c r="AA67" s="517"/>
      <c r="AB67" s="517"/>
      <c r="AC67" s="517"/>
      <c r="AD67" s="517"/>
      <c r="AE67" s="517"/>
      <c r="AF67" s="517"/>
      <c r="AG67" s="517"/>
      <c r="AH67" s="517"/>
      <c r="AI67" s="517"/>
      <c r="AJ67" s="517"/>
      <c r="AK67" s="517"/>
      <c r="AL67" s="517"/>
      <c r="AM67" s="517"/>
      <c r="AN67" s="517"/>
      <c r="AO67" s="517"/>
      <c r="AP67" s="517"/>
      <c r="AQ67" s="517"/>
      <c r="AR67" s="517"/>
      <c r="AS67" s="517"/>
      <c r="AT67" s="517"/>
      <c r="AU67" s="517"/>
      <c r="AV67" s="517"/>
      <c r="AW67" s="517"/>
      <c r="AX67" s="517"/>
      <c r="AY67" s="517"/>
      <c r="AZ67" s="517"/>
      <c r="BA67" s="517"/>
      <c r="BB67" s="517"/>
      <c r="BC67" s="517"/>
      <c r="BD67" s="517"/>
      <c r="BE67" s="517"/>
      <c r="BF67" s="517"/>
      <c r="BG67" s="517"/>
      <c r="BH67" s="517"/>
      <c r="BI67" s="517"/>
      <c r="BJ67" s="517"/>
      <c r="BK67" s="517"/>
      <c r="BL67" s="517"/>
      <c r="BM67" s="517"/>
      <c r="BN67" s="517"/>
      <c r="BO67" s="517"/>
      <c r="BP67" s="517"/>
      <c r="BQ67" s="517"/>
      <c r="BR67" s="517"/>
      <c r="BS67" s="517"/>
      <c r="BT67" s="517"/>
      <c r="BU67" s="517"/>
      <c r="BV67" s="517"/>
      <c r="BW67" s="517"/>
      <c r="BX67" s="517"/>
      <c r="BY67" s="517"/>
      <c r="BZ67" s="517"/>
      <c r="CA67" s="517"/>
      <c r="CB67" s="517"/>
      <c r="CC67" s="517"/>
      <c r="CD67" s="517"/>
      <c r="CE67" s="517"/>
      <c r="CF67" s="517"/>
      <c r="CG67" s="517"/>
      <c r="CH67" s="517"/>
      <c r="CI67" s="517"/>
      <c r="CJ67" s="517"/>
      <c r="CK67" s="517"/>
      <c r="CL67" s="517"/>
      <c r="CM67" s="517"/>
      <c r="CN67" s="517"/>
      <c r="CO67" s="517"/>
      <c r="CP67" s="517"/>
    </row>
    <row r="68" spans="1:94" x14ac:dyDescent="0.2">
      <c r="A68" s="517"/>
      <c r="B68" s="517"/>
      <c r="C68" s="517"/>
      <c r="D68" s="517"/>
      <c r="E68" s="517"/>
      <c r="F68" s="517"/>
      <c r="G68" s="517"/>
      <c r="H68" s="517"/>
      <c r="I68" s="517"/>
      <c r="J68" s="517"/>
      <c r="K68" s="517"/>
      <c r="L68" s="517"/>
      <c r="M68" s="517"/>
      <c r="N68" s="517"/>
      <c r="O68" s="517"/>
      <c r="P68" s="517"/>
      <c r="Q68" s="517"/>
      <c r="R68" s="517"/>
      <c r="S68" s="517"/>
      <c r="T68" s="517"/>
      <c r="U68" s="517"/>
      <c r="V68" s="517"/>
      <c r="W68" s="517"/>
      <c r="X68" s="517"/>
      <c r="Y68" s="517"/>
      <c r="Z68" s="517"/>
      <c r="AA68" s="517"/>
      <c r="AB68" s="517"/>
      <c r="AC68" s="517"/>
      <c r="AD68" s="517"/>
      <c r="AE68" s="517"/>
      <c r="AF68" s="517"/>
      <c r="AG68" s="517"/>
      <c r="AH68" s="517"/>
      <c r="AI68" s="517"/>
      <c r="AJ68" s="517"/>
      <c r="AK68" s="517"/>
      <c r="AL68" s="517"/>
      <c r="AM68" s="517"/>
      <c r="AN68" s="517"/>
      <c r="AO68" s="517"/>
      <c r="AP68" s="517"/>
      <c r="AQ68" s="517"/>
      <c r="AR68" s="517"/>
      <c r="AS68" s="517"/>
      <c r="AT68" s="517"/>
      <c r="AU68" s="517"/>
      <c r="AV68" s="517"/>
      <c r="AW68" s="517"/>
      <c r="AX68" s="517"/>
      <c r="AY68" s="517"/>
      <c r="AZ68" s="517"/>
      <c r="BA68" s="517"/>
      <c r="BB68" s="517"/>
      <c r="BC68" s="517"/>
      <c r="BD68" s="517"/>
      <c r="BE68" s="517"/>
      <c r="BF68" s="517"/>
      <c r="BG68" s="517"/>
      <c r="BH68" s="517"/>
      <c r="BI68" s="517"/>
      <c r="BJ68" s="517"/>
      <c r="BK68" s="517"/>
      <c r="BL68" s="517"/>
      <c r="BM68" s="517"/>
      <c r="BN68" s="517"/>
      <c r="BO68" s="517"/>
      <c r="BP68" s="517"/>
      <c r="BQ68" s="517"/>
      <c r="BR68" s="517"/>
      <c r="BS68" s="517"/>
      <c r="BT68" s="517"/>
      <c r="BU68" s="517"/>
      <c r="BV68" s="517"/>
      <c r="BW68" s="517"/>
      <c r="BX68" s="517"/>
      <c r="BY68" s="517"/>
      <c r="BZ68" s="517"/>
      <c r="CA68" s="517"/>
      <c r="CB68" s="517"/>
      <c r="CC68" s="517"/>
      <c r="CD68" s="517"/>
      <c r="CE68" s="517"/>
      <c r="CF68" s="517"/>
      <c r="CG68" s="517"/>
      <c r="CH68" s="517"/>
      <c r="CI68" s="517"/>
      <c r="CJ68" s="517"/>
      <c r="CK68" s="517"/>
      <c r="CL68" s="517"/>
      <c r="CM68" s="517"/>
      <c r="CN68" s="517"/>
      <c r="CO68" s="517"/>
      <c r="CP68" s="517"/>
    </row>
    <row r="69" spans="1:94" x14ac:dyDescent="0.2">
      <c r="A69" s="517"/>
      <c r="B69" s="517"/>
      <c r="C69" s="517"/>
      <c r="D69" s="517"/>
      <c r="E69" s="517"/>
      <c r="F69" s="517"/>
      <c r="G69" s="517"/>
      <c r="H69" s="517"/>
      <c r="I69" s="517"/>
      <c r="J69" s="517"/>
      <c r="K69" s="517"/>
      <c r="L69" s="517"/>
      <c r="M69" s="517"/>
      <c r="N69" s="517"/>
      <c r="O69" s="517"/>
      <c r="P69" s="517"/>
      <c r="Q69" s="517"/>
      <c r="R69" s="517"/>
      <c r="S69" s="517"/>
      <c r="T69" s="517"/>
      <c r="U69" s="517"/>
      <c r="V69" s="517"/>
      <c r="W69" s="517"/>
      <c r="X69" s="517"/>
      <c r="Y69" s="517"/>
      <c r="Z69" s="517"/>
      <c r="AA69" s="517"/>
      <c r="AB69" s="517"/>
      <c r="AC69" s="517"/>
      <c r="AD69" s="517"/>
      <c r="AE69" s="517"/>
      <c r="AF69" s="517"/>
      <c r="AG69" s="517"/>
      <c r="AH69" s="517"/>
      <c r="AI69" s="517"/>
      <c r="AJ69" s="517"/>
      <c r="AK69" s="517"/>
      <c r="AL69" s="517"/>
      <c r="AM69" s="517"/>
      <c r="AN69" s="517"/>
      <c r="AO69" s="517"/>
      <c r="AP69" s="517"/>
      <c r="AQ69" s="517"/>
      <c r="AR69" s="517"/>
      <c r="AS69" s="517"/>
      <c r="AT69" s="517"/>
      <c r="AU69" s="517"/>
      <c r="AV69" s="517"/>
      <c r="AW69" s="517"/>
      <c r="AX69" s="517"/>
      <c r="AY69" s="517"/>
      <c r="AZ69" s="517"/>
      <c r="BA69" s="517"/>
      <c r="BB69" s="517"/>
      <c r="BC69" s="517"/>
      <c r="BD69" s="517"/>
      <c r="BE69" s="517"/>
      <c r="BF69" s="517"/>
      <c r="BG69" s="517"/>
      <c r="BH69" s="517"/>
      <c r="BI69" s="517"/>
      <c r="BJ69" s="517"/>
      <c r="BK69" s="517"/>
      <c r="BL69" s="517"/>
      <c r="BM69" s="517"/>
      <c r="BN69" s="517"/>
      <c r="BO69" s="517"/>
      <c r="BP69" s="517"/>
      <c r="BQ69" s="517"/>
      <c r="BR69" s="517"/>
      <c r="BS69" s="517"/>
      <c r="BT69" s="517"/>
      <c r="BU69" s="517"/>
      <c r="BV69" s="517"/>
      <c r="BW69" s="517"/>
      <c r="BX69" s="517"/>
      <c r="BY69" s="517"/>
      <c r="BZ69" s="517"/>
      <c r="CA69" s="517"/>
      <c r="CB69" s="517"/>
      <c r="CC69" s="517"/>
      <c r="CD69" s="517"/>
      <c r="CE69" s="517"/>
      <c r="CF69" s="517"/>
      <c r="CG69" s="517"/>
      <c r="CH69" s="517"/>
      <c r="CI69" s="517"/>
      <c r="CJ69" s="517"/>
      <c r="CK69" s="517"/>
      <c r="CL69" s="517"/>
      <c r="CM69" s="517"/>
      <c r="CN69" s="517"/>
      <c r="CO69" s="517"/>
      <c r="CP69" s="517"/>
    </row>
    <row r="70" spans="1:94" x14ac:dyDescent="0.2">
      <c r="A70" s="517"/>
      <c r="B70" s="517"/>
      <c r="C70" s="517"/>
      <c r="D70" s="517"/>
      <c r="E70" s="517"/>
      <c r="F70" s="517"/>
      <c r="G70" s="517"/>
      <c r="H70" s="517"/>
      <c r="I70" s="517"/>
      <c r="J70" s="517"/>
      <c r="K70" s="517"/>
      <c r="L70" s="517"/>
      <c r="M70" s="517"/>
      <c r="N70" s="517"/>
      <c r="O70" s="517"/>
      <c r="P70" s="517"/>
      <c r="Q70" s="517"/>
      <c r="R70" s="517"/>
      <c r="S70" s="517"/>
      <c r="T70" s="517"/>
      <c r="U70" s="517"/>
      <c r="V70" s="517"/>
      <c r="W70" s="517"/>
      <c r="X70" s="517"/>
      <c r="Y70" s="517"/>
      <c r="Z70" s="517"/>
      <c r="AA70" s="517"/>
      <c r="AB70" s="517"/>
      <c r="AC70" s="517"/>
      <c r="AD70" s="517"/>
      <c r="AE70" s="517"/>
      <c r="AF70" s="517"/>
      <c r="AG70" s="517"/>
      <c r="AH70" s="517"/>
      <c r="AI70" s="517"/>
      <c r="AJ70" s="517"/>
      <c r="AK70" s="517"/>
      <c r="AL70" s="517"/>
      <c r="AM70" s="517"/>
      <c r="AN70" s="517"/>
      <c r="AO70" s="517"/>
      <c r="AP70" s="517"/>
      <c r="AQ70" s="517"/>
      <c r="AR70" s="517"/>
      <c r="AS70" s="517"/>
      <c r="AT70" s="517"/>
      <c r="AU70" s="517"/>
      <c r="AV70" s="517"/>
      <c r="AW70" s="517"/>
      <c r="AX70" s="517"/>
      <c r="AY70" s="517"/>
      <c r="AZ70" s="517"/>
      <c r="BA70" s="517"/>
      <c r="BB70" s="517"/>
      <c r="BC70" s="517"/>
      <c r="BD70" s="517"/>
      <c r="BE70" s="517"/>
      <c r="BF70" s="517"/>
      <c r="BG70" s="517"/>
      <c r="BH70" s="517"/>
      <c r="BI70" s="517"/>
      <c r="BJ70" s="517"/>
      <c r="BK70" s="517"/>
      <c r="BL70" s="517"/>
      <c r="BM70" s="517"/>
      <c r="BN70" s="517"/>
      <c r="BO70" s="517"/>
      <c r="BP70" s="517"/>
      <c r="BQ70" s="517"/>
      <c r="BR70" s="517"/>
      <c r="BS70" s="517"/>
      <c r="BT70" s="517"/>
      <c r="BU70" s="517"/>
      <c r="BV70" s="517"/>
      <c r="BW70" s="517"/>
      <c r="BX70" s="517"/>
      <c r="BY70" s="517"/>
      <c r="BZ70" s="517"/>
      <c r="CA70" s="517"/>
      <c r="CB70" s="517"/>
      <c r="CC70" s="517"/>
      <c r="CD70" s="517"/>
      <c r="CE70" s="517"/>
      <c r="CF70" s="517"/>
      <c r="CG70" s="517"/>
      <c r="CH70" s="517"/>
      <c r="CI70" s="517"/>
      <c r="CJ70" s="517"/>
      <c r="CK70" s="517"/>
      <c r="CL70" s="517"/>
      <c r="CM70" s="517"/>
      <c r="CN70" s="517"/>
      <c r="CO70" s="517"/>
      <c r="CP70" s="517"/>
    </row>
    <row r="71" spans="1:94" x14ac:dyDescent="0.2">
      <c r="A71" s="517"/>
      <c r="B71" s="517"/>
      <c r="C71" s="517"/>
      <c r="D71" s="517"/>
      <c r="E71" s="517"/>
      <c r="F71" s="517"/>
      <c r="G71" s="517"/>
      <c r="H71" s="517"/>
      <c r="I71" s="517"/>
      <c r="J71" s="517"/>
      <c r="K71" s="517"/>
      <c r="L71" s="517"/>
      <c r="M71" s="517"/>
      <c r="N71" s="517"/>
      <c r="O71" s="517"/>
      <c r="P71" s="517"/>
      <c r="Q71" s="517"/>
      <c r="R71" s="517"/>
      <c r="S71" s="517"/>
      <c r="T71" s="517"/>
      <c r="U71" s="517"/>
      <c r="V71" s="517"/>
      <c r="W71" s="517"/>
      <c r="X71" s="517"/>
      <c r="Y71" s="517"/>
      <c r="Z71" s="517"/>
      <c r="AA71" s="517"/>
      <c r="AB71" s="517"/>
      <c r="AC71" s="517"/>
      <c r="AD71" s="517"/>
      <c r="AE71" s="517"/>
      <c r="AF71" s="517"/>
      <c r="AG71" s="517"/>
      <c r="AH71" s="517"/>
      <c r="AI71" s="517"/>
      <c r="AJ71" s="517"/>
      <c r="AK71" s="517"/>
      <c r="AL71" s="517"/>
      <c r="AM71" s="517"/>
      <c r="AN71" s="517"/>
      <c r="AO71" s="517"/>
      <c r="AP71" s="517"/>
      <c r="AQ71" s="517"/>
      <c r="AR71" s="517"/>
      <c r="AS71" s="517"/>
      <c r="AT71" s="517"/>
      <c r="AU71" s="517"/>
      <c r="AV71" s="517"/>
      <c r="AW71" s="517"/>
      <c r="AX71" s="517"/>
      <c r="AY71" s="517"/>
      <c r="AZ71" s="517"/>
      <c r="BA71" s="517"/>
      <c r="BB71" s="517"/>
      <c r="BC71" s="517"/>
      <c r="BD71" s="517"/>
      <c r="BE71" s="517"/>
      <c r="BF71" s="517"/>
      <c r="BG71" s="517"/>
      <c r="BH71" s="517"/>
      <c r="BI71" s="517"/>
      <c r="BJ71" s="517"/>
      <c r="BK71" s="517"/>
      <c r="BL71" s="517"/>
      <c r="BM71" s="517"/>
      <c r="BN71" s="517"/>
      <c r="BO71" s="517"/>
      <c r="BP71" s="517"/>
      <c r="BQ71" s="517"/>
      <c r="BR71" s="517"/>
      <c r="BS71" s="517"/>
      <c r="BT71" s="517"/>
      <c r="BU71" s="517"/>
      <c r="BV71" s="517"/>
      <c r="BW71" s="517"/>
      <c r="BX71" s="517"/>
      <c r="BY71" s="517"/>
      <c r="BZ71" s="517"/>
      <c r="CA71" s="517"/>
      <c r="CB71" s="517"/>
      <c r="CC71" s="517"/>
      <c r="CD71" s="517"/>
      <c r="CE71" s="517"/>
      <c r="CF71" s="517"/>
      <c r="CG71" s="517"/>
      <c r="CH71" s="517"/>
      <c r="CI71" s="517"/>
      <c r="CJ71" s="517"/>
      <c r="CK71" s="517"/>
      <c r="CL71" s="517"/>
      <c r="CM71" s="517"/>
      <c r="CN71" s="517"/>
      <c r="CO71" s="517"/>
      <c r="CP71" s="517"/>
    </row>
    <row r="72" spans="1:94" x14ac:dyDescent="0.2">
      <c r="A72" s="517"/>
      <c r="B72" s="517"/>
      <c r="C72" s="517"/>
      <c r="D72" s="517"/>
      <c r="E72" s="517"/>
      <c r="F72" s="517"/>
      <c r="G72" s="517"/>
      <c r="H72" s="517"/>
      <c r="I72" s="517"/>
      <c r="J72" s="517"/>
      <c r="K72" s="517"/>
      <c r="L72" s="517"/>
      <c r="M72" s="517"/>
      <c r="N72" s="517"/>
      <c r="O72" s="517"/>
      <c r="P72" s="517"/>
      <c r="Q72" s="517"/>
      <c r="R72" s="517"/>
      <c r="S72" s="517"/>
      <c r="T72" s="517"/>
      <c r="U72" s="517"/>
      <c r="V72" s="517"/>
      <c r="W72" s="517"/>
      <c r="X72" s="517"/>
      <c r="Y72" s="517"/>
      <c r="Z72" s="517"/>
      <c r="AA72" s="517"/>
      <c r="AB72" s="517"/>
      <c r="AC72" s="517"/>
      <c r="AD72" s="517"/>
      <c r="AE72" s="517"/>
      <c r="AF72" s="517"/>
      <c r="AG72" s="517"/>
      <c r="AH72" s="517"/>
      <c r="AI72" s="517"/>
      <c r="AJ72" s="517"/>
      <c r="AK72" s="517"/>
      <c r="AL72" s="517"/>
      <c r="AM72" s="517"/>
      <c r="AN72" s="517"/>
      <c r="AO72" s="517"/>
      <c r="AP72" s="517"/>
      <c r="AQ72" s="517"/>
      <c r="AR72" s="517"/>
      <c r="AS72" s="517"/>
      <c r="AT72" s="517"/>
      <c r="AU72" s="517"/>
      <c r="AV72" s="517"/>
      <c r="AW72" s="517"/>
      <c r="AX72" s="517"/>
      <c r="AY72" s="517"/>
      <c r="AZ72" s="517"/>
      <c r="BA72" s="517"/>
      <c r="BB72" s="517"/>
      <c r="BC72" s="517"/>
      <c r="BD72" s="517"/>
      <c r="BE72" s="517"/>
      <c r="BF72" s="517"/>
      <c r="BG72" s="517"/>
      <c r="BH72" s="517"/>
      <c r="BI72" s="517"/>
      <c r="BJ72" s="517"/>
      <c r="BK72" s="517"/>
      <c r="BL72" s="517"/>
      <c r="BM72" s="517"/>
      <c r="BN72" s="517"/>
      <c r="BO72" s="517"/>
      <c r="BP72" s="517"/>
      <c r="BQ72" s="517"/>
      <c r="BR72" s="517"/>
      <c r="BS72" s="517"/>
      <c r="BT72" s="517"/>
      <c r="BU72" s="517"/>
      <c r="BV72" s="517"/>
      <c r="BW72" s="517"/>
      <c r="BX72" s="517"/>
      <c r="BY72" s="517"/>
      <c r="BZ72" s="517"/>
      <c r="CA72" s="517"/>
      <c r="CB72" s="517"/>
      <c r="CC72" s="517"/>
      <c r="CD72" s="517"/>
      <c r="CE72" s="517"/>
      <c r="CF72" s="517"/>
      <c r="CG72" s="517"/>
      <c r="CH72" s="517"/>
      <c r="CI72" s="517"/>
      <c r="CJ72" s="517"/>
      <c r="CK72" s="517"/>
      <c r="CL72" s="517"/>
      <c r="CM72" s="517"/>
      <c r="CN72" s="517"/>
      <c r="CO72" s="517"/>
      <c r="CP72" s="517"/>
    </row>
    <row r="73" spans="1:94" x14ac:dyDescent="0.2">
      <c r="A73" s="517"/>
      <c r="B73" s="517"/>
      <c r="C73" s="517"/>
      <c r="D73" s="517"/>
      <c r="E73" s="517"/>
      <c r="F73" s="517"/>
      <c r="G73" s="517"/>
      <c r="H73" s="517"/>
      <c r="I73" s="517"/>
      <c r="J73" s="517"/>
      <c r="K73" s="517"/>
      <c r="L73" s="517"/>
      <c r="M73" s="517"/>
      <c r="N73" s="517"/>
      <c r="O73" s="517"/>
      <c r="P73" s="517"/>
      <c r="Q73" s="517"/>
      <c r="R73" s="517"/>
      <c r="S73" s="517"/>
      <c r="T73" s="517"/>
      <c r="U73" s="517"/>
      <c r="V73" s="517"/>
      <c r="W73" s="517"/>
      <c r="X73" s="517"/>
      <c r="Y73" s="517"/>
      <c r="Z73" s="517"/>
      <c r="AA73" s="517"/>
      <c r="AB73" s="517"/>
      <c r="AC73" s="517"/>
      <c r="AD73" s="517"/>
      <c r="AE73" s="517"/>
      <c r="AF73" s="517"/>
      <c r="AG73" s="517"/>
      <c r="AH73" s="517"/>
      <c r="AI73" s="517"/>
      <c r="AJ73" s="517"/>
      <c r="AK73" s="517"/>
      <c r="AL73" s="517"/>
      <c r="AM73" s="517"/>
      <c r="AN73" s="517"/>
      <c r="AO73" s="517"/>
      <c r="AP73" s="517"/>
      <c r="AQ73" s="517"/>
      <c r="AR73" s="517"/>
      <c r="AS73" s="517"/>
      <c r="AT73" s="517"/>
      <c r="AU73" s="517"/>
      <c r="AV73" s="517"/>
      <c r="AW73" s="517"/>
      <c r="AX73" s="517"/>
      <c r="AY73" s="517"/>
      <c r="AZ73" s="517"/>
      <c r="BA73" s="517"/>
      <c r="BB73" s="517"/>
      <c r="BC73" s="517"/>
      <c r="BD73" s="517"/>
      <c r="BE73" s="517"/>
      <c r="BF73" s="517"/>
      <c r="BG73" s="517"/>
      <c r="BH73" s="517"/>
      <c r="BI73" s="517"/>
      <c r="BJ73" s="517"/>
      <c r="BK73" s="517"/>
      <c r="BL73" s="517"/>
      <c r="BM73" s="517"/>
      <c r="BN73" s="517"/>
      <c r="BO73" s="517"/>
      <c r="BP73" s="517"/>
      <c r="BQ73" s="517"/>
      <c r="BR73" s="517"/>
      <c r="BS73" s="517"/>
      <c r="BT73" s="517"/>
      <c r="BU73" s="517"/>
      <c r="BV73" s="517"/>
      <c r="BW73" s="517"/>
      <c r="BX73" s="517"/>
      <c r="BY73" s="517"/>
      <c r="BZ73" s="517"/>
      <c r="CA73" s="517"/>
      <c r="CB73" s="517"/>
      <c r="CC73" s="517"/>
      <c r="CD73" s="517"/>
      <c r="CE73" s="517"/>
      <c r="CF73" s="517"/>
      <c r="CG73" s="517"/>
      <c r="CH73" s="517"/>
      <c r="CI73" s="517"/>
      <c r="CJ73" s="517"/>
      <c r="CK73" s="517"/>
      <c r="CL73" s="517"/>
      <c r="CM73" s="517"/>
      <c r="CN73" s="517"/>
      <c r="CO73" s="517"/>
      <c r="CP73" s="517"/>
    </row>
    <row r="74" spans="1:94" x14ac:dyDescent="0.2">
      <c r="A74" s="517"/>
      <c r="B74" s="517"/>
      <c r="C74" s="517"/>
      <c r="D74" s="517"/>
      <c r="E74" s="517"/>
      <c r="F74" s="517"/>
      <c r="G74" s="517"/>
      <c r="H74" s="517"/>
      <c r="I74" s="517"/>
      <c r="J74" s="517"/>
      <c r="K74" s="517"/>
      <c r="L74" s="517"/>
      <c r="M74" s="517"/>
      <c r="N74" s="517"/>
      <c r="O74" s="517"/>
      <c r="P74" s="517"/>
      <c r="Q74" s="517"/>
      <c r="R74" s="517"/>
      <c r="S74" s="517"/>
      <c r="T74" s="517"/>
      <c r="U74" s="517"/>
      <c r="V74" s="517"/>
      <c r="W74" s="517"/>
      <c r="X74" s="517"/>
      <c r="Y74" s="517"/>
      <c r="Z74" s="517"/>
      <c r="AA74" s="517"/>
      <c r="AB74" s="517"/>
      <c r="AC74" s="517"/>
      <c r="AD74" s="517"/>
      <c r="AE74" s="517"/>
      <c r="AF74" s="517"/>
      <c r="AG74" s="517"/>
      <c r="AH74" s="517"/>
      <c r="AI74" s="517"/>
      <c r="AJ74" s="517"/>
      <c r="AK74" s="517"/>
      <c r="AL74" s="517"/>
      <c r="AM74" s="517"/>
      <c r="AN74" s="517"/>
      <c r="AO74" s="517"/>
      <c r="AP74" s="517"/>
      <c r="AQ74" s="517"/>
      <c r="AR74" s="517"/>
      <c r="AS74" s="517"/>
      <c r="AT74" s="517"/>
      <c r="AU74" s="517"/>
      <c r="AV74" s="517"/>
      <c r="AW74" s="517"/>
      <c r="AX74" s="517"/>
      <c r="AY74" s="517"/>
      <c r="AZ74" s="517"/>
      <c r="BA74" s="517"/>
      <c r="BB74" s="517"/>
      <c r="BC74" s="517"/>
      <c r="BD74" s="517"/>
      <c r="BE74" s="517"/>
      <c r="BF74" s="517"/>
      <c r="BG74" s="517"/>
      <c r="BH74" s="517"/>
      <c r="BI74" s="517"/>
      <c r="BJ74" s="517"/>
      <c r="BK74" s="517"/>
      <c r="BL74" s="517"/>
      <c r="BM74" s="517"/>
      <c r="BN74" s="517"/>
      <c r="BO74" s="517"/>
      <c r="BP74" s="517"/>
      <c r="BQ74" s="517"/>
      <c r="BR74" s="517"/>
      <c r="BS74" s="517"/>
      <c r="BT74" s="517"/>
      <c r="BU74" s="517"/>
      <c r="BV74" s="517"/>
      <c r="BW74" s="517"/>
      <c r="BX74" s="517"/>
      <c r="BY74" s="517"/>
      <c r="BZ74" s="517"/>
      <c r="CA74" s="517"/>
      <c r="CB74" s="517"/>
      <c r="CC74" s="517"/>
      <c r="CD74" s="517"/>
      <c r="CE74" s="517"/>
      <c r="CF74" s="517"/>
      <c r="CG74" s="517"/>
      <c r="CH74" s="517"/>
      <c r="CI74" s="517"/>
      <c r="CJ74" s="517"/>
      <c r="CK74" s="517"/>
      <c r="CL74" s="517"/>
      <c r="CM74" s="517"/>
      <c r="CN74" s="517"/>
      <c r="CO74" s="517"/>
      <c r="CP74" s="517"/>
    </row>
    <row r="75" spans="1:94" x14ac:dyDescent="0.2">
      <c r="A75" s="517"/>
      <c r="B75" s="517"/>
      <c r="C75" s="517"/>
      <c r="D75" s="517"/>
      <c r="E75" s="517"/>
      <c r="F75" s="517"/>
      <c r="G75" s="517"/>
      <c r="H75" s="517"/>
      <c r="I75" s="517"/>
      <c r="J75" s="517"/>
      <c r="K75" s="517"/>
      <c r="L75" s="517"/>
      <c r="M75" s="517"/>
      <c r="N75" s="517"/>
      <c r="O75" s="517"/>
      <c r="P75" s="517"/>
      <c r="Q75" s="517"/>
      <c r="R75" s="517"/>
      <c r="S75" s="517"/>
      <c r="T75" s="517"/>
      <c r="U75" s="517"/>
      <c r="V75" s="517"/>
      <c r="W75" s="517"/>
      <c r="X75" s="517"/>
      <c r="Y75" s="517"/>
      <c r="Z75" s="517"/>
      <c r="AA75" s="517"/>
      <c r="AB75" s="517"/>
      <c r="AC75" s="517"/>
      <c r="AD75" s="517"/>
      <c r="AE75" s="517"/>
      <c r="AF75" s="517"/>
      <c r="AG75" s="517"/>
      <c r="AH75" s="517"/>
      <c r="AI75" s="517"/>
      <c r="AJ75" s="517"/>
      <c r="AK75" s="517"/>
      <c r="AL75" s="517"/>
      <c r="AM75" s="517"/>
      <c r="AN75" s="517"/>
      <c r="AO75" s="517"/>
      <c r="AP75" s="517"/>
      <c r="AQ75" s="517"/>
      <c r="AR75" s="517"/>
      <c r="AS75" s="517"/>
      <c r="AT75" s="517"/>
      <c r="AU75" s="517"/>
      <c r="AV75" s="517"/>
      <c r="AW75" s="517"/>
      <c r="AX75" s="517"/>
      <c r="AY75" s="517"/>
      <c r="AZ75" s="517"/>
      <c r="BA75" s="517"/>
      <c r="BB75" s="517"/>
      <c r="BC75" s="517"/>
      <c r="BD75" s="517"/>
      <c r="BE75" s="517"/>
      <c r="BF75" s="517"/>
      <c r="BG75" s="517"/>
      <c r="BH75" s="517"/>
      <c r="BI75" s="517"/>
      <c r="BJ75" s="517"/>
      <c r="BK75" s="517"/>
      <c r="BL75" s="517"/>
      <c r="BM75" s="517"/>
      <c r="BN75" s="517"/>
      <c r="BO75" s="517"/>
      <c r="BP75" s="517"/>
      <c r="BQ75" s="517"/>
      <c r="BR75" s="517"/>
      <c r="BS75" s="517"/>
      <c r="BT75" s="517"/>
      <c r="BU75" s="517"/>
      <c r="BV75" s="517"/>
      <c r="BW75" s="517"/>
      <c r="BX75" s="517"/>
      <c r="BY75" s="517"/>
      <c r="BZ75" s="517"/>
      <c r="CA75" s="517"/>
      <c r="CB75" s="517"/>
      <c r="CC75" s="517"/>
      <c r="CD75" s="517"/>
      <c r="CE75" s="517"/>
      <c r="CF75" s="517"/>
      <c r="CG75" s="517"/>
      <c r="CH75" s="517"/>
      <c r="CI75" s="517"/>
      <c r="CJ75" s="517"/>
      <c r="CK75" s="517"/>
      <c r="CL75" s="517"/>
      <c r="CM75" s="517"/>
      <c r="CN75" s="517"/>
      <c r="CO75" s="517"/>
      <c r="CP75" s="517"/>
    </row>
    <row r="76" spans="1:94" x14ac:dyDescent="0.2">
      <c r="A76" s="517"/>
      <c r="B76" s="517"/>
      <c r="C76" s="517"/>
      <c r="D76" s="517"/>
      <c r="E76" s="517"/>
      <c r="F76" s="517"/>
      <c r="G76" s="517"/>
      <c r="H76" s="517"/>
      <c r="I76" s="517"/>
      <c r="J76" s="517"/>
      <c r="K76" s="517"/>
      <c r="L76" s="517"/>
      <c r="M76" s="517"/>
      <c r="N76" s="517"/>
      <c r="O76" s="517"/>
      <c r="P76" s="517"/>
      <c r="Q76" s="517"/>
      <c r="R76" s="517"/>
      <c r="S76" s="517"/>
      <c r="T76" s="517"/>
      <c r="U76" s="517"/>
      <c r="V76" s="517"/>
      <c r="W76" s="517"/>
      <c r="X76" s="517"/>
      <c r="Y76" s="517"/>
      <c r="Z76" s="517"/>
      <c r="AA76" s="517"/>
      <c r="AB76" s="517"/>
      <c r="AC76" s="517"/>
      <c r="AD76" s="517"/>
      <c r="AE76" s="517"/>
      <c r="AF76" s="517"/>
      <c r="AG76" s="517"/>
      <c r="AH76" s="517"/>
      <c r="AI76" s="517"/>
      <c r="AJ76" s="517"/>
      <c r="AK76" s="517"/>
      <c r="AL76" s="517"/>
      <c r="AM76" s="517"/>
      <c r="AN76" s="517"/>
      <c r="AO76" s="517"/>
      <c r="AP76" s="517"/>
      <c r="AQ76" s="517"/>
      <c r="AR76" s="517"/>
      <c r="AS76" s="517"/>
      <c r="AT76" s="517"/>
      <c r="AU76" s="517"/>
      <c r="AV76" s="517"/>
      <c r="AW76" s="517"/>
      <c r="AX76" s="517"/>
      <c r="AY76" s="517"/>
      <c r="AZ76" s="517"/>
      <c r="BA76" s="517"/>
      <c r="BB76" s="517"/>
      <c r="BC76" s="517"/>
      <c r="BD76" s="517"/>
      <c r="BE76" s="517"/>
      <c r="BF76" s="517"/>
      <c r="BG76" s="517"/>
      <c r="BH76" s="517"/>
      <c r="BI76" s="517"/>
      <c r="BJ76" s="517"/>
      <c r="BK76" s="517"/>
      <c r="BL76" s="517"/>
      <c r="BM76" s="517"/>
      <c r="BN76" s="517"/>
      <c r="BO76" s="517"/>
      <c r="BP76" s="517"/>
      <c r="BQ76" s="517"/>
      <c r="BR76" s="517"/>
      <c r="BS76" s="517"/>
      <c r="BT76" s="517"/>
      <c r="BU76" s="517"/>
      <c r="BV76" s="517"/>
      <c r="BW76" s="517"/>
      <c r="BX76" s="517"/>
      <c r="BY76" s="517"/>
      <c r="BZ76" s="517"/>
      <c r="CA76" s="517"/>
      <c r="CB76" s="517"/>
      <c r="CC76" s="517"/>
      <c r="CD76" s="517"/>
      <c r="CE76" s="517"/>
      <c r="CF76" s="517"/>
      <c r="CG76" s="517"/>
      <c r="CH76" s="517"/>
      <c r="CI76" s="517"/>
      <c r="CJ76" s="517"/>
      <c r="CK76" s="517"/>
      <c r="CL76" s="517"/>
      <c r="CM76" s="517"/>
      <c r="CN76" s="517"/>
      <c r="CO76" s="517"/>
      <c r="CP76" s="517"/>
    </row>
    <row r="77" spans="1:94" x14ac:dyDescent="0.2">
      <c r="A77" s="517"/>
      <c r="B77" s="517"/>
      <c r="C77" s="517"/>
      <c r="D77" s="517"/>
      <c r="E77" s="517"/>
      <c r="F77" s="517"/>
      <c r="G77" s="517"/>
      <c r="H77" s="517"/>
      <c r="I77" s="517"/>
      <c r="J77" s="517"/>
      <c r="K77" s="517"/>
      <c r="L77" s="517"/>
      <c r="M77" s="517"/>
      <c r="N77" s="517"/>
      <c r="O77" s="517"/>
      <c r="P77" s="517"/>
      <c r="Q77" s="517"/>
      <c r="R77" s="517"/>
      <c r="S77" s="517"/>
      <c r="T77" s="517"/>
      <c r="U77" s="517"/>
      <c r="V77" s="517"/>
      <c r="W77" s="517"/>
      <c r="X77" s="517"/>
      <c r="Y77" s="517"/>
      <c r="Z77" s="517"/>
      <c r="AA77" s="517"/>
      <c r="AB77" s="517"/>
      <c r="AC77" s="517"/>
      <c r="AD77" s="517"/>
      <c r="AE77" s="517"/>
      <c r="AF77" s="517"/>
      <c r="AG77" s="517"/>
      <c r="AH77" s="517"/>
      <c r="AI77" s="517"/>
      <c r="AJ77" s="517"/>
      <c r="AK77" s="517"/>
      <c r="AL77" s="517"/>
      <c r="AM77" s="517"/>
      <c r="AN77" s="517"/>
      <c r="AO77" s="517"/>
      <c r="AP77" s="517"/>
      <c r="AQ77" s="517"/>
      <c r="AR77" s="517"/>
      <c r="AS77" s="517"/>
      <c r="AT77" s="517"/>
      <c r="AU77" s="517"/>
      <c r="AV77" s="517"/>
      <c r="AW77" s="517"/>
      <c r="AX77" s="517"/>
      <c r="AY77" s="517"/>
      <c r="AZ77" s="517"/>
      <c r="BA77" s="517"/>
      <c r="BB77" s="517"/>
      <c r="BC77" s="517"/>
      <c r="BD77" s="517"/>
      <c r="BE77" s="517"/>
      <c r="BF77" s="517"/>
      <c r="BG77" s="517"/>
      <c r="BH77" s="517"/>
      <c r="BI77" s="517"/>
      <c r="BJ77" s="517"/>
      <c r="BK77" s="517"/>
      <c r="BL77" s="517"/>
      <c r="BM77" s="517"/>
      <c r="BN77" s="517"/>
      <c r="BO77" s="517"/>
      <c r="BP77" s="517"/>
      <c r="BQ77" s="517"/>
      <c r="BR77" s="517"/>
      <c r="BS77" s="517"/>
      <c r="BT77" s="517"/>
      <c r="BU77" s="517"/>
      <c r="BV77" s="517"/>
      <c r="BW77" s="517"/>
      <c r="BX77" s="517"/>
      <c r="BY77" s="517"/>
      <c r="BZ77" s="517"/>
      <c r="CA77" s="517"/>
      <c r="CB77" s="517"/>
      <c r="CC77" s="517"/>
      <c r="CD77" s="517"/>
      <c r="CE77" s="517"/>
      <c r="CF77" s="517"/>
      <c r="CG77" s="517"/>
      <c r="CH77" s="517"/>
      <c r="CI77" s="517"/>
      <c r="CJ77" s="517"/>
      <c r="CK77" s="517"/>
      <c r="CL77" s="517"/>
      <c r="CM77" s="517"/>
      <c r="CN77" s="517"/>
      <c r="CO77" s="517"/>
      <c r="CP77" s="517"/>
    </row>
    <row r="78" spans="1:94" x14ac:dyDescent="0.2">
      <c r="A78" s="517"/>
      <c r="B78" s="517"/>
      <c r="C78" s="517"/>
      <c r="D78" s="517"/>
      <c r="E78" s="517"/>
      <c r="F78" s="517"/>
      <c r="G78" s="517"/>
      <c r="H78" s="517"/>
      <c r="I78" s="517"/>
      <c r="J78" s="517"/>
      <c r="K78" s="517"/>
      <c r="L78" s="517"/>
      <c r="M78" s="517"/>
      <c r="N78" s="517"/>
      <c r="O78" s="517"/>
      <c r="P78" s="517"/>
      <c r="Q78" s="517"/>
      <c r="R78" s="517"/>
      <c r="S78" s="517"/>
      <c r="T78" s="517"/>
      <c r="U78" s="517"/>
      <c r="V78" s="517"/>
      <c r="W78" s="517"/>
      <c r="X78" s="517"/>
      <c r="Y78" s="517"/>
      <c r="Z78" s="517"/>
      <c r="AA78" s="517"/>
      <c r="AB78" s="517"/>
      <c r="AC78" s="517"/>
      <c r="AD78" s="517"/>
      <c r="AE78" s="517"/>
      <c r="AF78" s="517"/>
      <c r="AG78" s="517"/>
      <c r="AH78" s="517"/>
      <c r="AI78" s="517"/>
      <c r="AJ78" s="517"/>
      <c r="AK78" s="517"/>
      <c r="AL78" s="517"/>
      <c r="AM78" s="517"/>
      <c r="AN78" s="517"/>
      <c r="AO78" s="517"/>
      <c r="AP78" s="517"/>
      <c r="AQ78" s="517"/>
      <c r="AR78" s="517"/>
      <c r="AS78" s="517"/>
      <c r="AT78" s="517"/>
      <c r="AU78" s="517"/>
      <c r="AV78" s="517"/>
      <c r="AW78" s="517"/>
      <c r="AX78" s="517"/>
      <c r="AY78" s="517"/>
      <c r="AZ78" s="517"/>
      <c r="BA78" s="517"/>
      <c r="BB78" s="517"/>
      <c r="BC78" s="517"/>
      <c r="BD78" s="517"/>
      <c r="BE78" s="517"/>
      <c r="BF78" s="517"/>
      <c r="BG78" s="517"/>
      <c r="BH78" s="517"/>
      <c r="BI78" s="517"/>
      <c r="BJ78" s="517"/>
      <c r="BK78" s="517"/>
      <c r="BL78" s="517"/>
      <c r="BM78" s="517"/>
      <c r="BN78" s="517"/>
      <c r="BO78" s="517"/>
      <c r="BP78" s="517"/>
      <c r="BQ78" s="517"/>
      <c r="BR78" s="517"/>
      <c r="BS78" s="517"/>
      <c r="BT78" s="517"/>
      <c r="BU78" s="517"/>
      <c r="BV78" s="517"/>
      <c r="BW78" s="517"/>
      <c r="BX78" s="517"/>
      <c r="BY78" s="517"/>
      <c r="BZ78" s="517"/>
      <c r="CA78" s="517"/>
      <c r="CB78" s="517"/>
      <c r="CC78" s="517"/>
      <c r="CD78" s="517"/>
      <c r="CE78" s="517"/>
      <c r="CF78" s="517"/>
      <c r="CG78" s="517"/>
      <c r="CH78" s="517"/>
      <c r="CI78" s="517"/>
      <c r="CJ78" s="517"/>
      <c r="CK78" s="517"/>
      <c r="CL78" s="517"/>
      <c r="CM78" s="517"/>
      <c r="CN78" s="517"/>
      <c r="CO78" s="517"/>
      <c r="CP78" s="517"/>
    </row>
    <row r="79" spans="1:94" x14ac:dyDescent="0.2">
      <c r="A79" s="517"/>
      <c r="B79" s="517"/>
      <c r="C79" s="517"/>
      <c r="D79" s="517"/>
      <c r="E79" s="517"/>
      <c r="F79" s="517"/>
      <c r="G79" s="517"/>
      <c r="H79" s="517"/>
      <c r="I79" s="517"/>
      <c r="J79" s="517"/>
      <c r="K79" s="517"/>
      <c r="L79" s="517"/>
      <c r="M79" s="517"/>
      <c r="N79" s="517"/>
      <c r="O79" s="517"/>
      <c r="P79" s="517"/>
      <c r="Q79" s="517"/>
      <c r="R79" s="517"/>
      <c r="S79" s="517"/>
      <c r="T79" s="517"/>
      <c r="U79" s="517"/>
      <c r="V79" s="517"/>
      <c r="W79" s="517"/>
      <c r="X79" s="517"/>
      <c r="Y79" s="517"/>
      <c r="Z79" s="517"/>
      <c r="AA79" s="517"/>
      <c r="AB79" s="517"/>
      <c r="AC79" s="517"/>
      <c r="AD79" s="517"/>
      <c r="AE79" s="517"/>
      <c r="AF79" s="517"/>
      <c r="AG79" s="517"/>
      <c r="AH79" s="517"/>
      <c r="AI79" s="517"/>
      <c r="AJ79" s="517"/>
      <c r="AK79" s="517"/>
      <c r="AL79" s="517"/>
      <c r="AM79" s="517"/>
      <c r="AN79" s="517"/>
      <c r="AO79" s="517"/>
      <c r="AP79" s="517"/>
      <c r="AQ79" s="517"/>
      <c r="AR79" s="517"/>
      <c r="AS79" s="517"/>
      <c r="AT79" s="517"/>
      <c r="AU79" s="517"/>
      <c r="AV79" s="517"/>
      <c r="AW79" s="517"/>
      <c r="AX79" s="517"/>
      <c r="AY79" s="517"/>
      <c r="AZ79" s="517"/>
      <c r="BA79" s="517"/>
      <c r="BB79" s="517"/>
      <c r="BC79" s="517"/>
      <c r="BD79" s="517"/>
      <c r="BE79" s="517"/>
      <c r="BF79" s="517"/>
      <c r="BG79" s="517"/>
      <c r="BH79" s="517"/>
      <c r="BI79" s="517"/>
      <c r="BJ79" s="517"/>
      <c r="BK79" s="517"/>
      <c r="BL79" s="517"/>
      <c r="BM79" s="517"/>
      <c r="BN79" s="517"/>
      <c r="BO79" s="517"/>
      <c r="BP79" s="517"/>
      <c r="BQ79" s="517"/>
      <c r="BR79" s="517"/>
      <c r="BS79" s="517"/>
      <c r="BT79" s="517"/>
      <c r="BU79" s="517"/>
      <c r="BV79" s="517"/>
      <c r="BW79" s="517"/>
      <c r="BX79" s="517"/>
      <c r="BY79" s="517"/>
      <c r="BZ79" s="517"/>
      <c r="CA79" s="517"/>
      <c r="CB79" s="517"/>
      <c r="CC79" s="517"/>
      <c r="CD79" s="517"/>
      <c r="CE79" s="517"/>
      <c r="CF79" s="517"/>
      <c r="CG79" s="517"/>
      <c r="CH79" s="517"/>
      <c r="CI79" s="517"/>
      <c r="CJ79" s="517"/>
      <c r="CK79" s="517"/>
      <c r="CL79" s="517"/>
      <c r="CM79" s="517"/>
      <c r="CN79" s="517"/>
      <c r="CO79" s="517"/>
      <c r="CP79" s="517"/>
    </row>
    <row r="80" spans="1:94" x14ac:dyDescent="0.2">
      <c r="A80" s="517"/>
      <c r="B80" s="517"/>
      <c r="C80" s="517"/>
      <c r="D80" s="517"/>
      <c r="E80" s="517"/>
      <c r="F80" s="517"/>
      <c r="G80" s="517"/>
      <c r="H80" s="517"/>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7"/>
      <c r="AG80" s="517"/>
      <c r="AH80" s="517"/>
      <c r="AI80" s="517"/>
      <c r="AJ80" s="517"/>
      <c r="AK80" s="517"/>
      <c r="AL80" s="517"/>
      <c r="AM80" s="517"/>
      <c r="AN80" s="517"/>
      <c r="AO80" s="517"/>
      <c r="AP80" s="517"/>
      <c r="AQ80" s="517"/>
      <c r="AR80" s="517"/>
      <c r="AS80" s="517"/>
      <c r="AT80" s="517"/>
      <c r="AU80" s="517"/>
      <c r="AV80" s="517"/>
      <c r="AW80" s="517"/>
      <c r="AX80" s="517"/>
      <c r="AY80" s="517"/>
      <c r="AZ80" s="517"/>
      <c r="BA80" s="517"/>
      <c r="BB80" s="517"/>
      <c r="BC80" s="517"/>
      <c r="BD80" s="517"/>
      <c r="BE80" s="517"/>
      <c r="BF80" s="517"/>
      <c r="BG80" s="517"/>
      <c r="BH80" s="517"/>
      <c r="BI80" s="517"/>
      <c r="BJ80" s="517"/>
      <c r="BK80" s="517"/>
      <c r="BL80" s="517"/>
      <c r="BM80" s="517"/>
      <c r="BN80" s="517"/>
      <c r="BO80" s="517"/>
      <c r="BP80" s="517"/>
      <c r="BQ80" s="517"/>
      <c r="BR80" s="517"/>
      <c r="BS80" s="517"/>
      <c r="BT80" s="517"/>
      <c r="BU80" s="517"/>
      <c r="BV80" s="517"/>
      <c r="BW80" s="517"/>
      <c r="BX80" s="517"/>
      <c r="BY80" s="517"/>
      <c r="BZ80" s="517"/>
      <c r="CA80" s="517"/>
      <c r="CB80" s="517"/>
      <c r="CC80" s="517"/>
      <c r="CD80" s="517"/>
      <c r="CE80" s="517"/>
      <c r="CF80" s="517"/>
      <c r="CG80" s="517"/>
      <c r="CH80" s="517"/>
      <c r="CI80" s="517"/>
      <c r="CJ80" s="517"/>
      <c r="CK80" s="517"/>
      <c r="CL80" s="517"/>
      <c r="CM80" s="517"/>
      <c r="CN80" s="517"/>
      <c r="CO80" s="517"/>
      <c r="CP80" s="517"/>
    </row>
    <row r="81" spans="1:94" x14ac:dyDescent="0.2">
      <c r="A81" s="517"/>
      <c r="B81" s="517"/>
      <c r="C81" s="517"/>
      <c r="D81" s="517"/>
      <c r="E81" s="517"/>
      <c r="F81" s="517"/>
      <c r="G81" s="517"/>
      <c r="H81" s="517"/>
      <c r="I81" s="517"/>
      <c r="J81" s="517"/>
      <c r="K81" s="517"/>
      <c r="L81" s="517"/>
      <c r="M81" s="517"/>
      <c r="N81" s="517"/>
      <c r="O81" s="517"/>
      <c r="P81" s="517"/>
      <c r="Q81" s="517"/>
      <c r="R81" s="517"/>
      <c r="S81" s="517"/>
      <c r="T81" s="517"/>
      <c r="U81" s="517"/>
      <c r="V81" s="517"/>
      <c r="W81" s="517"/>
      <c r="X81" s="517"/>
      <c r="Y81" s="517"/>
      <c r="Z81" s="517"/>
      <c r="AA81" s="517"/>
      <c r="AB81" s="517"/>
      <c r="AC81" s="517"/>
      <c r="AD81" s="517"/>
      <c r="AE81" s="517"/>
      <c r="AF81" s="517"/>
      <c r="AG81" s="517"/>
      <c r="AH81" s="517"/>
      <c r="AI81" s="517"/>
      <c r="AJ81" s="517"/>
      <c r="AK81" s="517"/>
      <c r="AL81" s="517"/>
      <c r="AM81" s="517"/>
      <c r="AN81" s="517"/>
      <c r="AO81" s="517"/>
      <c r="AP81" s="517"/>
      <c r="AQ81" s="517"/>
      <c r="AR81" s="517"/>
      <c r="AS81" s="517"/>
      <c r="AT81" s="517"/>
      <c r="AU81" s="517"/>
      <c r="AV81" s="517"/>
      <c r="AW81" s="517"/>
      <c r="AX81" s="517"/>
      <c r="AY81" s="517"/>
      <c r="AZ81" s="517"/>
      <c r="BA81" s="517"/>
      <c r="BB81" s="517"/>
      <c r="BC81" s="517"/>
      <c r="BD81" s="517"/>
      <c r="BE81" s="517"/>
      <c r="BF81" s="517"/>
      <c r="BG81" s="517"/>
      <c r="BH81" s="517"/>
      <c r="BI81" s="517"/>
      <c r="BJ81" s="517"/>
      <c r="BK81" s="517"/>
      <c r="BL81" s="517"/>
      <c r="BM81" s="517"/>
      <c r="BN81" s="517"/>
      <c r="BO81" s="517"/>
      <c r="BP81" s="517"/>
      <c r="BQ81" s="517"/>
      <c r="BR81" s="517"/>
      <c r="BS81" s="517"/>
      <c r="BT81" s="517"/>
      <c r="BU81" s="517"/>
      <c r="BV81" s="517"/>
      <c r="BW81" s="517"/>
      <c r="BX81" s="517"/>
      <c r="BY81" s="517"/>
      <c r="BZ81" s="517"/>
      <c r="CA81" s="517"/>
      <c r="CB81" s="517"/>
      <c r="CC81" s="517"/>
      <c r="CD81" s="517"/>
      <c r="CE81" s="517"/>
      <c r="CF81" s="517"/>
      <c r="CG81" s="517"/>
      <c r="CH81" s="517"/>
      <c r="CI81" s="517"/>
      <c r="CJ81" s="517"/>
      <c r="CK81" s="517"/>
      <c r="CL81" s="517"/>
      <c r="CM81" s="517"/>
      <c r="CN81" s="517"/>
      <c r="CO81" s="517"/>
      <c r="CP81" s="517"/>
    </row>
    <row r="82" spans="1:94" x14ac:dyDescent="0.2">
      <c r="A82" s="517"/>
      <c r="B82" s="517"/>
      <c r="C82" s="517"/>
      <c r="D82" s="517"/>
      <c r="E82" s="517"/>
      <c r="F82" s="517"/>
      <c r="G82" s="517"/>
      <c r="H82" s="517"/>
      <c r="I82" s="517"/>
      <c r="J82" s="517"/>
      <c r="K82" s="517"/>
      <c r="L82" s="517"/>
      <c r="M82" s="517"/>
      <c r="N82" s="517"/>
      <c r="O82" s="517"/>
      <c r="P82" s="517"/>
      <c r="Q82" s="517"/>
      <c r="R82" s="517"/>
      <c r="S82" s="517"/>
      <c r="T82" s="517"/>
      <c r="U82" s="517"/>
      <c r="V82" s="517"/>
      <c r="W82" s="517"/>
      <c r="X82" s="517"/>
      <c r="Y82" s="517"/>
      <c r="Z82" s="517"/>
      <c r="AA82" s="517"/>
      <c r="AB82" s="517"/>
      <c r="AC82" s="517"/>
      <c r="AD82" s="517"/>
      <c r="AE82" s="517"/>
      <c r="AF82" s="517"/>
      <c r="AG82" s="517"/>
      <c r="AH82" s="517"/>
      <c r="AI82" s="517"/>
      <c r="AJ82" s="517"/>
      <c r="AK82" s="517"/>
      <c r="AL82" s="517"/>
      <c r="AM82" s="517"/>
      <c r="AN82" s="517"/>
      <c r="AO82" s="517"/>
      <c r="AP82" s="517"/>
      <c r="AQ82" s="517"/>
      <c r="AR82" s="517"/>
      <c r="AS82" s="517"/>
      <c r="AT82" s="517"/>
      <c r="AU82" s="517"/>
      <c r="AV82" s="517"/>
      <c r="AW82" s="517"/>
      <c r="AX82" s="517"/>
      <c r="AY82" s="517"/>
      <c r="AZ82" s="517"/>
      <c r="BA82" s="517"/>
      <c r="BB82" s="517"/>
      <c r="BC82" s="517"/>
      <c r="BD82" s="517"/>
      <c r="BE82" s="517"/>
      <c r="BF82" s="517"/>
      <c r="BG82" s="517"/>
      <c r="BH82" s="517"/>
      <c r="BI82" s="517"/>
      <c r="BJ82" s="517"/>
      <c r="BK82" s="517"/>
      <c r="BL82" s="517"/>
      <c r="BM82" s="517"/>
      <c r="BN82" s="517"/>
      <c r="BO82" s="517"/>
      <c r="BP82" s="517"/>
      <c r="BQ82" s="517"/>
      <c r="BR82" s="517"/>
      <c r="BS82" s="517"/>
      <c r="BT82" s="517"/>
      <c r="BU82" s="517"/>
      <c r="BV82" s="517"/>
      <c r="BW82" s="517"/>
      <c r="BX82" s="517"/>
      <c r="BY82" s="517"/>
      <c r="BZ82" s="517"/>
      <c r="CA82" s="517"/>
      <c r="CB82" s="517"/>
      <c r="CC82" s="517"/>
      <c r="CD82" s="517"/>
      <c r="CE82" s="517"/>
      <c r="CF82" s="517"/>
      <c r="CG82" s="517"/>
      <c r="CH82" s="517"/>
      <c r="CI82" s="517"/>
      <c r="CJ82" s="517"/>
      <c r="CK82" s="517"/>
      <c r="CL82" s="517"/>
      <c r="CM82" s="517"/>
      <c r="CN82" s="517"/>
      <c r="CO82" s="517"/>
      <c r="CP82" s="517"/>
    </row>
    <row r="83" spans="1:94" x14ac:dyDescent="0.2">
      <c r="A83" s="517"/>
      <c r="B83" s="517"/>
      <c r="C83" s="517"/>
      <c r="D83" s="517"/>
      <c r="E83" s="517"/>
      <c r="F83" s="517"/>
      <c r="G83" s="517"/>
      <c r="H83" s="517"/>
      <c r="I83" s="517"/>
      <c r="J83" s="517"/>
      <c r="K83" s="517"/>
      <c r="L83" s="517"/>
      <c r="M83" s="517"/>
      <c r="N83" s="517"/>
      <c r="O83" s="517"/>
      <c r="P83" s="517"/>
      <c r="Q83" s="517"/>
      <c r="R83" s="517"/>
      <c r="S83" s="517"/>
      <c r="T83" s="517"/>
      <c r="U83" s="517"/>
      <c r="V83" s="517"/>
      <c r="W83" s="517"/>
      <c r="X83" s="517"/>
      <c r="Y83" s="517"/>
      <c r="Z83" s="517"/>
      <c r="AA83" s="517"/>
      <c r="AB83" s="517"/>
      <c r="AC83" s="517"/>
      <c r="AD83" s="517"/>
      <c r="AE83" s="517"/>
      <c r="AF83" s="517"/>
      <c r="AG83" s="517"/>
      <c r="AH83" s="517"/>
      <c r="AI83" s="517"/>
      <c r="AJ83" s="517"/>
      <c r="AK83" s="517"/>
      <c r="AL83" s="517"/>
      <c r="AM83" s="517"/>
      <c r="AN83" s="517"/>
      <c r="AO83" s="517"/>
      <c r="AP83" s="517"/>
      <c r="AQ83" s="517"/>
      <c r="AR83" s="517"/>
      <c r="AS83" s="517"/>
      <c r="AT83" s="517"/>
      <c r="AU83" s="517"/>
      <c r="AV83" s="517"/>
      <c r="AW83" s="517"/>
      <c r="AX83" s="517"/>
      <c r="AY83" s="517"/>
      <c r="AZ83" s="517"/>
      <c r="BA83" s="517"/>
      <c r="BB83" s="517"/>
      <c r="BC83" s="517"/>
      <c r="BD83" s="517"/>
      <c r="BE83" s="517"/>
      <c r="BF83" s="517"/>
      <c r="BG83" s="517"/>
      <c r="BH83" s="517"/>
      <c r="BI83" s="517"/>
      <c r="BJ83" s="517"/>
      <c r="BK83" s="517"/>
      <c r="BL83" s="517"/>
      <c r="BM83" s="517"/>
      <c r="BN83" s="517"/>
      <c r="BO83" s="517"/>
      <c r="BP83" s="517"/>
      <c r="BQ83" s="517"/>
      <c r="BR83" s="517"/>
      <c r="BS83" s="517"/>
      <c r="BT83" s="517"/>
      <c r="BU83" s="517"/>
      <c r="BV83" s="517"/>
      <c r="BW83" s="517"/>
      <c r="BX83" s="517"/>
      <c r="BY83" s="517"/>
      <c r="BZ83" s="517"/>
      <c r="CA83" s="517"/>
      <c r="CB83" s="517"/>
      <c r="CC83" s="517"/>
      <c r="CD83" s="517"/>
      <c r="CE83" s="517"/>
      <c r="CF83" s="517"/>
      <c r="CG83" s="517"/>
      <c r="CH83" s="517"/>
      <c r="CI83" s="517"/>
      <c r="CJ83" s="517"/>
      <c r="CK83" s="517"/>
      <c r="CL83" s="517"/>
      <c r="CM83" s="517"/>
      <c r="CN83" s="517"/>
      <c r="CO83" s="517"/>
      <c r="CP83" s="517"/>
    </row>
    <row r="84" spans="1:94" x14ac:dyDescent="0.2">
      <c r="A84" s="517"/>
      <c r="B84" s="517"/>
      <c r="C84" s="517"/>
      <c r="D84" s="517"/>
      <c r="E84" s="517"/>
      <c r="F84" s="517"/>
      <c r="G84" s="517"/>
      <c r="H84" s="517"/>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7"/>
      <c r="AG84" s="517"/>
      <c r="AH84" s="517"/>
      <c r="AI84" s="517"/>
      <c r="AJ84" s="517"/>
      <c r="AK84" s="517"/>
      <c r="AL84" s="517"/>
      <c r="AM84" s="517"/>
      <c r="AN84" s="517"/>
      <c r="AO84" s="517"/>
      <c r="AP84" s="517"/>
      <c r="AQ84" s="517"/>
      <c r="AR84" s="517"/>
      <c r="AS84" s="517"/>
      <c r="AT84" s="517"/>
      <c r="AU84" s="517"/>
      <c r="AV84" s="517"/>
      <c r="AW84" s="517"/>
      <c r="AX84" s="517"/>
      <c r="AY84" s="517"/>
      <c r="AZ84" s="517"/>
      <c r="BA84" s="517"/>
      <c r="BB84" s="517"/>
      <c r="BC84" s="517"/>
      <c r="BD84" s="517"/>
      <c r="BE84" s="517"/>
      <c r="BF84" s="517"/>
      <c r="BG84" s="517"/>
      <c r="BH84" s="517"/>
      <c r="BI84" s="517"/>
      <c r="BJ84" s="517"/>
      <c r="BK84" s="517"/>
      <c r="BL84" s="517"/>
      <c r="BM84" s="517"/>
      <c r="BN84" s="517"/>
      <c r="BO84" s="517"/>
      <c r="BP84" s="517"/>
      <c r="BQ84" s="517"/>
      <c r="BR84" s="517"/>
      <c r="BS84" s="517"/>
      <c r="BT84" s="517"/>
      <c r="BU84" s="517"/>
      <c r="BV84" s="517"/>
      <c r="BW84" s="517"/>
      <c r="BX84" s="517"/>
      <c r="BY84" s="517"/>
      <c r="BZ84" s="517"/>
      <c r="CA84" s="517"/>
      <c r="CB84" s="517"/>
      <c r="CC84" s="517"/>
      <c r="CD84" s="517"/>
      <c r="CE84" s="517"/>
      <c r="CF84" s="517"/>
      <c r="CG84" s="517"/>
      <c r="CH84" s="517"/>
      <c r="CI84" s="517"/>
      <c r="CJ84" s="517"/>
      <c r="CK84" s="517"/>
      <c r="CL84" s="517"/>
      <c r="CM84" s="517"/>
      <c r="CN84" s="517"/>
      <c r="CO84" s="517"/>
      <c r="CP84" s="517"/>
    </row>
    <row r="85" spans="1:94" x14ac:dyDescent="0.2">
      <c r="A85" s="517"/>
      <c r="B85" s="517"/>
      <c r="C85" s="517"/>
      <c r="D85" s="517"/>
      <c r="E85" s="517"/>
      <c r="F85" s="517"/>
      <c r="G85" s="517"/>
      <c r="H85" s="517"/>
      <c r="I85" s="517"/>
      <c r="J85" s="517"/>
      <c r="K85" s="517"/>
      <c r="L85" s="517"/>
      <c r="M85" s="517"/>
      <c r="N85" s="517"/>
      <c r="O85" s="517"/>
      <c r="P85" s="517"/>
      <c r="Q85" s="517"/>
      <c r="R85" s="517"/>
      <c r="S85" s="517"/>
      <c r="T85" s="517"/>
      <c r="U85" s="517"/>
      <c r="V85" s="517"/>
      <c r="W85" s="517"/>
      <c r="X85" s="517"/>
      <c r="Y85" s="517"/>
      <c r="Z85" s="517"/>
      <c r="AA85" s="517"/>
      <c r="AB85" s="517"/>
      <c r="AC85" s="517"/>
      <c r="AD85" s="517"/>
      <c r="AE85" s="517"/>
      <c r="AF85" s="517"/>
      <c r="AG85" s="517"/>
      <c r="AH85" s="517"/>
      <c r="AI85" s="517"/>
      <c r="AJ85" s="517"/>
      <c r="AK85" s="517"/>
      <c r="AL85" s="517"/>
      <c r="AM85" s="517"/>
      <c r="AN85" s="517"/>
      <c r="AO85" s="517"/>
      <c r="AP85" s="517"/>
      <c r="AQ85" s="517"/>
      <c r="AR85" s="517"/>
      <c r="AS85" s="517"/>
      <c r="AT85" s="517"/>
      <c r="AU85" s="517"/>
      <c r="AV85" s="517"/>
      <c r="AW85" s="517"/>
      <c r="AX85" s="517"/>
      <c r="AY85" s="517"/>
      <c r="AZ85" s="517"/>
      <c r="BA85" s="517"/>
      <c r="BB85" s="517"/>
      <c r="BC85" s="517"/>
      <c r="BD85" s="517"/>
      <c r="BE85" s="517"/>
      <c r="BF85" s="517"/>
      <c r="BG85" s="517"/>
      <c r="BH85" s="517"/>
      <c r="BI85" s="517"/>
      <c r="BJ85" s="517"/>
      <c r="BK85" s="517"/>
      <c r="BL85" s="517"/>
      <c r="BM85" s="517"/>
      <c r="BN85" s="517"/>
      <c r="BO85" s="517"/>
      <c r="BP85" s="517"/>
      <c r="BQ85" s="517"/>
      <c r="BR85" s="517"/>
      <c r="BS85" s="517"/>
      <c r="BT85" s="517"/>
      <c r="BU85" s="517"/>
      <c r="BV85" s="517"/>
      <c r="BW85" s="517"/>
      <c r="BX85" s="517"/>
      <c r="BY85" s="517"/>
      <c r="BZ85" s="517"/>
      <c r="CA85" s="517"/>
      <c r="CB85" s="517"/>
      <c r="CC85" s="517"/>
      <c r="CD85" s="517"/>
      <c r="CE85" s="517"/>
      <c r="CF85" s="517"/>
      <c r="CG85" s="517"/>
      <c r="CH85" s="517"/>
      <c r="CI85" s="517"/>
      <c r="CJ85" s="517"/>
      <c r="CK85" s="517"/>
      <c r="CL85" s="517"/>
      <c r="CM85" s="517"/>
      <c r="CN85" s="517"/>
      <c r="CO85" s="517"/>
      <c r="CP85" s="517"/>
    </row>
    <row r="86" spans="1:94" x14ac:dyDescent="0.2">
      <c r="A86" s="517"/>
      <c r="B86" s="517"/>
      <c r="C86" s="517"/>
      <c r="D86" s="517"/>
      <c r="E86" s="517"/>
      <c r="F86" s="517"/>
      <c r="G86" s="517"/>
      <c r="H86" s="517"/>
      <c r="I86" s="517"/>
      <c r="J86" s="517"/>
      <c r="K86" s="517"/>
      <c r="L86" s="517"/>
      <c r="M86" s="517"/>
      <c r="N86" s="517"/>
      <c r="O86" s="517"/>
      <c r="P86" s="517"/>
      <c r="Q86" s="517"/>
      <c r="R86" s="517"/>
      <c r="S86" s="517"/>
      <c r="T86" s="517"/>
      <c r="U86" s="517"/>
      <c r="V86" s="517"/>
      <c r="W86" s="517"/>
      <c r="X86" s="517"/>
      <c r="Y86" s="517"/>
      <c r="Z86" s="517"/>
      <c r="AA86" s="517"/>
      <c r="AB86" s="517"/>
      <c r="AC86" s="517"/>
      <c r="AD86" s="517"/>
      <c r="AE86" s="517"/>
      <c r="AF86" s="517"/>
      <c r="AG86" s="517"/>
      <c r="AH86" s="517"/>
      <c r="AI86" s="517"/>
      <c r="AJ86" s="517"/>
      <c r="AK86" s="517"/>
      <c r="AL86" s="517"/>
      <c r="AM86" s="517"/>
      <c r="AN86" s="517"/>
      <c r="AO86" s="517"/>
      <c r="AP86" s="517"/>
      <c r="AQ86" s="517"/>
      <c r="AR86" s="517"/>
      <c r="AS86" s="517"/>
      <c r="AT86" s="517"/>
      <c r="AU86" s="517"/>
      <c r="AV86" s="517"/>
      <c r="AW86" s="517"/>
      <c r="AX86" s="517"/>
      <c r="AY86" s="517"/>
      <c r="AZ86" s="517"/>
      <c r="BA86" s="517"/>
      <c r="BB86" s="517"/>
      <c r="BC86" s="517"/>
      <c r="BD86" s="517"/>
      <c r="BE86" s="517"/>
      <c r="BF86" s="517"/>
      <c r="BG86" s="517"/>
      <c r="BH86" s="517"/>
      <c r="BI86" s="517"/>
      <c r="BJ86" s="517"/>
      <c r="BK86" s="517"/>
      <c r="BL86" s="517"/>
      <c r="BM86" s="517"/>
      <c r="BN86" s="517"/>
      <c r="BO86" s="517"/>
      <c r="BP86" s="517"/>
      <c r="BQ86" s="517"/>
      <c r="BR86" s="517"/>
      <c r="BS86" s="517"/>
      <c r="BT86" s="517"/>
      <c r="BU86" s="517"/>
      <c r="BV86" s="517"/>
      <c r="BW86" s="517"/>
      <c r="BX86" s="517"/>
      <c r="BY86" s="517"/>
      <c r="BZ86" s="517"/>
      <c r="CA86" s="517"/>
      <c r="CB86" s="517"/>
      <c r="CC86" s="517"/>
      <c r="CD86" s="517"/>
      <c r="CE86" s="517"/>
      <c r="CF86" s="517"/>
      <c r="CG86" s="517"/>
      <c r="CH86" s="517"/>
      <c r="CI86" s="517"/>
      <c r="CJ86" s="517"/>
      <c r="CK86" s="517"/>
      <c r="CL86" s="517"/>
      <c r="CM86" s="517"/>
      <c r="CN86" s="517"/>
      <c r="CO86" s="517"/>
      <c r="CP86" s="517"/>
    </row>
    <row r="87" spans="1:94" x14ac:dyDescent="0.2">
      <c r="A87" s="517"/>
      <c r="B87" s="517"/>
      <c r="C87" s="517"/>
      <c r="D87" s="517"/>
      <c r="E87" s="517"/>
      <c r="F87" s="517"/>
      <c r="G87" s="517"/>
      <c r="H87" s="517"/>
      <c r="I87" s="517"/>
      <c r="J87" s="517"/>
      <c r="K87" s="517"/>
      <c r="L87" s="517"/>
      <c r="M87" s="517"/>
      <c r="N87" s="517"/>
      <c r="O87" s="517"/>
      <c r="P87" s="517"/>
      <c r="Q87" s="517"/>
      <c r="R87" s="517"/>
      <c r="S87" s="517"/>
      <c r="T87" s="517"/>
      <c r="U87" s="517"/>
      <c r="V87" s="517"/>
      <c r="W87" s="517"/>
      <c r="X87" s="517"/>
      <c r="Y87" s="517"/>
      <c r="Z87" s="517"/>
      <c r="AA87" s="517"/>
      <c r="AB87" s="517"/>
      <c r="AC87" s="517"/>
      <c r="AD87" s="517"/>
      <c r="AE87" s="517"/>
      <c r="AF87" s="517"/>
      <c r="AG87" s="517"/>
      <c r="AH87" s="517"/>
      <c r="AI87" s="517"/>
      <c r="AJ87" s="517"/>
      <c r="AK87" s="517"/>
      <c r="AL87" s="517"/>
      <c r="AM87" s="517"/>
      <c r="AN87" s="517"/>
      <c r="AO87" s="517"/>
      <c r="AP87" s="517"/>
      <c r="AQ87" s="517"/>
      <c r="AR87" s="517"/>
      <c r="AS87" s="517"/>
      <c r="AT87" s="517"/>
      <c r="AU87" s="517"/>
      <c r="AV87" s="517"/>
      <c r="AW87" s="517"/>
      <c r="AX87" s="517"/>
      <c r="AY87" s="517"/>
      <c r="AZ87" s="517"/>
      <c r="BA87" s="517"/>
      <c r="BB87" s="517"/>
      <c r="BC87" s="517"/>
      <c r="BD87" s="517"/>
      <c r="BE87" s="517"/>
      <c r="BF87" s="517"/>
      <c r="BG87" s="517"/>
      <c r="BH87" s="517"/>
      <c r="BI87" s="517"/>
      <c r="BJ87" s="517"/>
      <c r="BK87" s="517"/>
      <c r="BL87" s="517"/>
      <c r="BM87" s="517"/>
      <c r="BN87" s="517"/>
      <c r="BO87" s="517"/>
      <c r="BP87" s="517"/>
      <c r="BQ87" s="517"/>
      <c r="BR87" s="517"/>
      <c r="BS87" s="517"/>
      <c r="BT87" s="517"/>
      <c r="BU87" s="517"/>
      <c r="BV87" s="517"/>
      <c r="BW87" s="517"/>
      <c r="BX87" s="517"/>
      <c r="BY87" s="517"/>
      <c r="BZ87" s="517"/>
      <c r="CA87" s="517"/>
      <c r="CB87" s="517"/>
      <c r="CC87" s="517"/>
      <c r="CD87" s="517"/>
      <c r="CE87" s="517"/>
      <c r="CF87" s="517"/>
      <c r="CG87" s="517"/>
      <c r="CH87" s="517"/>
      <c r="CI87" s="517"/>
      <c r="CJ87" s="517"/>
      <c r="CK87" s="517"/>
      <c r="CL87" s="517"/>
      <c r="CM87" s="517"/>
      <c r="CN87" s="517"/>
      <c r="CO87" s="517"/>
      <c r="CP87" s="517"/>
    </row>
    <row r="88" spans="1:94" x14ac:dyDescent="0.2">
      <c r="A88" s="517"/>
      <c r="B88" s="517"/>
      <c r="C88" s="517"/>
      <c r="D88" s="517"/>
      <c r="E88" s="517"/>
      <c r="F88" s="517"/>
      <c r="G88" s="517"/>
      <c r="H88" s="517"/>
      <c r="I88" s="517"/>
      <c r="J88" s="517"/>
      <c r="K88" s="517"/>
      <c r="L88" s="517"/>
      <c r="M88" s="517"/>
      <c r="N88" s="517"/>
      <c r="O88" s="517"/>
      <c r="P88" s="517"/>
      <c r="Q88" s="517"/>
      <c r="R88" s="517"/>
      <c r="S88" s="517"/>
      <c r="T88" s="517"/>
      <c r="U88" s="517"/>
      <c r="V88" s="517"/>
      <c r="W88" s="517"/>
      <c r="X88" s="517"/>
      <c r="Y88" s="517"/>
      <c r="Z88" s="517"/>
      <c r="AA88" s="517"/>
      <c r="AB88" s="517"/>
      <c r="AC88" s="517"/>
      <c r="AD88" s="517"/>
      <c r="AE88" s="517"/>
      <c r="AF88" s="517"/>
      <c r="AG88" s="517"/>
      <c r="AH88" s="517"/>
      <c r="AI88" s="517"/>
      <c r="AJ88" s="517"/>
      <c r="AK88" s="517"/>
      <c r="AL88" s="517"/>
      <c r="AM88" s="517"/>
      <c r="AN88" s="517"/>
      <c r="AO88" s="517"/>
      <c r="AP88" s="517"/>
      <c r="AQ88" s="517"/>
      <c r="AR88" s="517"/>
      <c r="AS88" s="517"/>
      <c r="AT88" s="517"/>
      <c r="AU88" s="517"/>
      <c r="AV88" s="517"/>
      <c r="AW88" s="517"/>
      <c r="AX88" s="517"/>
      <c r="AY88" s="517"/>
      <c r="AZ88" s="517"/>
      <c r="BA88" s="517"/>
      <c r="BB88" s="517"/>
      <c r="BC88" s="517"/>
      <c r="BD88" s="517"/>
      <c r="BE88" s="517"/>
      <c r="BF88" s="517"/>
      <c r="BG88" s="517"/>
      <c r="BH88" s="517"/>
      <c r="BI88" s="517"/>
      <c r="BJ88" s="517"/>
      <c r="BK88" s="517"/>
      <c r="BL88" s="517"/>
      <c r="BM88" s="517"/>
      <c r="BN88" s="517"/>
      <c r="BO88" s="517"/>
      <c r="BP88" s="517"/>
      <c r="BQ88" s="517"/>
      <c r="BR88" s="517"/>
      <c r="BS88" s="517"/>
      <c r="BT88" s="517"/>
      <c r="BU88" s="517"/>
      <c r="BV88" s="517"/>
      <c r="BW88" s="517"/>
      <c r="BX88" s="517"/>
      <c r="BY88" s="517"/>
      <c r="BZ88" s="517"/>
      <c r="CA88" s="517"/>
      <c r="CB88" s="517"/>
      <c r="CC88" s="517"/>
      <c r="CD88" s="517"/>
      <c r="CE88" s="517"/>
      <c r="CF88" s="517"/>
      <c r="CG88" s="517"/>
      <c r="CH88" s="517"/>
      <c r="CI88" s="517"/>
      <c r="CJ88" s="517"/>
      <c r="CK88" s="517"/>
      <c r="CL88" s="517"/>
      <c r="CM88" s="517"/>
      <c r="CN88" s="517"/>
      <c r="CO88" s="517"/>
      <c r="CP88" s="517"/>
    </row>
    <row r="89" spans="1:94" x14ac:dyDescent="0.2">
      <c r="A89" s="517"/>
      <c r="B89" s="517"/>
      <c r="C89" s="517"/>
      <c r="D89" s="517"/>
      <c r="E89" s="517"/>
      <c r="F89" s="517"/>
      <c r="G89" s="517"/>
      <c r="H89" s="517"/>
      <c r="I89" s="517"/>
      <c r="J89" s="517"/>
      <c r="K89" s="517"/>
      <c r="L89" s="517"/>
      <c r="M89" s="517"/>
      <c r="N89" s="517"/>
      <c r="O89" s="517"/>
      <c r="P89" s="517"/>
      <c r="Q89" s="517"/>
      <c r="R89" s="517"/>
      <c r="S89" s="517"/>
      <c r="T89" s="517"/>
      <c r="U89" s="517"/>
      <c r="V89" s="517"/>
      <c r="W89" s="517"/>
      <c r="X89" s="517"/>
      <c r="Y89" s="517"/>
      <c r="Z89" s="517"/>
      <c r="AA89" s="517"/>
      <c r="AB89" s="517"/>
      <c r="AC89" s="517"/>
      <c r="AD89" s="517"/>
      <c r="AE89" s="517"/>
      <c r="AF89" s="517"/>
      <c r="AG89" s="517"/>
      <c r="AH89" s="517"/>
      <c r="AI89" s="517"/>
      <c r="AJ89" s="517"/>
      <c r="AK89" s="517"/>
      <c r="AL89" s="517"/>
      <c r="AM89" s="517"/>
      <c r="AN89" s="517"/>
      <c r="AO89" s="517"/>
      <c r="AP89" s="517"/>
      <c r="AQ89" s="517"/>
      <c r="AR89" s="517"/>
      <c r="AS89" s="517"/>
      <c r="AT89" s="517"/>
      <c r="AU89" s="517"/>
      <c r="AV89" s="517"/>
      <c r="AW89" s="517"/>
      <c r="AX89" s="517"/>
      <c r="AY89" s="517"/>
      <c r="AZ89" s="517"/>
      <c r="BA89" s="517"/>
      <c r="BB89" s="517"/>
      <c r="BC89" s="517"/>
      <c r="BD89" s="517"/>
      <c r="BE89" s="517"/>
      <c r="BF89" s="517"/>
      <c r="BG89" s="517"/>
      <c r="BH89" s="517"/>
      <c r="BI89" s="517"/>
      <c r="BJ89" s="517"/>
      <c r="BK89" s="517"/>
      <c r="BL89" s="517"/>
      <c r="BM89" s="517"/>
      <c r="BN89" s="517"/>
      <c r="BO89" s="517"/>
      <c r="BP89" s="517"/>
      <c r="BQ89" s="517"/>
      <c r="BR89" s="517"/>
      <c r="BS89" s="517"/>
      <c r="BT89" s="517"/>
      <c r="BU89" s="517"/>
      <c r="BV89" s="517"/>
      <c r="BW89" s="517"/>
      <c r="BX89" s="517"/>
      <c r="BY89" s="517"/>
      <c r="BZ89" s="517"/>
      <c r="CA89" s="517"/>
      <c r="CB89" s="517"/>
      <c r="CC89" s="517"/>
      <c r="CD89" s="517"/>
      <c r="CE89" s="517"/>
      <c r="CF89" s="517"/>
      <c r="CG89" s="517"/>
      <c r="CH89" s="517"/>
      <c r="CI89" s="517"/>
      <c r="CJ89" s="517"/>
      <c r="CK89" s="517"/>
      <c r="CL89" s="517"/>
      <c r="CM89" s="517"/>
      <c r="CN89" s="517"/>
      <c r="CO89" s="517"/>
      <c r="CP89" s="517"/>
    </row>
    <row r="90" spans="1:94" x14ac:dyDescent="0.2">
      <c r="A90" s="517"/>
      <c r="B90" s="517"/>
      <c r="C90" s="517"/>
      <c r="D90" s="517"/>
      <c r="E90" s="517"/>
      <c r="F90" s="517"/>
      <c r="G90" s="517"/>
      <c r="H90" s="517"/>
      <c r="I90" s="517"/>
      <c r="J90" s="517"/>
      <c r="K90" s="517"/>
      <c r="L90" s="517"/>
      <c r="M90" s="517"/>
      <c r="N90" s="517"/>
      <c r="O90" s="517"/>
      <c r="P90" s="517"/>
      <c r="Q90" s="517"/>
      <c r="R90" s="517"/>
      <c r="S90" s="517"/>
      <c r="T90" s="517"/>
      <c r="U90" s="517"/>
      <c r="V90" s="517"/>
      <c r="W90" s="517"/>
      <c r="X90" s="517"/>
      <c r="Y90" s="517"/>
      <c r="Z90" s="517"/>
      <c r="AA90" s="517"/>
      <c r="AB90" s="517"/>
      <c r="AC90" s="517"/>
      <c r="AD90" s="517"/>
      <c r="AE90" s="517"/>
      <c r="AF90" s="517"/>
      <c r="AG90" s="517"/>
      <c r="AH90" s="517"/>
      <c r="AI90" s="517"/>
      <c r="AJ90" s="517"/>
      <c r="AK90" s="517"/>
      <c r="AL90" s="517"/>
      <c r="AM90" s="517"/>
      <c r="AN90" s="517"/>
      <c r="AO90" s="517"/>
      <c r="AP90" s="517"/>
      <c r="AQ90" s="517"/>
      <c r="AR90" s="517"/>
      <c r="AS90" s="517"/>
      <c r="AT90" s="517"/>
      <c r="AU90" s="517"/>
      <c r="AV90" s="517"/>
      <c r="AW90" s="517"/>
      <c r="AX90" s="517"/>
      <c r="AY90" s="517"/>
      <c r="AZ90" s="517"/>
      <c r="BA90" s="517"/>
      <c r="BB90" s="517"/>
      <c r="BC90" s="517"/>
      <c r="BD90" s="517"/>
      <c r="BE90" s="517"/>
      <c r="BF90" s="517"/>
      <c r="BG90" s="517"/>
      <c r="BH90" s="517"/>
      <c r="BI90" s="517"/>
      <c r="BJ90" s="517"/>
      <c r="BK90" s="517"/>
      <c r="BL90" s="517"/>
      <c r="BM90" s="517"/>
      <c r="BN90" s="517"/>
      <c r="BO90" s="517"/>
      <c r="BP90" s="517"/>
      <c r="BQ90" s="517"/>
      <c r="BR90" s="517"/>
      <c r="BS90" s="517"/>
      <c r="BT90" s="517"/>
      <c r="BU90" s="517"/>
      <c r="BV90" s="517"/>
      <c r="BW90" s="517"/>
      <c r="BX90" s="517"/>
      <c r="BY90" s="517"/>
      <c r="BZ90" s="517"/>
      <c r="CA90" s="517"/>
      <c r="CB90" s="517"/>
      <c r="CC90" s="517"/>
      <c r="CD90" s="517"/>
      <c r="CE90" s="517"/>
      <c r="CF90" s="517"/>
      <c r="CG90" s="517"/>
      <c r="CH90" s="517"/>
      <c r="CI90" s="517"/>
      <c r="CJ90" s="517"/>
      <c r="CK90" s="517"/>
      <c r="CL90" s="517"/>
      <c r="CM90" s="517"/>
      <c r="CN90" s="517"/>
      <c r="CO90" s="517"/>
      <c r="CP90" s="517"/>
    </row>
    <row r="91" spans="1:94" x14ac:dyDescent="0.2">
      <c r="A91" s="517"/>
      <c r="B91" s="517"/>
      <c r="C91" s="517"/>
      <c r="D91" s="517"/>
      <c r="E91" s="517"/>
      <c r="F91" s="517"/>
      <c r="G91" s="517"/>
      <c r="H91" s="517"/>
      <c r="I91" s="517"/>
      <c r="J91" s="517"/>
      <c r="K91" s="517"/>
      <c r="L91" s="517"/>
      <c r="M91" s="517"/>
      <c r="N91" s="517"/>
      <c r="O91" s="517"/>
      <c r="P91" s="517"/>
      <c r="Q91" s="517"/>
      <c r="R91" s="517"/>
      <c r="S91" s="517"/>
      <c r="T91" s="517"/>
      <c r="U91" s="517"/>
      <c r="V91" s="517"/>
      <c r="W91" s="517"/>
      <c r="X91" s="517"/>
      <c r="Y91" s="517"/>
      <c r="Z91" s="517"/>
      <c r="AA91" s="517"/>
      <c r="AB91" s="517"/>
      <c r="AC91" s="517"/>
      <c r="AD91" s="517"/>
      <c r="AE91" s="517"/>
      <c r="AF91" s="517"/>
      <c r="AG91" s="517"/>
      <c r="AH91" s="517"/>
      <c r="AI91" s="517"/>
      <c r="AJ91" s="517"/>
      <c r="AK91" s="517"/>
      <c r="AL91" s="517"/>
      <c r="AM91" s="517"/>
      <c r="AN91" s="517"/>
      <c r="AO91" s="517"/>
      <c r="AP91" s="517"/>
      <c r="AQ91" s="517"/>
      <c r="AR91" s="517"/>
      <c r="AS91" s="517"/>
      <c r="AT91" s="517"/>
      <c r="AU91" s="517"/>
      <c r="AV91" s="517"/>
      <c r="AW91" s="517"/>
      <c r="AX91" s="517"/>
      <c r="AY91" s="517"/>
      <c r="AZ91" s="517"/>
      <c r="BA91" s="517"/>
      <c r="BB91" s="517"/>
      <c r="BC91" s="517"/>
      <c r="BD91" s="517"/>
      <c r="BE91" s="517"/>
      <c r="BF91" s="517"/>
      <c r="BG91" s="517"/>
      <c r="BH91" s="517"/>
      <c r="BI91" s="517"/>
      <c r="BJ91" s="517"/>
      <c r="BK91" s="517"/>
      <c r="BL91" s="517"/>
      <c r="BM91" s="517"/>
      <c r="BN91" s="517"/>
      <c r="BO91" s="517"/>
      <c r="BP91" s="517"/>
      <c r="BQ91" s="517"/>
      <c r="BR91" s="517"/>
      <c r="BS91" s="517"/>
      <c r="BT91" s="517"/>
      <c r="BU91" s="517"/>
      <c r="BV91" s="517"/>
      <c r="BW91" s="517"/>
      <c r="BX91" s="517"/>
      <c r="BY91" s="517"/>
      <c r="BZ91" s="517"/>
      <c r="CA91" s="517"/>
      <c r="CB91" s="517"/>
      <c r="CC91" s="517"/>
      <c r="CD91" s="517"/>
      <c r="CE91" s="517"/>
      <c r="CF91" s="517"/>
      <c r="CG91" s="517"/>
      <c r="CH91" s="517"/>
      <c r="CI91" s="517"/>
      <c r="CJ91" s="517"/>
      <c r="CK91" s="517"/>
      <c r="CL91" s="517"/>
      <c r="CM91" s="517"/>
      <c r="CN91" s="517"/>
      <c r="CO91" s="517"/>
      <c r="CP91" s="517"/>
    </row>
    <row r="92" spans="1:94" x14ac:dyDescent="0.2">
      <c r="A92" s="517"/>
      <c r="B92" s="517"/>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517"/>
      <c r="AY92" s="517"/>
      <c r="AZ92" s="517"/>
      <c r="BA92" s="517"/>
      <c r="BB92" s="517"/>
      <c r="BC92" s="517"/>
      <c r="BD92" s="517"/>
      <c r="BE92" s="517"/>
      <c r="BF92" s="517"/>
      <c r="BG92" s="517"/>
      <c r="BH92" s="517"/>
      <c r="BI92" s="517"/>
      <c r="BJ92" s="517"/>
      <c r="BK92" s="517"/>
      <c r="BL92" s="517"/>
      <c r="BM92" s="517"/>
      <c r="BN92" s="517"/>
      <c r="BO92" s="517"/>
      <c r="BP92" s="517"/>
      <c r="BQ92" s="517"/>
      <c r="BR92" s="517"/>
      <c r="BS92" s="517"/>
      <c r="BT92" s="517"/>
      <c r="BU92" s="517"/>
      <c r="BV92" s="517"/>
      <c r="BW92" s="517"/>
      <c r="BX92" s="517"/>
      <c r="BY92" s="517"/>
      <c r="BZ92" s="517"/>
      <c r="CA92" s="517"/>
      <c r="CB92" s="517"/>
      <c r="CC92" s="517"/>
      <c r="CD92" s="517"/>
      <c r="CE92" s="517"/>
      <c r="CF92" s="517"/>
      <c r="CG92" s="517"/>
      <c r="CH92" s="517"/>
      <c r="CI92" s="517"/>
      <c r="CJ92" s="517"/>
      <c r="CK92" s="517"/>
      <c r="CL92" s="517"/>
      <c r="CM92" s="517"/>
      <c r="CN92" s="517"/>
      <c r="CO92" s="517"/>
      <c r="CP92" s="517"/>
    </row>
    <row r="93" spans="1:94" x14ac:dyDescent="0.2">
      <c r="A93" s="517"/>
      <c r="B93" s="517"/>
      <c r="C93" s="517"/>
      <c r="D93" s="517"/>
      <c r="E93" s="517"/>
      <c r="F93" s="517"/>
      <c r="G93" s="517"/>
      <c r="H93" s="517"/>
      <c r="I93" s="517"/>
      <c r="J93" s="517"/>
      <c r="K93" s="517"/>
      <c r="L93" s="517"/>
      <c r="M93" s="517"/>
      <c r="N93" s="517"/>
      <c r="O93" s="517"/>
      <c r="P93" s="517"/>
      <c r="Q93" s="517"/>
      <c r="R93" s="517"/>
      <c r="S93" s="517"/>
      <c r="T93" s="517"/>
      <c r="U93" s="517"/>
      <c r="V93" s="517"/>
      <c r="W93" s="517"/>
      <c r="X93" s="517"/>
      <c r="Y93" s="517"/>
      <c r="Z93" s="517"/>
      <c r="AA93" s="517"/>
      <c r="AB93" s="517"/>
      <c r="AC93" s="517"/>
      <c r="AD93" s="517"/>
      <c r="AE93" s="517"/>
      <c r="AF93" s="517"/>
      <c r="AG93" s="517"/>
      <c r="AH93" s="517"/>
      <c r="AI93" s="517"/>
      <c r="AJ93" s="517"/>
      <c r="AK93" s="517"/>
      <c r="AL93" s="517"/>
      <c r="AM93" s="517"/>
      <c r="AN93" s="517"/>
      <c r="AO93" s="517"/>
      <c r="AP93" s="517"/>
      <c r="AQ93" s="517"/>
      <c r="AR93" s="517"/>
      <c r="AS93" s="517"/>
      <c r="AT93" s="517"/>
      <c r="AU93" s="517"/>
      <c r="AV93" s="517"/>
      <c r="AW93" s="517"/>
      <c r="AX93" s="517"/>
      <c r="AY93" s="517"/>
      <c r="AZ93" s="517"/>
      <c r="BA93" s="517"/>
      <c r="BB93" s="517"/>
      <c r="BC93" s="517"/>
      <c r="BD93" s="517"/>
      <c r="BE93" s="517"/>
      <c r="BF93" s="517"/>
      <c r="BG93" s="517"/>
      <c r="BH93" s="517"/>
      <c r="BI93" s="517"/>
      <c r="BJ93" s="517"/>
      <c r="BK93" s="517"/>
      <c r="BL93" s="517"/>
      <c r="BM93" s="517"/>
      <c r="BN93" s="517"/>
      <c r="BO93" s="517"/>
      <c r="BP93" s="517"/>
      <c r="BQ93" s="517"/>
      <c r="BR93" s="517"/>
      <c r="BS93" s="517"/>
      <c r="BT93" s="517"/>
      <c r="BU93" s="517"/>
      <c r="BV93" s="517"/>
      <c r="BW93" s="517"/>
      <c r="BX93" s="517"/>
      <c r="BY93" s="517"/>
      <c r="BZ93" s="517"/>
      <c r="CA93" s="517"/>
      <c r="CB93" s="517"/>
      <c r="CC93" s="517"/>
      <c r="CD93" s="517"/>
      <c r="CE93" s="517"/>
      <c r="CF93" s="517"/>
      <c r="CG93" s="517"/>
      <c r="CH93" s="517"/>
      <c r="CI93" s="517"/>
      <c r="CJ93" s="517"/>
      <c r="CK93" s="517"/>
      <c r="CL93" s="517"/>
      <c r="CM93" s="517"/>
      <c r="CN93" s="517"/>
      <c r="CO93" s="517"/>
      <c r="CP93" s="517"/>
    </row>
    <row r="94" spans="1:94" x14ac:dyDescent="0.2">
      <c r="A94" s="517"/>
      <c r="B94" s="517"/>
      <c r="C94" s="517"/>
      <c r="D94" s="517"/>
      <c r="E94" s="517"/>
      <c r="F94" s="517"/>
      <c r="G94" s="517"/>
      <c r="H94" s="517"/>
      <c r="I94" s="517"/>
      <c r="J94" s="517"/>
      <c r="K94" s="517"/>
      <c r="L94" s="517"/>
      <c r="M94" s="517"/>
      <c r="N94" s="517"/>
      <c r="O94" s="517"/>
      <c r="P94" s="517"/>
      <c r="Q94" s="517"/>
      <c r="R94" s="517"/>
      <c r="S94" s="517"/>
      <c r="T94" s="517"/>
      <c r="U94" s="517"/>
      <c r="V94" s="517"/>
      <c r="W94" s="517"/>
      <c r="X94" s="517"/>
      <c r="Y94" s="517"/>
      <c r="Z94" s="517"/>
      <c r="AA94" s="517"/>
      <c r="AB94" s="517"/>
      <c r="AC94" s="517"/>
      <c r="AD94" s="517"/>
      <c r="AE94" s="517"/>
      <c r="AF94" s="517"/>
      <c r="AG94" s="517"/>
      <c r="AH94" s="517"/>
      <c r="AI94" s="517"/>
      <c r="AJ94" s="517"/>
      <c r="AK94" s="517"/>
      <c r="AL94" s="517"/>
      <c r="AM94" s="517"/>
      <c r="AN94" s="517"/>
      <c r="AO94" s="517"/>
      <c r="AP94" s="517"/>
      <c r="AQ94" s="517"/>
      <c r="AR94" s="517"/>
      <c r="AS94" s="517"/>
      <c r="AT94" s="517"/>
      <c r="AU94" s="517"/>
      <c r="AV94" s="517"/>
      <c r="AW94" s="517"/>
      <c r="AX94" s="517"/>
      <c r="AY94" s="517"/>
      <c r="AZ94" s="517"/>
      <c r="BA94" s="517"/>
      <c r="BB94" s="517"/>
      <c r="BC94" s="517"/>
      <c r="BD94" s="517"/>
      <c r="BE94" s="517"/>
      <c r="BF94" s="517"/>
      <c r="BG94" s="517"/>
      <c r="BH94" s="517"/>
      <c r="BI94" s="517"/>
      <c r="BJ94" s="517"/>
      <c r="BK94" s="517"/>
      <c r="BL94" s="517"/>
      <c r="BM94" s="517"/>
      <c r="BN94" s="517"/>
      <c r="BO94" s="517"/>
      <c r="BP94" s="517"/>
      <c r="BQ94" s="517"/>
      <c r="BR94" s="517"/>
      <c r="BS94" s="517"/>
      <c r="BT94" s="517"/>
      <c r="BU94" s="517"/>
      <c r="BV94" s="517"/>
      <c r="BW94" s="517"/>
      <c r="BX94" s="517"/>
      <c r="BY94" s="517"/>
      <c r="BZ94" s="517"/>
      <c r="CA94" s="517"/>
      <c r="CB94" s="517"/>
      <c r="CC94" s="517"/>
      <c r="CD94" s="517"/>
      <c r="CE94" s="517"/>
      <c r="CF94" s="517"/>
      <c r="CG94" s="517"/>
      <c r="CH94" s="517"/>
      <c r="CI94" s="517"/>
      <c r="CJ94" s="517"/>
      <c r="CK94" s="517"/>
      <c r="CL94" s="517"/>
      <c r="CM94" s="517"/>
      <c r="CN94" s="517"/>
      <c r="CO94" s="517"/>
      <c r="CP94" s="517"/>
    </row>
    <row r="95" spans="1:94" x14ac:dyDescent="0.2">
      <c r="A95" s="517"/>
      <c r="B95" s="517"/>
      <c r="C95" s="517"/>
      <c r="D95" s="517"/>
      <c r="E95" s="517"/>
      <c r="F95" s="517"/>
      <c r="G95" s="517"/>
      <c r="H95" s="517"/>
      <c r="I95" s="517"/>
      <c r="J95" s="517"/>
      <c r="K95" s="517"/>
      <c r="L95" s="517"/>
      <c r="M95" s="517"/>
      <c r="N95" s="517"/>
      <c r="O95" s="517"/>
      <c r="P95" s="517"/>
      <c r="Q95" s="517"/>
      <c r="R95" s="517"/>
      <c r="S95" s="517"/>
      <c r="T95" s="517"/>
      <c r="U95" s="517"/>
      <c r="V95" s="517"/>
      <c r="W95" s="517"/>
      <c r="X95" s="517"/>
      <c r="Y95" s="517"/>
      <c r="Z95" s="517"/>
      <c r="AA95" s="517"/>
      <c r="AB95" s="517"/>
      <c r="AC95" s="517"/>
      <c r="AD95" s="517"/>
      <c r="AE95" s="517"/>
      <c r="AF95" s="517"/>
      <c r="AG95" s="517"/>
      <c r="AH95" s="517"/>
      <c r="AI95" s="517"/>
      <c r="AJ95" s="517"/>
      <c r="AK95" s="517"/>
      <c r="AL95" s="517"/>
      <c r="AM95" s="517"/>
      <c r="AN95" s="517"/>
      <c r="AO95" s="517"/>
      <c r="AP95" s="517"/>
      <c r="AQ95" s="517"/>
      <c r="AR95" s="517"/>
      <c r="AS95" s="517"/>
      <c r="AT95" s="517"/>
      <c r="AU95" s="517"/>
      <c r="AV95" s="517"/>
      <c r="AW95" s="517"/>
      <c r="AX95" s="517"/>
      <c r="AY95" s="517"/>
      <c r="AZ95" s="517"/>
      <c r="BA95" s="517"/>
      <c r="BB95" s="517"/>
      <c r="BC95" s="517"/>
      <c r="BD95" s="517"/>
      <c r="BE95" s="517"/>
      <c r="BF95" s="517"/>
      <c r="BG95" s="517"/>
      <c r="BH95" s="517"/>
      <c r="BI95" s="517"/>
      <c r="BJ95" s="517"/>
      <c r="BK95" s="517"/>
      <c r="BL95" s="517"/>
      <c r="BM95" s="517"/>
      <c r="BN95" s="517"/>
      <c r="BO95" s="517"/>
      <c r="BP95" s="517"/>
      <c r="BQ95" s="517"/>
      <c r="BR95" s="517"/>
      <c r="BS95" s="517"/>
      <c r="BT95" s="517"/>
      <c r="BU95" s="517"/>
      <c r="BV95" s="517"/>
      <c r="BW95" s="517"/>
      <c r="BX95" s="517"/>
      <c r="BY95" s="517"/>
      <c r="BZ95" s="517"/>
      <c r="CA95" s="517"/>
      <c r="CB95" s="517"/>
      <c r="CC95" s="517"/>
      <c r="CD95" s="517"/>
      <c r="CE95" s="517"/>
      <c r="CF95" s="517"/>
      <c r="CG95" s="517"/>
      <c r="CH95" s="517"/>
      <c r="CI95" s="517"/>
      <c r="CJ95" s="517"/>
      <c r="CK95" s="517"/>
      <c r="CL95" s="517"/>
      <c r="CM95" s="517"/>
      <c r="CN95" s="517"/>
      <c r="CO95" s="517"/>
      <c r="CP95" s="517"/>
    </row>
    <row r="96" spans="1:94" x14ac:dyDescent="0.2">
      <c r="A96" s="517"/>
      <c r="B96" s="517"/>
      <c r="C96" s="517"/>
      <c r="D96" s="517"/>
      <c r="E96" s="517"/>
      <c r="F96" s="517"/>
      <c r="G96" s="517"/>
      <c r="H96" s="517"/>
      <c r="I96" s="517"/>
      <c r="J96" s="517"/>
      <c r="K96" s="517"/>
      <c r="L96" s="517"/>
      <c r="M96" s="517"/>
      <c r="N96" s="517"/>
      <c r="O96" s="517"/>
      <c r="P96" s="517"/>
      <c r="Q96" s="517"/>
      <c r="R96" s="517"/>
      <c r="S96" s="517"/>
      <c r="T96" s="517"/>
      <c r="U96" s="517"/>
      <c r="V96" s="517"/>
      <c r="W96" s="517"/>
      <c r="X96" s="517"/>
      <c r="Y96" s="517"/>
      <c r="Z96" s="517"/>
      <c r="AA96" s="517"/>
      <c r="AB96" s="517"/>
      <c r="AC96" s="517"/>
      <c r="AD96" s="517"/>
      <c r="AE96" s="517"/>
      <c r="AF96" s="517"/>
      <c r="AG96" s="517"/>
      <c r="AH96" s="517"/>
      <c r="AI96" s="517"/>
      <c r="AJ96" s="517"/>
      <c r="AK96" s="517"/>
      <c r="AL96" s="517"/>
      <c r="AM96" s="517"/>
      <c r="AN96" s="517"/>
      <c r="AO96" s="517"/>
      <c r="AP96" s="517"/>
      <c r="AQ96" s="517"/>
      <c r="AR96" s="517"/>
      <c r="AS96" s="517"/>
      <c r="AT96" s="517"/>
      <c r="AU96" s="517"/>
      <c r="AV96" s="517"/>
      <c r="AW96" s="517"/>
      <c r="AX96" s="517"/>
      <c r="AY96" s="517"/>
      <c r="AZ96" s="517"/>
      <c r="BA96" s="517"/>
      <c r="BB96" s="517"/>
      <c r="BC96" s="517"/>
      <c r="BD96" s="517"/>
      <c r="BE96" s="517"/>
      <c r="BF96" s="517"/>
      <c r="BG96" s="517"/>
      <c r="BH96" s="517"/>
      <c r="BI96" s="517"/>
      <c r="BJ96" s="517"/>
      <c r="BK96" s="517"/>
      <c r="BL96" s="517"/>
      <c r="BM96" s="517"/>
      <c r="BN96" s="517"/>
      <c r="BO96" s="517"/>
      <c r="BP96" s="517"/>
      <c r="BQ96" s="517"/>
      <c r="BR96" s="517"/>
      <c r="BS96" s="517"/>
      <c r="BT96" s="517"/>
      <c r="BU96" s="517"/>
      <c r="BV96" s="517"/>
      <c r="BW96" s="517"/>
      <c r="BX96" s="517"/>
      <c r="BY96" s="517"/>
      <c r="BZ96" s="517"/>
      <c r="CA96" s="517"/>
      <c r="CB96" s="517"/>
      <c r="CC96" s="517"/>
      <c r="CD96" s="517"/>
      <c r="CE96" s="517"/>
      <c r="CF96" s="517"/>
      <c r="CG96" s="517"/>
      <c r="CH96" s="517"/>
      <c r="CI96" s="517"/>
      <c r="CJ96" s="517"/>
      <c r="CK96" s="517"/>
      <c r="CL96" s="517"/>
      <c r="CM96" s="517"/>
      <c r="CN96" s="517"/>
      <c r="CO96" s="517"/>
      <c r="CP96" s="517"/>
    </row>
    <row r="97" spans="1:94" x14ac:dyDescent="0.2">
      <c r="A97" s="517"/>
      <c r="B97" s="517"/>
      <c r="C97" s="517"/>
      <c r="D97" s="517"/>
      <c r="E97" s="517"/>
      <c r="F97" s="517"/>
      <c r="G97" s="517"/>
      <c r="H97" s="517"/>
      <c r="I97" s="517"/>
      <c r="J97" s="517"/>
      <c r="K97" s="517"/>
      <c r="L97" s="517"/>
      <c r="M97" s="517"/>
      <c r="N97" s="517"/>
      <c r="O97" s="517"/>
      <c r="P97" s="517"/>
      <c r="Q97" s="517"/>
      <c r="R97" s="517"/>
      <c r="S97" s="517"/>
      <c r="T97" s="517"/>
      <c r="U97" s="517"/>
      <c r="V97" s="517"/>
      <c r="W97" s="517"/>
      <c r="X97" s="517"/>
      <c r="Y97" s="517"/>
      <c r="Z97" s="517"/>
      <c r="AA97" s="517"/>
      <c r="AB97" s="517"/>
      <c r="AC97" s="517"/>
      <c r="AD97" s="517"/>
      <c r="AE97" s="517"/>
      <c r="AF97" s="517"/>
      <c r="AG97" s="517"/>
      <c r="AH97" s="517"/>
      <c r="AI97" s="517"/>
      <c r="AJ97" s="517"/>
      <c r="AK97" s="517"/>
      <c r="AL97" s="517"/>
      <c r="AM97" s="517"/>
      <c r="AN97" s="517"/>
      <c r="AO97" s="517"/>
      <c r="AP97" s="517"/>
      <c r="AQ97" s="517"/>
      <c r="AR97" s="517"/>
      <c r="AS97" s="517"/>
      <c r="AT97" s="517"/>
      <c r="AU97" s="517"/>
      <c r="AV97" s="517"/>
      <c r="AW97" s="517"/>
      <c r="AX97" s="517"/>
      <c r="AY97" s="517"/>
      <c r="AZ97" s="517"/>
      <c r="BA97" s="517"/>
      <c r="BB97" s="517"/>
      <c r="BC97" s="517"/>
      <c r="BD97" s="517"/>
      <c r="BE97" s="517"/>
      <c r="BF97" s="517"/>
      <c r="BG97" s="517"/>
      <c r="BH97" s="517"/>
      <c r="BI97" s="517"/>
      <c r="BJ97" s="517"/>
      <c r="BK97" s="517"/>
      <c r="BL97" s="517"/>
      <c r="BM97" s="517"/>
      <c r="BN97" s="517"/>
      <c r="BO97" s="517"/>
      <c r="BP97" s="517"/>
      <c r="BQ97" s="517"/>
      <c r="BR97" s="517"/>
      <c r="BS97" s="517"/>
      <c r="BT97" s="517"/>
      <c r="BU97" s="517"/>
      <c r="BV97" s="517"/>
      <c r="BW97" s="517"/>
      <c r="BX97" s="517"/>
      <c r="BY97" s="517"/>
      <c r="BZ97" s="517"/>
      <c r="CA97" s="517"/>
      <c r="CB97" s="517"/>
      <c r="CC97" s="517"/>
      <c r="CD97" s="517"/>
      <c r="CE97" s="517"/>
      <c r="CF97" s="517"/>
      <c r="CG97" s="517"/>
      <c r="CH97" s="517"/>
      <c r="CI97" s="517"/>
      <c r="CJ97" s="517"/>
      <c r="CK97" s="517"/>
      <c r="CL97" s="517"/>
      <c r="CM97" s="517"/>
      <c r="CN97" s="517"/>
      <c r="CO97" s="517"/>
      <c r="CP97" s="517"/>
    </row>
    <row r="98" spans="1:94" x14ac:dyDescent="0.2">
      <c r="A98" s="517"/>
      <c r="B98" s="517"/>
      <c r="C98" s="517"/>
      <c r="D98" s="517"/>
      <c r="E98" s="517"/>
      <c r="F98" s="517"/>
      <c r="G98" s="517"/>
      <c r="H98" s="517"/>
      <c r="I98" s="517"/>
      <c r="J98" s="517"/>
      <c r="K98" s="517"/>
      <c r="L98" s="517"/>
      <c r="M98" s="517"/>
      <c r="N98" s="517"/>
      <c r="O98" s="517"/>
      <c r="P98" s="517"/>
      <c r="Q98" s="517"/>
      <c r="R98" s="517"/>
      <c r="S98" s="517"/>
      <c r="T98" s="517"/>
      <c r="U98" s="517"/>
      <c r="V98" s="517"/>
      <c r="W98" s="517"/>
      <c r="X98" s="517"/>
      <c r="Y98" s="517"/>
      <c r="Z98" s="517"/>
      <c r="AA98" s="517"/>
      <c r="AB98" s="517"/>
      <c r="AC98" s="517"/>
      <c r="AD98" s="517"/>
      <c r="AE98" s="517"/>
      <c r="AF98" s="517"/>
      <c r="AG98" s="517"/>
      <c r="AH98" s="517"/>
      <c r="AI98" s="517"/>
      <c r="AJ98" s="517"/>
      <c r="AK98" s="517"/>
      <c r="AL98" s="517"/>
      <c r="AM98" s="517"/>
      <c r="AN98" s="517"/>
      <c r="AO98" s="517"/>
      <c r="AP98" s="517"/>
      <c r="AQ98" s="517"/>
      <c r="AR98" s="517"/>
      <c r="AS98" s="517"/>
      <c r="AT98" s="517"/>
      <c r="AU98" s="517"/>
      <c r="AV98" s="517"/>
      <c r="AW98" s="517"/>
      <c r="AX98" s="517"/>
      <c r="AY98" s="517"/>
      <c r="AZ98" s="517"/>
      <c r="BA98" s="517"/>
      <c r="BB98" s="517"/>
      <c r="BC98" s="517"/>
      <c r="BD98" s="517"/>
      <c r="BE98" s="517"/>
      <c r="BF98" s="517"/>
      <c r="BG98" s="517"/>
      <c r="BH98" s="517"/>
      <c r="BI98" s="517"/>
      <c r="BJ98" s="517"/>
      <c r="BK98" s="517"/>
      <c r="BL98" s="517"/>
      <c r="BM98" s="517"/>
      <c r="BN98" s="517"/>
      <c r="BO98" s="517"/>
      <c r="BP98" s="517"/>
      <c r="BQ98" s="517"/>
      <c r="BR98" s="517"/>
      <c r="BS98" s="517"/>
      <c r="BT98" s="517"/>
      <c r="BU98" s="517"/>
      <c r="BV98" s="517"/>
      <c r="BW98" s="517"/>
      <c r="BX98" s="517"/>
      <c r="BY98" s="517"/>
      <c r="BZ98" s="517"/>
      <c r="CA98" s="517"/>
      <c r="CB98" s="517"/>
      <c r="CC98" s="517"/>
      <c r="CD98" s="517"/>
      <c r="CE98" s="517"/>
      <c r="CF98" s="517"/>
      <c r="CG98" s="517"/>
      <c r="CH98" s="517"/>
      <c r="CI98" s="517"/>
      <c r="CJ98" s="517"/>
      <c r="CK98" s="517"/>
      <c r="CL98" s="517"/>
      <c r="CM98" s="517"/>
      <c r="CN98" s="517"/>
      <c r="CO98" s="517"/>
      <c r="CP98" s="517"/>
    </row>
    <row r="99" spans="1:94" x14ac:dyDescent="0.2">
      <c r="A99" s="517"/>
      <c r="B99" s="517"/>
      <c r="C99" s="517"/>
      <c r="D99" s="517"/>
      <c r="E99" s="517"/>
      <c r="F99" s="517"/>
      <c r="G99" s="517"/>
      <c r="H99" s="517"/>
      <c r="I99" s="517"/>
      <c r="J99" s="517"/>
      <c r="K99" s="517"/>
      <c r="L99" s="517"/>
      <c r="M99" s="517"/>
      <c r="N99" s="517"/>
      <c r="O99" s="517"/>
      <c r="P99" s="517"/>
      <c r="Q99" s="517"/>
      <c r="R99" s="517"/>
      <c r="S99" s="517"/>
      <c r="T99" s="517"/>
      <c r="U99" s="517"/>
      <c r="V99" s="517"/>
      <c r="W99" s="517"/>
      <c r="X99" s="517"/>
      <c r="Y99" s="517"/>
      <c r="Z99" s="517"/>
      <c r="AA99" s="517"/>
      <c r="AB99" s="517"/>
      <c r="AC99" s="517"/>
      <c r="AD99" s="517"/>
      <c r="AE99" s="517"/>
      <c r="AF99" s="517"/>
      <c r="AG99" s="517"/>
      <c r="AH99" s="517"/>
      <c r="AI99" s="517"/>
      <c r="AJ99" s="517"/>
      <c r="AK99" s="517"/>
      <c r="AL99" s="517"/>
      <c r="AM99" s="517"/>
      <c r="AN99" s="517"/>
      <c r="AO99" s="517"/>
      <c r="AP99" s="517"/>
      <c r="AQ99" s="517"/>
      <c r="AR99" s="517"/>
      <c r="AS99" s="517"/>
      <c r="AT99" s="517"/>
      <c r="AU99" s="517"/>
      <c r="AV99" s="517"/>
      <c r="AW99" s="517"/>
      <c r="AX99" s="517"/>
      <c r="AY99" s="517"/>
      <c r="AZ99" s="517"/>
      <c r="BA99" s="517"/>
      <c r="BB99" s="517"/>
      <c r="BC99" s="517"/>
      <c r="BD99" s="517"/>
      <c r="BE99" s="517"/>
      <c r="BF99" s="517"/>
      <c r="BG99" s="517"/>
      <c r="BH99" s="517"/>
      <c r="BI99" s="517"/>
      <c r="BJ99" s="517"/>
      <c r="BK99" s="517"/>
      <c r="BL99" s="517"/>
      <c r="BM99" s="517"/>
      <c r="BN99" s="517"/>
      <c r="BO99" s="517"/>
      <c r="BP99" s="517"/>
      <c r="BQ99" s="517"/>
      <c r="BR99" s="517"/>
      <c r="BS99" s="517"/>
      <c r="BT99" s="517"/>
      <c r="BU99" s="517"/>
      <c r="BV99" s="517"/>
      <c r="BW99" s="517"/>
      <c r="BX99" s="517"/>
      <c r="BY99" s="517"/>
      <c r="BZ99" s="517"/>
      <c r="CA99" s="517"/>
      <c r="CB99" s="517"/>
      <c r="CC99" s="517"/>
      <c r="CD99" s="517"/>
      <c r="CE99" s="517"/>
      <c r="CF99" s="517"/>
      <c r="CG99" s="517"/>
      <c r="CH99" s="517"/>
      <c r="CI99" s="517"/>
      <c r="CJ99" s="517"/>
      <c r="CK99" s="517"/>
      <c r="CL99" s="517"/>
      <c r="CM99" s="517"/>
      <c r="CN99" s="517"/>
      <c r="CO99" s="517"/>
      <c r="CP99" s="517"/>
    </row>
    <row r="100" spans="1:94" x14ac:dyDescent="0.2">
      <c r="A100" s="517"/>
      <c r="B100" s="517"/>
      <c r="C100" s="517"/>
      <c r="D100" s="517"/>
      <c r="E100" s="517"/>
      <c r="F100" s="517"/>
      <c r="G100" s="517"/>
      <c r="H100" s="517"/>
      <c r="I100" s="517"/>
      <c r="J100" s="517"/>
      <c r="K100" s="517"/>
      <c r="L100" s="517"/>
      <c r="M100" s="517"/>
      <c r="N100" s="517"/>
      <c r="O100" s="517"/>
      <c r="P100" s="517"/>
      <c r="Q100" s="517"/>
      <c r="R100" s="517"/>
      <c r="S100" s="517"/>
      <c r="T100" s="517"/>
      <c r="U100" s="517"/>
      <c r="V100" s="517"/>
      <c r="W100" s="517"/>
      <c r="X100" s="517"/>
      <c r="Y100" s="517"/>
      <c r="Z100" s="517"/>
      <c r="AA100" s="517"/>
      <c r="AB100" s="517"/>
      <c r="AC100" s="517"/>
      <c r="AD100" s="517"/>
      <c r="AE100" s="517"/>
      <c r="AF100" s="517"/>
      <c r="AG100" s="517"/>
      <c r="AH100" s="517"/>
      <c r="AI100" s="517"/>
      <c r="AJ100" s="517"/>
      <c r="AK100" s="517"/>
      <c r="AL100" s="517"/>
      <c r="AM100" s="517"/>
      <c r="AN100" s="517"/>
      <c r="AO100" s="517"/>
      <c r="AP100" s="517"/>
      <c r="AQ100" s="517"/>
      <c r="AR100" s="517"/>
      <c r="AS100" s="517"/>
      <c r="AT100" s="517"/>
      <c r="AU100" s="517"/>
      <c r="AV100" s="517"/>
      <c r="AW100" s="517"/>
      <c r="AX100" s="517"/>
      <c r="AY100" s="517"/>
      <c r="AZ100" s="517"/>
      <c r="BA100" s="517"/>
      <c r="BB100" s="517"/>
      <c r="BC100" s="517"/>
      <c r="BD100" s="517"/>
      <c r="BE100" s="517"/>
      <c r="BF100" s="517"/>
      <c r="BG100" s="517"/>
      <c r="BH100" s="517"/>
      <c r="BI100" s="517"/>
      <c r="BJ100" s="517"/>
      <c r="BK100" s="517"/>
      <c r="BL100" s="517"/>
      <c r="BM100" s="517"/>
      <c r="BN100" s="517"/>
      <c r="BO100" s="517"/>
      <c r="BP100" s="517"/>
      <c r="BQ100" s="517"/>
      <c r="BR100" s="517"/>
      <c r="BS100" s="517"/>
      <c r="BT100" s="517"/>
      <c r="BU100" s="517"/>
      <c r="BV100" s="517"/>
      <c r="BW100" s="517"/>
      <c r="BX100" s="517"/>
      <c r="BY100" s="517"/>
      <c r="BZ100" s="517"/>
      <c r="CA100" s="517"/>
      <c r="CB100" s="517"/>
      <c r="CC100" s="517"/>
      <c r="CD100" s="517"/>
      <c r="CE100" s="517"/>
      <c r="CF100" s="517"/>
      <c r="CG100" s="517"/>
      <c r="CH100" s="517"/>
      <c r="CI100" s="517"/>
      <c r="CJ100" s="517"/>
      <c r="CK100" s="517"/>
      <c r="CL100" s="517"/>
      <c r="CM100" s="517"/>
      <c r="CN100" s="517"/>
      <c r="CO100" s="517"/>
      <c r="CP100" s="517"/>
    </row>
    <row r="101" spans="1:94" x14ac:dyDescent="0.2">
      <c r="A101" s="517"/>
      <c r="B101" s="517"/>
      <c r="C101" s="517"/>
      <c r="D101" s="517"/>
      <c r="E101" s="517"/>
      <c r="F101" s="517"/>
      <c r="G101" s="517"/>
      <c r="H101" s="517"/>
      <c r="I101" s="517"/>
      <c r="J101" s="517"/>
      <c r="K101" s="517"/>
      <c r="L101" s="517"/>
      <c r="M101" s="517"/>
      <c r="N101" s="517"/>
      <c r="O101" s="517"/>
      <c r="P101" s="517"/>
      <c r="Q101" s="517"/>
      <c r="R101" s="517"/>
      <c r="S101" s="517"/>
      <c r="T101" s="517"/>
      <c r="U101" s="517"/>
      <c r="V101" s="517"/>
      <c r="W101" s="517"/>
      <c r="X101" s="517"/>
      <c r="Y101" s="517"/>
      <c r="Z101" s="517"/>
      <c r="AA101" s="517"/>
      <c r="AB101" s="517"/>
      <c r="AC101" s="517"/>
      <c r="AD101" s="517"/>
      <c r="AE101" s="517"/>
      <c r="AF101" s="517"/>
      <c r="AG101" s="517"/>
      <c r="AH101" s="517"/>
      <c r="AI101" s="517"/>
      <c r="AJ101" s="517"/>
      <c r="AK101" s="517"/>
      <c r="AL101" s="517"/>
      <c r="AM101" s="517"/>
      <c r="AN101" s="517"/>
      <c r="AO101" s="517"/>
      <c r="AP101" s="517"/>
      <c r="AQ101" s="517"/>
      <c r="AR101" s="517"/>
      <c r="AS101" s="517"/>
      <c r="AT101" s="517"/>
      <c r="AU101" s="517"/>
      <c r="AV101" s="517"/>
      <c r="AW101" s="517"/>
      <c r="AX101" s="517"/>
      <c r="AY101" s="517"/>
      <c r="AZ101" s="517"/>
      <c r="BA101" s="517"/>
      <c r="BB101" s="517"/>
      <c r="BC101" s="517"/>
      <c r="BD101" s="517"/>
      <c r="BE101" s="517"/>
      <c r="BF101" s="517"/>
      <c r="BG101" s="517"/>
      <c r="BH101" s="517"/>
      <c r="BI101" s="517"/>
      <c r="BJ101" s="517"/>
      <c r="BK101" s="517"/>
      <c r="BL101" s="517"/>
      <c r="BM101" s="517"/>
      <c r="BN101" s="517"/>
      <c r="BO101" s="517"/>
      <c r="BP101" s="517"/>
      <c r="BQ101" s="517"/>
      <c r="BR101" s="517"/>
      <c r="BS101" s="517"/>
      <c r="BT101" s="517"/>
      <c r="BU101" s="517"/>
      <c r="BV101" s="517"/>
      <c r="BW101" s="517"/>
      <c r="BX101" s="517"/>
      <c r="BY101" s="517"/>
      <c r="BZ101" s="517"/>
      <c r="CA101" s="517"/>
      <c r="CB101" s="517"/>
      <c r="CC101" s="517"/>
      <c r="CD101" s="517"/>
      <c r="CE101" s="517"/>
      <c r="CF101" s="517"/>
      <c r="CG101" s="517"/>
      <c r="CH101" s="517"/>
      <c r="CI101" s="517"/>
      <c r="CJ101" s="517"/>
      <c r="CK101" s="517"/>
      <c r="CL101" s="517"/>
      <c r="CM101" s="517"/>
      <c r="CN101" s="517"/>
      <c r="CO101" s="517"/>
      <c r="CP101" s="517"/>
    </row>
    <row r="102" spans="1:94" x14ac:dyDescent="0.2">
      <c r="A102" s="517"/>
      <c r="B102" s="517"/>
      <c r="C102" s="517"/>
      <c r="D102" s="517"/>
      <c r="E102" s="517"/>
      <c r="F102" s="517"/>
      <c r="G102" s="517"/>
      <c r="H102" s="564"/>
    </row>
    <row r="103" spans="1:94" x14ac:dyDescent="0.2">
      <c r="A103" s="517"/>
      <c r="B103" s="517"/>
      <c r="C103" s="517"/>
      <c r="D103" s="517"/>
      <c r="E103" s="517"/>
      <c r="F103" s="517"/>
      <c r="G103" s="517"/>
      <c r="H103" s="564"/>
    </row>
    <row r="104" spans="1:94" x14ac:dyDescent="0.2">
      <c r="A104" s="517"/>
      <c r="B104" s="517"/>
      <c r="C104" s="517"/>
      <c r="D104" s="517"/>
      <c r="E104" s="517"/>
      <c r="F104" s="517"/>
      <c r="G104" s="517"/>
      <c r="H104" s="564"/>
    </row>
    <row r="105" spans="1:94" x14ac:dyDescent="0.2">
      <c r="A105" s="517"/>
      <c r="B105" s="517"/>
      <c r="C105" s="517"/>
      <c r="D105" s="517"/>
      <c r="E105" s="517"/>
      <c r="F105" s="517"/>
      <c r="G105" s="517"/>
      <c r="H105" s="564"/>
    </row>
    <row r="106" spans="1:94" x14ac:dyDescent="0.2">
      <c r="A106" s="517"/>
      <c r="B106" s="517"/>
      <c r="C106" s="517"/>
      <c r="D106" s="517"/>
      <c r="E106" s="517"/>
      <c r="F106" s="517"/>
      <c r="G106" s="517"/>
      <c r="H106" s="564"/>
    </row>
    <row r="107" spans="1:94" x14ac:dyDescent="0.2">
      <c r="A107" s="517"/>
      <c r="B107" s="517"/>
      <c r="C107" s="517"/>
      <c r="D107" s="517"/>
      <c r="E107" s="517"/>
      <c r="F107" s="517"/>
      <c r="G107" s="517"/>
      <c r="H107" s="564"/>
    </row>
    <row r="108" spans="1:94" x14ac:dyDescent="0.2">
      <c r="A108" s="517"/>
      <c r="B108" s="517"/>
      <c r="C108" s="517"/>
      <c r="D108" s="517"/>
      <c r="E108" s="517"/>
      <c r="F108" s="517"/>
      <c r="G108" s="517"/>
      <c r="H108" s="564"/>
    </row>
    <row r="109" spans="1:94" x14ac:dyDescent="0.2">
      <c r="A109" s="517"/>
      <c r="B109" s="517"/>
      <c r="C109" s="517"/>
      <c r="D109" s="517"/>
      <c r="E109" s="517"/>
      <c r="F109" s="517"/>
      <c r="G109" s="517"/>
      <c r="H109" s="564"/>
    </row>
    <row r="110" spans="1:94" x14ac:dyDescent="0.2">
      <c r="A110" s="517"/>
      <c r="B110" s="517"/>
      <c r="C110" s="517"/>
      <c r="D110" s="517"/>
      <c r="E110" s="517"/>
      <c r="F110" s="517"/>
      <c r="G110" s="517"/>
      <c r="H110" s="564"/>
    </row>
    <row r="111" spans="1:94" x14ac:dyDescent="0.2">
      <c r="A111" s="517"/>
      <c r="B111" s="517"/>
      <c r="C111" s="517"/>
      <c r="D111" s="517"/>
      <c r="E111" s="517"/>
      <c r="F111" s="517"/>
      <c r="G111" s="517"/>
      <c r="H111" s="564"/>
    </row>
    <row r="112" spans="1:94" x14ac:dyDescent="0.2">
      <c r="A112" s="517"/>
      <c r="B112" s="517"/>
      <c r="C112" s="517"/>
      <c r="D112" s="517"/>
      <c r="E112" s="517"/>
      <c r="F112" s="517"/>
      <c r="G112" s="517"/>
      <c r="H112" s="564"/>
    </row>
    <row r="113" spans="1:8" x14ac:dyDescent="0.2">
      <c r="A113" s="517"/>
      <c r="B113" s="517"/>
      <c r="C113" s="517"/>
      <c r="D113" s="517"/>
      <c r="E113" s="517"/>
      <c r="F113" s="517"/>
      <c r="G113" s="517"/>
      <c r="H113" s="564"/>
    </row>
    <row r="114" spans="1:8" x14ac:dyDescent="0.2">
      <c r="A114" s="517"/>
      <c r="B114" s="517"/>
      <c r="C114" s="517"/>
      <c r="D114" s="517"/>
      <c r="E114" s="517"/>
      <c r="F114" s="517"/>
      <c r="G114" s="517"/>
      <c r="H114" s="564"/>
    </row>
    <row r="115" spans="1:8" x14ac:dyDescent="0.2">
      <c r="A115" s="517"/>
      <c r="B115" s="517"/>
      <c r="C115" s="517"/>
      <c r="D115" s="517"/>
      <c r="E115" s="517"/>
      <c r="F115" s="517"/>
      <c r="G115" s="517"/>
      <c r="H115" s="564"/>
    </row>
    <row r="116" spans="1:8" x14ac:dyDescent="0.2">
      <c r="A116" s="517"/>
      <c r="B116" s="517"/>
      <c r="C116" s="517"/>
      <c r="D116" s="517"/>
      <c r="E116" s="517"/>
      <c r="F116" s="517"/>
      <c r="G116" s="517"/>
      <c r="H116" s="564"/>
    </row>
    <row r="117" spans="1:8" x14ac:dyDescent="0.2">
      <c r="A117" s="517"/>
      <c r="B117" s="517"/>
      <c r="C117" s="517"/>
      <c r="D117" s="517"/>
      <c r="E117" s="517"/>
      <c r="F117" s="517"/>
      <c r="G117" s="517"/>
      <c r="H117" s="564"/>
    </row>
    <row r="118" spans="1:8" x14ac:dyDescent="0.2">
      <c r="A118" s="517"/>
      <c r="B118" s="517"/>
      <c r="C118" s="517"/>
      <c r="D118" s="517"/>
      <c r="E118" s="517"/>
      <c r="F118" s="517"/>
      <c r="G118" s="517"/>
      <c r="H118" s="564"/>
    </row>
    <row r="119" spans="1:8" x14ac:dyDescent="0.2">
      <c r="A119" s="517"/>
      <c r="B119" s="517"/>
      <c r="C119" s="517"/>
      <c r="D119" s="517"/>
      <c r="E119" s="517"/>
      <c r="F119" s="517"/>
      <c r="G119" s="517"/>
      <c r="H119" s="564"/>
    </row>
    <row r="120" spans="1:8" x14ac:dyDescent="0.2">
      <c r="A120" s="517"/>
      <c r="B120" s="517"/>
      <c r="C120" s="517"/>
      <c r="D120" s="517"/>
      <c r="E120" s="517"/>
      <c r="F120" s="517"/>
      <c r="G120" s="517"/>
      <c r="H120" s="564"/>
    </row>
    <row r="121" spans="1:8" x14ac:dyDescent="0.2">
      <c r="A121" s="517"/>
      <c r="B121" s="517"/>
      <c r="C121" s="517"/>
      <c r="D121" s="517"/>
      <c r="E121" s="517"/>
      <c r="F121" s="517"/>
      <c r="G121" s="517"/>
      <c r="H121" s="564"/>
    </row>
    <row r="122" spans="1:8" x14ac:dyDescent="0.2">
      <c r="A122" s="517"/>
      <c r="B122" s="517"/>
      <c r="C122" s="517"/>
      <c r="D122" s="517"/>
      <c r="E122" s="517"/>
      <c r="F122" s="517"/>
      <c r="G122" s="517"/>
      <c r="H122" s="564"/>
    </row>
    <row r="123" spans="1:8" x14ac:dyDescent="0.2">
      <c r="A123" s="517"/>
      <c r="B123" s="517"/>
      <c r="C123" s="517"/>
      <c r="D123" s="517"/>
      <c r="E123" s="517"/>
      <c r="F123" s="517"/>
      <c r="G123" s="517"/>
      <c r="H123" s="564"/>
    </row>
    <row r="124" spans="1:8" x14ac:dyDescent="0.2">
      <c r="A124" s="517"/>
      <c r="B124" s="517"/>
      <c r="C124" s="517"/>
      <c r="D124" s="517"/>
      <c r="E124" s="517"/>
      <c r="F124" s="517"/>
      <c r="G124" s="517"/>
      <c r="H124" s="564"/>
    </row>
    <row r="125" spans="1:8" x14ac:dyDescent="0.2">
      <c r="A125" s="517"/>
      <c r="B125" s="517"/>
      <c r="C125" s="517"/>
      <c r="D125" s="517"/>
      <c r="E125" s="517"/>
      <c r="F125" s="517"/>
      <c r="G125" s="517"/>
      <c r="H125" s="564"/>
    </row>
    <row r="126" spans="1:8" x14ac:dyDescent="0.2">
      <c r="A126" s="517"/>
      <c r="B126" s="517"/>
      <c r="C126" s="517"/>
      <c r="D126" s="517"/>
      <c r="E126" s="517"/>
      <c r="F126" s="517"/>
      <c r="G126" s="517"/>
      <c r="H126" s="564"/>
    </row>
    <row r="127" spans="1:8" x14ac:dyDescent="0.2">
      <c r="A127" s="517"/>
      <c r="B127" s="517"/>
      <c r="C127" s="517"/>
      <c r="D127" s="517"/>
      <c r="E127" s="517"/>
      <c r="F127" s="517"/>
      <c r="G127" s="517"/>
      <c r="H127" s="564"/>
    </row>
    <row r="128" spans="1:8" x14ac:dyDescent="0.2">
      <c r="A128" s="517"/>
      <c r="B128" s="517"/>
      <c r="C128" s="517"/>
      <c r="D128" s="517"/>
      <c r="E128" s="517"/>
      <c r="F128" s="517"/>
      <c r="G128" s="517"/>
      <c r="H128" s="564"/>
    </row>
    <row r="129" spans="1:8" x14ac:dyDescent="0.2">
      <c r="A129" s="517"/>
      <c r="B129" s="517"/>
      <c r="C129" s="517"/>
      <c r="D129" s="517"/>
      <c r="E129" s="517"/>
      <c r="F129" s="517"/>
      <c r="G129" s="517"/>
      <c r="H129" s="564"/>
    </row>
    <row r="130" spans="1:8" x14ac:dyDescent="0.2">
      <c r="A130" s="517"/>
      <c r="B130" s="517"/>
      <c r="C130" s="517"/>
      <c r="D130" s="517"/>
      <c r="E130" s="517"/>
      <c r="F130" s="517"/>
      <c r="G130" s="517"/>
      <c r="H130" s="564"/>
    </row>
    <row r="131" spans="1:8" x14ac:dyDescent="0.2">
      <c r="A131" s="517"/>
      <c r="B131" s="517"/>
      <c r="C131" s="517"/>
      <c r="D131" s="517"/>
      <c r="E131" s="517"/>
      <c r="F131" s="517"/>
      <c r="G131" s="517"/>
      <c r="H131" s="564"/>
    </row>
    <row r="132" spans="1:8" x14ac:dyDescent="0.2">
      <c r="A132" s="517"/>
      <c r="B132" s="517"/>
      <c r="C132" s="517"/>
      <c r="D132" s="517"/>
      <c r="E132" s="517"/>
      <c r="F132" s="517"/>
      <c r="G132" s="517"/>
      <c r="H132" s="564"/>
    </row>
    <row r="133" spans="1:8" x14ac:dyDescent="0.2">
      <c r="A133" s="517"/>
      <c r="B133" s="517"/>
      <c r="C133" s="517"/>
      <c r="D133" s="517"/>
      <c r="E133" s="517"/>
      <c r="F133" s="517"/>
      <c r="G133" s="517"/>
      <c r="H133" s="564"/>
    </row>
    <row r="134" spans="1:8" x14ac:dyDescent="0.2">
      <c r="A134" s="517"/>
      <c r="B134" s="517"/>
      <c r="C134" s="517"/>
      <c r="D134" s="517"/>
      <c r="E134" s="517"/>
      <c r="F134" s="517"/>
      <c r="G134" s="517"/>
      <c r="H134" s="564"/>
    </row>
    <row r="135" spans="1:8" x14ac:dyDescent="0.2">
      <c r="A135" s="517"/>
      <c r="B135" s="517"/>
      <c r="C135" s="517"/>
      <c r="D135" s="517"/>
      <c r="E135" s="517"/>
      <c r="F135" s="517"/>
      <c r="G135" s="517"/>
      <c r="H135" s="564"/>
    </row>
    <row r="136" spans="1:8" x14ac:dyDescent="0.2">
      <c r="A136" s="517"/>
      <c r="B136" s="517"/>
      <c r="C136" s="517"/>
      <c r="D136" s="517"/>
      <c r="E136" s="517"/>
      <c r="F136" s="517"/>
      <c r="G136" s="517"/>
      <c r="H136" s="564"/>
    </row>
    <row r="137" spans="1:8" x14ac:dyDescent="0.2">
      <c r="A137" s="517"/>
      <c r="B137" s="517"/>
      <c r="C137" s="517"/>
      <c r="D137" s="517"/>
      <c r="E137" s="517"/>
      <c r="F137" s="517"/>
      <c r="G137" s="517"/>
      <c r="H137" s="564"/>
    </row>
    <row r="138" spans="1:8" x14ac:dyDescent="0.2">
      <c r="A138" s="517"/>
      <c r="B138" s="517"/>
      <c r="C138" s="517"/>
      <c r="D138" s="517"/>
      <c r="E138" s="517"/>
      <c r="F138" s="517"/>
      <c r="G138" s="517"/>
      <c r="H138" s="564"/>
    </row>
    <row r="139" spans="1:8" x14ac:dyDescent="0.2">
      <c r="A139" s="517"/>
      <c r="B139" s="517"/>
      <c r="C139" s="517"/>
      <c r="D139" s="517"/>
      <c r="E139" s="517"/>
      <c r="F139" s="517"/>
      <c r="G139" s="517"/>
      <c r="H139" s="564"/>
    </row>
    <row r="140" spans="1:8" x14ac:dyDescent="0.2">
      <c r="A140" s="517"/>
      <c r="B140" s="517"/>
      <c r="C140" s="517"/>
      <c r="D140" s="517"/>
      <c r="E140" s="517"/>
      <c r="F140" s="517"/>
      <c r="G140" s="517"/>
      <c r="H140" s="564"/>
    </row>
    <row r="141" spans="1:8" x14ac:dyDescent="0.2">
      <c r="A141" s="517"/>
      <c r="B141" s="517"/>
      <c r="C141" s="517"/>
      <c r="D141" s="517"/>
      <c r="E141" s="517"/>
      <c r="F141" s="517"/>
      <c r="G141" s="517"/>
      <c r="H141" s="564"/>
    </row>
    <row r="142" spans="1:8" x14ac:dyDescent="0.2">
      <c r="A142" s="517"/>
      <c r="B142" s="517"/>
      <c r="C142" s="517"/>
      <c r="D142" s="517"/>
      <c r="E142" s="517"/>
      <c r="F142" s="517"/>
      <c r="G142" s="517"/>
      <c r="H142" s="564"/>
    </row>
    <row r="143" spans="1:8" x14ac:dyDescent="0.2">
      <c r="A143" s="517"/>
      <c r="B143" s="517"/>
      <c r="C143" s="517"/>
      <c r="D143" s="517"/>
      <c r="E143" s="517"/>
      <c r="F143" s="517"/>
      <c r="G143" s="517"/>
      <c r="H143" s="564"/>
    </row>
    <row r="144" spans="1:8" x14ac:dyDescent="0.2">
      <c r="A144" s="517"/>
      <c r="B144" s="517"/>
      <c r="C144" s="517"/>
      <c r="D144" s="517"/>
      <c r="E144" s="517"/>
      <c r="F144" s="517"/>
      <c r="G144" s="517"/>
      <c r="H144" s="564"/>
    </row>
    <row r="145" spans="1:8" x14ac:dyDescent="0.2">
      <c r="A145" s="517"/>
      <c r="B145" s="517"/>
      <c r="C145" s="517"/>
      <c r="D145" s="517"/>
      <c r="E145" s="517"/>
      <c r="F145" s="517"/>
      <c r="G145" s="517"/>
      <c r="H145" s="564"/>
    </row>
    <row r="146" spans="1:8" x14ac:dyDescent="0.2">
      <c r="A146" s="517"/>
      <c r="B146" s="517"/>
      <c r="C146" s="517"/>
      <c r="D146" s="517"/>
      <c r="E146" s="517"/>
      <c r="F146" s="517"/>
      <c r="G146" s="517"/>
      <c r="H146" s="564"/>
    </row>
    <row r="147" spans="1:8" x14ac:dyDescent="0.2">
      <c r="A147" s="517"/>
      <c r="B147" s="517"/>
      <c r="C147" s="517"/>
      <c r="D147" s="517"/>
      <c r="E147" s="517"/>
      <c r="F147" s="517"/>
      <c r="G147" s="517"/>
      <c r="H147" s="564"/>
    </row>
    <row r="148" spans="1:8" x14ac:dyDescent="0.2">
      <c r="A148" s="517"/>
      <c r="B148" s="517"/>
      <c r="C148" s="517"/>
      <c r="D148" s="517"/>
      <c r="E148" s="517"/>
      <c r="F148" s="517"/>
      <c r="G148" s="517"/>
      <c r="H148" s="564"/>
    </row>
    <row r="149" spans="1:8" x14ac:dyDescent="0.2">
      <c r="A149" s="517"/>
      <c r="B149" s="517"/>
      <c r="C149" s="517"/>
      <c r="D149" s="517"/>
      <c r="E149" s="517"/>
      <c r="F149" s="517"/>
      <c r="G149" s="517"/>
      <c r="H149" s="564"/>
    </row>
    <row r="150" spans="1:8" x14ac:dyDescent="0.2">
      <c r="A150" s="517"/>
      <c r="B150" s="517"/>
      <c r="C150" s="517"/>
      <c r="D150" s="517"/>
      <c r="E150" s="517"/>
      <c r="F150" s="517"/>
      <c r="G150" s="517"/>
      <c r="H150" s="564"/>
    </row>
    <row r="151" spans="1:8" x14ac:dyDescent="0.2">
      <c r="A151" s="517"/>
      <c r="B151" s="517"/>
      <c r="C151" s="517"/>
      <c r="D151" s="517"/>
      <c r="E151" s="517"/>
      <c r="F151" s="517"/>
      <c r="G151" s="517"/>
      <c r="H151" s="564"/>
    </row>
    <row r="152" spans="1:8" x14ac:dyDescent="0.2">
      <c r="A152" s="517"/>
      <c r="B152" s="517"/>
      <c r="C152" s="517"/>
      <c r="D152" s="517"/>
      <c r="E152" s="517"/>
      <c r="F152" s="517"/>
      <c r="G152" s="517"/>
      <c r="H152" s="564"/>
    </row>
    <row r="153" spans="1:8" x14ac:dyDescent="0.2">
      <c r="A153" s="517"/>
      <c r="B153" s="517"/>
      <c r="C153" s="517"/>
      <c r="D153" s="517"/>
      <c r="E153" s="517"/>
      <c r="F153" s="517"/>
      <c r="G153" s="517"/>
      <c r="H153" s="564"/>
    </row>
    <row r="154" spans="1:8" x14ac:dyDescent="0.2">
      <c r="A154" s="517"/>
      <c r="B154" s="517"/>
      <c r="C154" s="517"/>
      <c r="D154" s="517"/>
      <c r="E154" s="517"/>
      <c r="F154" s="517"/>
      <c r="G154" s="517"/>
      <c r="H154" s="564"/>
    </row>
    <row r="155" spans="1:8" x14ac:dyDescent="0.2">
      <c r="A155" s="517"/>
      <c r="B155" s="517"/>
      <c r="C155" s="517"/>
      <c r="D155" s="517"/>
      <c r="E155" s="517"/>
      <c r="F155" s="517"/>
      <c r="G155" s="517"/>
      <c r="H155" s="564"/>
    </row>
    <row r="156" spans="1:8" x14ac:dyDescent="0.2">
      <c r="A156" s="517"/>
      <c r="B156" s="517"/>
      <c r="C156" s="517"/>
      <c r="D156" s="517"/>
      <c r="E156" s="517"/>
      <c r="F156" s="517"/>
      <c r="G156" s="517"/>
      <c r="H156" s="564"/>
    </row>
    <row r="157" spans="1:8" x14ac:dyDescent="0.2">
      <c r="A157" s="517"/>
      <c r="B157" s="517"/>
      <c r="C157" s="517"/>
      <c r="D157" s="517"/>
      <c r="E157" s="517"/>
      <c r="F157" s="517"/>
      <c r="G157" s="517"/>
      <c r="H157" s="564"/>
    </row>
    <row r="158" spans="1:8" x14ac:dyDescent="0.2">
      <c r="A158" s="517"/>
      <c r="B158" s="517"/>
      <c r="C158" s="517"/>
      <c r="D158" s="517"/>
      <c r="E158" s="517"/>
      <c r="F158" s="517"/>
      <c r="G158" s="517"/>
      <c r="H158" s="564"/>
    </row>
    <row r="159" spans="1:8" x14ac:dyDescent="0.2">
      <c r="A159" s="517"/>
      <c r="B159" s="517"/>
      <c r="C159" s="517"/>
      <c r="D159" s="517"/>
      <c r="E159" s="517"/>
      <c r="F159" s="517"/>
      <c r="G159" s="517"/>
      <c r="H159" s="564"/>
    </row>
    <row r="160" spans="1:8" x14ac:dyDescent="0.2">
      <c r="A160" s="517"/>
      <c r="B160" s="517"/>
      <c r="C160" s="517"/>
      <c r="D160" s="517"/>
      <c r="E160" s="517"/>
      <c r="F160" s="517"/>
      <c r="G160" s="517"/>
      <c r="H160" s="564"/>
    </row>
    <row r="161" spans="1:8" x14ac:dyDescent="0.2">
      <c r="A161" s="517"/>
      <c r="B161" s="517"/>
      <c r="C161" s="517"/>
      <c r="D161" s="517"/>
      <c r="E161" s="517"/>
      <c r="F161" s="517"/>
      <c r="G161" s="517"/>
      <c r="H161" s="564"/>
    </row>
    <row r="162" spans="1:8" x14ac:dyDescent="0.2">
      <c r="A162" s="517"/>
      <c r="B162" s="517"/>
      <c r="C162" s="517"/>
      <c r="D162" s="517"/>
      <c r="E162" s="517"/>
      <c r="F162" s="517"/>
      <c r="G162" s="517"/>
      <c r="H162" s="564"/>
    </row>
    <row r="163" spans="1:8" x14ac:dyDescent="0.2">
      <c r="A163" s="517"/>
      <c r="B163" s="517"/>
      <c r="C163" s="517"/>
      <c r="D163" s="517"/>
      <c r="E163" s="517"/>
      <c r="F163" s="517"/>
      <c r="G163" s="517"/>
      <c r="H163" s="564"/>
    </row>
    <row r="164" spans="1:8" x14ac:dyDescent="0.2">
      <c r="A164" s="517"/>
      <c r="B164" s="517"/>
      <c r="C164" s="517"/>
      <c r="D164" s="517"/>
      <c r="E164" s="517"/>
      <c r="F164" s="517"/>
      <c r="G164" s="517"/>
      <c r="H164" s="564"/>
    </row>
    <row r="165" spans="1:8" x14ac:dyDescent="0.2">
      <c r="A165" s="517"/>
      <c r="B165" s="517"/>
      <c r="C165" s="517"/>
      <c r="D165" s="517"/>
      <c r="E165" s="517"/>
      <c r="F165" s="517"/>
      <c r="G165" s="517"/>
      <c r="H165" s="564"/>
    </row>
    <row r="166" spans="1:8" x14ac:dyDescent="0.2">
      <c r="A166" s="517"/>
      <c r="B166" s="517"/>
      <c r="C166" s="517"/>
      <c r="D166" s="517"/>
      <c r="E166" s="517"/>
      <c r="F166" s="517"/>
      <c r="G166" s="517"/>
      <c r="H166" s="564"/>
    </row>
    <row r="167" spans="1:8" x14ac:dyDescent="0.2">
      <c r="A167" s="517"/>
      <c r="B167" s="517"/>
      <c r="C167" s="517"/>
      <c r="D167" s="517"/>
      <c r="E167" s="517"/>
      <c r="F167" s="517"/>
      <c r="G167" s="517"/>
      <c r="H167" s="564"/>
    </row>
    <row r="168" spans="1:8" x14ac:dyDescent="0.2">
      <c r="A168" s="517"/>
      <c r="B168" s="517"/>
      <c r="C168" s="517"/>
      <c r="D168" s="517"/>
      <c r="E168" s="517"/>
      <c r="F168" s="517"/>
      <c r="G168" s="517"/>
      <c r="H168" s="564"/>
    </row>
    <row r="169" spans="1:8" x14ac:dyDescent="0.2">
      <c r="A169" s="517"/>
      <c r="B169" s="517"/>
      <c r="C169" s="517"/>
      <c r="D169" s="517"/>
      <c r="E169" s="517"/>
      <c r="F169" s="517"/>
      <c r="G169" s="517"/>
      <c r="H169" s="564"/>
    </row>
    <row r="170" spans="1:8" x14ac:dyDescent="0.2">
      <c r="A170" s="517"/>
      <c r="B170" s="517"/>
      <c r="C170" s="517"/>
      <c r="D170" s="517"/>
      <c r="E170" s="517"/>
      <c r="F170" s="517"/>
      <c r="G170" s="517"/>
      <c r="H170" s="564"/>
    </row>
    <row r="171" spans="1:8" x14ac:dyDescent="0.2">
      <c r="A171" s="517"/>
      <c r="B171" s="517"/>
      <c r="C171" s="517"/>
      <c r="D171" s="517"/>
      <c r="E171" s="517"/>
      <c r="F171" s="517"/>
      <c r="G171" s="517"/>
      <c r="H171" s="564"/>
    </row>
    <row r="172" spans="1:8" x14ac:dyDescent="0.2">
      <c r="A172" s="517"/>
      <c r="B172" s="517"/>
      <c r="C172" s="517"/>
      <c r="D172" s="517"/>
      <c r="E172" s="517"/>
      <c r="F172" s="517"/>
      <c r="G172" s="517"/>
      <c r="H172" s="564"/>
    </row>
    <row r="173" spans="1:8" x14ac:dyDescent="0.2">
      <c r="A173" s="517"/>
      <c r="B173" s="517"/>
      <c r="C173" s="517"/>
      <c r="D173" s="517"/>
      <c r="E173" s="517"/>
      <c r="F173" s="517"/>
      <c r="G173" s="517"/>
      <c r="H173" s="564"/>
    </row>
    <row r="174" spans="1:8" x14ac:dyDescent="0.2">
      <c r="A174" s="517"/>
      <c r="B174" s="517"/>
      <c r="C174" s="517"/>
      <c r="D174" s="517"/>
      <c r="E174" s="517"/>
      <c r="F174" s="517"/>
      <c r="G174" s="517"/>
      <c r="H174" s="564"/>
    </row>
    <row r="175" spans="1:8" x14ac:dyDescent="0.2">
      <c r="A175" s="517"/>
      <c r="B175" s="517"/>
      <c r="C175" s="517"/>
      <c r="D175" s="517"/>
      <c r="E175" s="517"/>
      <c r="F175" s="517"/>
      <c r="G175" s="517"/>
      <c r="H175" s="564"/>
    </row>
    <row r="176" spans="1:8" x14ac:dyDescent="0.2">
      <c r="A176" s="517"/>
      <c r="B176" s="517"/>
      <c r="C176" s="517"/>
      <c r="D176" s="517"/>
      <c r="E176" s="517"/>
      <c r="F176" s="517"/>
      <c r="G176" s="517"/>
      <c r="H176" s="564"/>
    </row>
    <row r="177" spans="1:11" x14ac:dyDescent="0.2">
      <c r="A177" s="517"/>
      <c r="B177" s="517"/>
      <c r="C177" s="517"/>
      <c r="D177" s="517"/>
      <c r="E177" s="517"/>
      <c r="F177" s="517"/>
      <c r="G177" s="517"/>
      <c r="H177" s="564"/>
    </row>
    <row r="178" spans="1:11" x14ac:dyDescent="0.2">
      <c r="A178" s="517"/>
      <c r="B178" s="517"/>
      <c r="C178" s="517"/>
      <c r="D178" s="517"/>
      <c r="E178" s="517"/>
      <c r="F178" s="517"/>
      <c r="G178" s="517"/>
      <c r="H178" s="564"/>
    </row>
    <row r="179" spans="1:11" x14ac:dyDescent="0.2">
      <c r="A179" s="517"/>
      <c r="B179" s="517"/>
      <c r="C179" s="517"/>
      <c r="D179" s="517"/>
      <c r="E179" s="517"/>
      <c r="F179" s="517"/>
      <c r="G179" s="517"/>
      <c r="H179" s="564"/>
    </row>
    <row r="180" spans="1:11" x14ac:dyDescent="0.2">
      <c r="A180" s="517"/>
      <c r="B180" s="517"/>
      <c r="C180" s="517"/>
      <c r="D180" s="517"/>
      <c r="E180" s="517"/>
      <c r="F180" s="517"/>
      <c r="G180" s="517"/>
      <c r="H180" s="564"/>
    </row>
    <row r="181" spans="1:11" x14ac:dyDescent="0.2">
      <c r="A181" s="517"/>
      <c r="B181" s="517"/>
      <c r="C181" s="517"/>
      <c r="D181" s="517"/>
      <c r="E181" s="517"/>
      <c r="F181" s="517"/>
      <c r="G181" s="517"/>
      <c r="H181" s="564"/>
    </row>
    <row r="182" spans="1:11" x14ac:dyDescent="0.2">
      <c r="A182" s="517"/>
      <c r="B182" s="517"/>
      <c r="C182" s="517"/>
      <c r="D182" s="517"/>
      <c r="E182" s="517"/>
      <c r="F182" s="517"/>
      <c r="G182" s="517"/>
      <c r="H182" s="564"/>
    </row>
    <row r="183" spans="1:11" x14ac:dyDescent="0.2">
      <c r="A183" s="517"/>
      <c r="B183" s="517"/>
      <c r="C183" s="517"/>
      <c r="D183" s="517"/>
      <c r="E183" s="517"/>
      <c r="F183" s="517"/>
      <c r="G183" s="517"/>
      <c r="H183" s="564"/>
    </row>
    <row r="184" spans="1:11" x14ac:dyDescent="0.2">
      <c r="A184" s="517"/>
      <c r="B184" s="517"/>
      <c r="C184" s="517"/>
      <c r="D184" s="517"/>
      <c r="E184" s="517"/>
      <c r="F184" s="517"/>
      <c r="G184" s="517"/>
      <c r="H184" s="565"/>
      <c r="I184" s="518"/>
      <c r="J184" s="518"/>
    </row>
    <row r="185" spans="1:11" x14ac:dyDescent="0.2">
      <c r="A185" s="517"/>
      <c r="B185" s="517"/>
      <c r="C185" s="517"/>
      <c r="D185" s="517"/>
      <c r="E185" s="517"/>
      <c r="F185" s="517"/>
      <c r="G185" s="517"/>
      <c r="H185" s="517"/>
      <c r="I185" s="517"/>
      <c r="J185" s="517"/>
      <c r="K185" s="564"/>
    </row>
    <row r="186" spans="1:11" x14ac:dyDescent="0.2">
      <c r="A186" s="517"/>
      <c r="B186" s="517"/>
      <c r="C186" s="517"/>
      <c r="D186" s="517"/>
      <c r="E186" s="517"/>
      <c r="F186" s="517"/>
      <c r="G186" s="517"/>
      <c r="H186" s="517"/>
      <c r="I186" s="517"/>
      <c r="J186" s="517"/>
      <c r="K186" s="564"/>
    </row>
    <row r="187" spans="1:11" x14ac:dyDescent="0.2">
      <c r="A187" s="517"/>
      <c r="B187" s="517"/>
      <c r="C187" s="517"/>
      <c r="D187" s="517"/>
      <c r="E187" s="517"/>
      <c r="F187" s="517"/>
      <c r="G187" s="517"/>
      <c r="H187" s="517"/>
      <c r="I187" s="517"/>
      <c r="J187" s="517"/>
      <c r="K187" s="564"/>
    </row>
    <row r="188" spans="1:11" x14ac:dyDescent="0.2">
      <c r="A188" s="517"/>
      <c r="B188" s="517"/>
      <c r="C188" s="517"/>
      <c r="D188" s="517"/>
      <c r="E188" s="517"/>
      <c r="F188" s="517"/>
      <c r="G188" s="517"/>
      <c r="H188" s="517"/>
      <c r="I188" s="517"/>
      <c r="J188" s="517"/>
      <c r="K188" s="564"/>
    </row>
    <row r="189" spans="1:11" x14ac:dyDescent="0.2">
      <c r="A189" s="517"/>
      <c r="B189" s="517"/>
      <c r="C189" s="517"/>
      <c r="D189" s="517"/>
      <c r="E189" s="517"/>
      <c r="F189" s="517"/>
      <c r="G189" s="517"/>
      <c r="H189" s="517"/>
      <c r="I189" s="517"/>
      <c r="J189" s="517"/>
      <c r="K189" s="564"/>
    </row>
    <row r="190" spans="1:11" x14ac:dyDescent="0.2">
      <c r="A190" s="517"/>
      <c r="B190" s="517"/>
      <c r="C190" s="517"/>
      <c r="D190" s="517"/>
      <c r="E190" s="517"/>
      <c r="F190" s="517"/>
      <c r="G190" s="517"/>
      <c r="H190" s="517"/>
      <c r="I190" s="517"/>
      <c r="J190" s="517"/>
      <c r="K190" s="564"/>
    </row>
    <row r="191" spans="1:11" x14ac:dyDescent="0.2">
      <c r="A191" s="517"/>
      <c r="B191" s="517"/>
      <c r="C191" s="517"/>
      <c r="D191" s="517"/>
      <c r="E191" s="517"/>
      <c r="F191" s="517"/>
      <c r="G191" s="517"/>
      <c r="H191" s="517"/>
      <c r="I191" s="517"/>
      <c r="J191" s="517"/>
      <c r="K191" s="564"/>
    </row>
    <row r="192" spans="1:11" x14ac:dyDescent="0.2">
      <c r="A192" s="517"/>
      <c r="B192" s="517"/>
      <c r="C192" s="517"/>
      <c r="D192" s="517"/>
      <c r="E192" s="517"/>
      <c r="F192" s="517"/>
      <c r="G192" s="517"/>
      <c r="H192" s="517"/>
      <c r="I192" s="517"/>
      <c r="J192" s="517"/>
      <c r="K192" s="564"/>
    </row>
    <row r="193" spans="1:11" x14ac:dyDescent="0.2">
      <c r="A193" s="517"/>
      <c r="B193" s="517"/>
      <c r="C193" s="517"/>
      <c r="D193" s="517"/>
      <c r="E193" s="517"/>
      <c r="F193" s="517"/>
      <c r="G193" s="517"/>
      <c r="H193" s="517"/>
      <c r="I193" s="517"/>
      <c r="J193" s="517"/>
      <c r="K193" s="564"/>
    </row>
    <row r="194" spans="1:11" x14ac:dyDescent="0.2">
      <c r="A194" s="517"/>
      <c r="B194" s="517"/>
      <c r="C194" s="517"/>
      <c r="D194" s="517"/>
      <c r="E194" s="517"/>
      <c r="F194" s="517"/>
      <c r="G194" s="517"/>
      <c r="H194" s="517"/>
      <c r="I194" s="517"/>
      <c r="J194" s="517"/>
      <c r="K194" s="564"/>
    </row>
    <row r="195" spans="1:11" x14ac:dyDescent="0.2">
      <c r="A195" s="517"/>
      <c r="B195" s="517"/>
      <c r="C195" s="517"/>
      <c r="D195" s="517"/>
      <c r="E195" s="517"/>
      <c r="F195" s="517"/>
      <c r="G195" s="517"/>
      <c r="H195" s="517"/>
      <c r="I195" s="517"/>
      <c r="J195" s="517"/>
      <c r="K195" s="564"/>
    </row>
    <row r="196" spans="1:11" x14ac:dyDescent="0.2">
      <c r="A196" s="517"/>
      <c r="B196" s="517"/>
      <c r="C196" s="517"/>
      <c r="D196" s="517"/>
      <c r="E196" s="517"/>
      <c r="F196" s="517"/>
      <c r="G196" s="517"/>
      <c r="H196" s="517"/>
      <c r="I196" s="517"/>
      <c r="J196" s="517"/>
      <c r="K196" s="564"/>
    </row>
    <row r="197" spans="1:11" x14ac:dyDescent="0.2">
      <c r="A197" s="517"/>
      <c r="B197" s="517"/>
      <c r="C197" s="517"/>
      <c r="D197" s="517"/>
      <c r="E197" s="517"/>
      <c r="F197" s="517"/>
      <c r="G197" s="517"/>
      <c r="H197" s="517"/>
      <c r="I197" s="517"/>
      <c r="J197" s="517"/>
      <c r="K197" s="564"/>
    </row>
    <row r="198" spans="1:11" x14ac:dyDescent="0.2">
      <c r="A198" s="517"/>
      <c r="B198" s="517"/>
      <c r="C198" s="517"/>
      <c r="D198" s="517"/>
      <c r="E198" s="517"/>
      <c r="F198" s="517"/>
      <c r="G198" s="517"/>
      <c r="H198" s="517"/>
      <c r="I198" s="517"/>
      <c r="J198" s="517"/>
      <c r="K198" s="564"/>
    </row>
    <row r="199" spans="1:11" x14ac:dyDescent="0.2">
      <c r="A199" s="517"/>
      <c r="B199" s="517"/>
      <c r="C199" s="517"/>
      <c r="D199" s="517"/>
      <c r="E199" s="517"/>
      <c r="F199" s="517"/>
      <c r="G199" s="517"/>
      <c r="H199" s="517"/>
      <c r="I199" s="517"/>
      <c r="J199" s="517"/>
      <c r="K199" s="564"/>
    </row>
    <row r="200" spans="1:11" x14ac:dyDescent="0.2">
      <c r="A200" s="517"/>
      <c r="B200" s="517"/>
      <c r="C200" s="517"/>
      <c r="D200" s="517"/>
      <c r="E200" s="517"/>
      <c r="F200" s="517"/>
      <c r="G200" s="517"/>
      <c r="H200" s="517"/>
      <c r="I200" s="517"/>
      <c r="J200" s="517"/>
      <c r="K200" s="564"/>
    </row>
    <row r="201" spans="1:11" x14ac:dyDescent="0.2">
      <c r="A201" s="517"/>
      <c r="B201" s="517"/>
      <c r="C201" s="517"/>
      <c r="D201" s="517"/>
      <c r="E201" s="517"/>
      <c r="F201" s="517"/>
      <c r="G201" s="517"/>
      <c r="H201" s="517"/>
      <c r="I201" s="517"/>
      <c r="J201" s="517"/>
      <c r="K201" s="564"/>
    </row>
    <row r="202" spans="1:11" x14ac:dyDescent="0.2">
      <c r="A202" s="517"/>
      <c r="B202" s="517"/>
      <c r="C202" s="517"/>
      <c r="D202" s="517"/>
      <c r="E202" s="517"/>
      <c r="F202" s="517"/>
      <c r="G202" s="517"/>
      <c r="H202" s="517"/>
      <c r="I202" s="517"/>
      <c r="J202" s="517"/>
      <c r="K202" s="564"/>
    </row>
    <row r="203" spans="1:11" x14ac:dyDescent="0.2">
      <c r="A203" s="517"/>
      <c r="B203" s="517"/>
      <c r="C203" s="517"/>
      <c r="D203" s="517"/>
      <c r="E203" s="517"/>
      <c r="F203" s="517"/>
      <c r="G203" s="517"/>
      <c r="H203" s="517"/>
      <c r="I203" s="517"/>
      <c r="J203" s="517"/>
      <c r="K203" s="564"/>
    </row>
    <row r="204" spans="1:11" x14ac:dyDescent="0.2">
      <c r="A204" s="517"/>
      <c r="B204" s="517"/>
      <c r="C204" s="517"/>
      <c r="D204" s="517"/>
      <c r="E204" s="517"/>
      <c r="F204" s="517"/>
      <c r="G204" s="517"/>
      <c r="H204" s="517"/>
      <c r="I204" s="517"/>
      <c r="J204" s="517"/>
      <c r="K204" s="564"/>
    </row>
    <row r="205" spans="1:11" x14ac:dyDescent="0.2">
      <c r="A205" s="517"/>
      <c r="B205" s="517"/>
      <c r="C205" s="517"/>
      <c r="D205" s="517"/>
      <c r="E205" s="517"/>
      <c r="F205" s="517"/>
      <c r="G205" s="517"/>
      <c r="H205" s="517"/>
      <c r="I205" s="517"/>
      <c r="J205" s="517"/>
      <c r="K205" s="564"/>
    </row>
    <row r="206" spans="1:11" x14ac:dyDescent="0.2">
      <c r="A206" s="517"/>
      <c r="B206" s="517"/>
      <c r="C206" s="517"/>
      <c r="D206" s="517"/>
      <c r="E206" s="517"/>
      <c r="F206" s="517"/>
      <c r="G206" s="517"/>
      <c r="H206" s="517"/>
      <c r="I206" s="517"/>
      <c r="J206" s="517"/>
      <c r="K206" s="564"/>
    </row>
    <row r="207" spans="1:11" x14ac:dyDescent="0.2">
      <c r="A207" s="517"/>
      <c r="B207" s="517"/>
      <c r="C207" s="517"/>
      <c r="D207" s="517"/>
      <c r="E207" s="517"/>
      <c r="F207" s="517"/>
      <c r="G207" s="517"/>
      <c r="H207" s="517"/>
      <c r="I207" s="517"/>
      <c r="J207" s="517"/>
      <c r="K207" s="564"/>
    </row>
    <row r="208" spans="1:11" x14ac:dyDescent="0.2">
      <c r="A208" s="517"/>
      <c r="B208" s="517"/>
      <c r="C208" s="517"/>
      <c r="D208" s="517"/>
      <c r="E208" s="517"/>
      <c r="F208" s="517"/>
      <c r="G208" s="517"/>
      <c r="H208" s="517"/>
      <c r="I208" s="517"/>
      <c r="J208" s="517"/>
      <c r="K208" s="564"/>
    </row>
    <row r="209" spans="1:11" x14ac:dyDescent="0.2">
      <c r="A209" s="517"/>
      <c r="B209" s="517"/>
      <c r="C209" s="517"/>
      <c r="D209" s="517"/>
      <c r="E209" s="517"/>
      <c r="F209" s="517"/>
      <c r="G209" s="517"/>
      <c r="H209" s="517"/>
      <c r="I209" s="517"/>
      <c r="J209" s="517"/>
      <c r="K209" s="564"/>
    </row>
    <row r="210" spans="1:11" x14ac:dyDescent="0.2">
      <c r="A210" s="517"/>
      <c r="B210" s="517"/>
      <c r="C210" s="517"/>
      <c r="D210" s="517"/>
      <c r="E210" s="517"/>
      <c r="F210" s="517"/>
      <c r="G210" s="517"/>
      <c r="H210" s="517"/>
      <c r="I210" s="517"/>
      <c r="J210" s="517"/>
      <c r="K210" s="564"/>
    </row>
    <row r="211" spans="1:11" x14ac:dyDescent="0.2">
      <c r="A211" s="517"/>
      <c r="B211" s="517"/>
      <c r="C211" s="517"/>
      <c r="D211" s="517"/>
      <c r="E211" s="517"/>
      <c r="F211" s="517"/>
      <c r="G211" s="517"/>
      <c r="H211" s="517"/>
      <c r="I211" s="517"/>
      <c r="J211" s="517"/>
      <c r="K211" s="564"/>
    </row>
    <row r="212" spans="1:11" x14ac:dyDescent="0.2">
      <c r="A212" s="517"/>
      <c r="B212" s="517"/>
      <c r="C212" s="517"/>
      <c r="D212" s="517"/>
      <c r="E212" s="517"/>
      <c r="F212" s="517"/>
      <c r="G212" s="517"/>
      <c r="H212" s="517"/>
      <c r="I212" s="517"/>
      <c r="J212" s="517"/>
      <c r="K212" s="564"/>
    </row>
    <row r="213" spans="1:11" x14ac:dyDescent="0.2">
      <c r="A213" s="517"/>
      <c r="B213" s="517"/>
      <c r="C213" s="517"/>
      <c r="D213" s="517"/>
      <c r="E213" s="517"/>
      <c r="F213" s="517"/>
      <c r="G213" s="517"/>
      <c r="H213" s="517"/>
      <c r="I213" s="517"/>
      <c r="J213" s="517"/>
      <c r="K213" s="564"/>
    </row>
    <row r="214" spans="1:11" x14ac:dyDescent="0.2">
      <c r="A214" s="517"/>
      <c r="B214" s="517"/>
      <c r="C214" s="517"/>
      <c r="D214" s="517"/>
      <c r="E214" s="517"/>
      <c r="F214" s="517"/>
      <c r="G214" s="517"/>
      <c r="H214" s="517"/>
      <c r="I214" s="517"/>
      <c r="J214" s="517"/>
      <c r="K214" s="564"/>
    </row>
    <row r="215" spans="1:11" x14ac:dyDescent="0.2">
      <c r="A215" s="517"/>
      <c r="B215" s="517"/>
      <c r="C215" s="517"/>
      <c r="D215" s="517"/>
      <c r="E215" s="517"/>
      <c r="F215" s="517"/>
      <c r="G215" s="517"/>
      <c r="H215" s="517"/>
      <c r="I215" s="517"/>
      <c r="J215" s="517"/>
      <c r="K215" s="564"/>
    </row>
    <row r="216" spans="1:11" x14ac:dyDescent="0.2">
      <c r="A216" s="517"/>
      <c r="B216" s="517"/>
      <c r="C216" s="517"/>
      <c r="D216" s="517"/>
      <c r="E216" s="517"/>
      <c r="F216" s="517"/>
      <c r="G216" s="517"/>
      <c r="H216" s="517"/>
      <c r="I216" s="517"/>
      <c r="J216" s="517"/>
      <c r="K216" s="564"/>
    </row>
    <row r="217" spans="1:11" x14ac:dyDescent="0.2">
      <c r="A217" s="517"/>
      <c r="B217" s="517"/>
      <c r="C217" s="517"/>
      <c r="D217" s="517"/>
      <c r="E217" s="517"/>
      <c r="F217" s="517"/>
      <c r="G217" s="517"/>
      <c r="H217" s="517"/>
      <c r="I217" s="517"/>
      <c r="J217" s="517"/>
      <c r="K217" s="564"/>
    </row>
    <row r="218" spans="1:11" x14ac:dyDescent="0.2">
      <c r="A218" s="517"/>
      <c r="B218" s="517"/>
      <c r="C218" s="517"/>
      <c r="D218" s="517"/>
      <c r="E218" s="517"/>
      <c r="F218" s="517"/>
      <c r="G218" s="517"/>
      <c r="H218" s="517"/>
      <c r="I218" s="517"/>
      <c r="J218" s="517"/>
      <c r="K218" s="564"/>
    </row>
    <row r="219" spans="1:11" x14ac:dyDescent="0.2">
      <c r="A219" s="517"/>
      <c r="B219" s="517"/>
      <c r="C219" s="517"/>
      <c r="D219" s="517"/>
      <c r="E219" s="517"/>
      <c r="F219" s="517"/>
      <c r="G219" s="517"/>
      <c r="H219" s="517"/>
      <c r="I219" s="517"/>
      <c r="J219" s="517"/>
      <c r="K219" s="564"/>
    </row>
    <row r="220" spans="1:11" x14ac:dyDescent="0.2">
      <c r="A220" s="517"/>
      <c r="B220" s="517"/>
      <c r="C220" s="517"/>
      <c r="D220" s="517"/>
      <c r="E220" s="517"/>
      <c r="F220" s="517"/>
      <c r="G220" s="517"/>
      <c r="H220" s="517"/>
      <c r="I220" s="517"/>
      <c r="J220" s="517"/>
      <c r="K220" s="564"/>
    </row>
    <row r="221" spans="1:11" x14ac:dyDescent="0.2">
      <c r="A221" s="517"/>
      <c r="B221" s="517"/>
      <c r="C221" s="517"/>
      <c r="D221" s="517"/>
      <c r="E221" s="517"/>
      <c r="F221" s="517"/>
      <c r="G221" s="517"/>
      <c r="H221" s="517"/>
      <c r="I221" s="517"/>
      <c r="J221" s="517"/>
      <c r="K221" s="564"/>
    </row>
    <row r="222" spans="1:11" x14ac:dyDescent="0.2">
      <c r="A222" s="517"/>
      <c r="B222" s="517"/>
      <c r="C222" s="517"/>
      <c r="D222" s="517"/>
      <c r="E222" s="517"/>
      <c r="F222" s="517"/>
      <c r="G222" s="517"/>
      <c r="H222" s="517"/>
      <c r="I222" s="517"/>
      <c r="J222" s="517"/>
      <c r="K222" s="564"/>
    </row>
    <row r="223" spans="1:11" x14ac:dyDescent="0.2">
      <c r="A223" s="517"/>
      <c r="B223" s="517"/>
      <c r="C223" s="517"/>
      <c r="D223" s="517"/>
      <c r="E223" s="517"/>
      <c r="F223" s="517"/>
      <c r="G223" s="517"/>
      <c r="H223" s="517"/>
      <c r="I223" s="517"/>
      <c r="J223" s="517"/>
      <c r="K223" s="564"/>
    </row>
    <row r="224" spans="1:11" x14ac:dyDescent="0.2">
      <c r="A224" s="517"/>
      <c r="B224" s="517"/>
      <c r="C224" s="517"/>
      <c r="D224" s="517"/>
      <c r="E224" s="517"/>
      <c r="F224" s="517"/>
      <c r="G224" s="517"/>
      <c r="H224" s="517"/>
      <c r="I224" s="517"/>
      <c r="J224" s="517"/>
      <c r="K224" s="564"/>
    </row>
    <row r="225" spans="1:11" x14ac:dyDescent="0.2">
      <c r="A225" s="517"/>
      <c r="B225" s="517"/>
      <c r="C225" s="517"/>
      <c r="D225" s="517"/>
      <c r="E225" s="517"/>
      <c r="F225" s="517"/>
      <c r="G225" s="517"/>
      <c r="H225" s="517"/>
      <c r="I225" s="517"/>
      <c r="J225" s="517"/>
      <c r="K225" s="564"/>
    </row>
    <row r="226" spans="1:11" x14ac:dyDescent="0.2">
      <c r="A226" s="517"/>
      <c r="B226" s="517"/>
      <c r="C226" s="517"/>
      <c r="D226" s="517"/>
      <c r="E226" s="517"/>
      <c r="F226" s="517"/>
      <c r="G226" s="517"/>
      <c r="H226" s="517"/>
      <c r="I226" s="517"/>
      <c r="J226" s="517"/>
      <c r="K226" s="564"/>
    </row>
    <row r="227" spans="1:11" x14ac:dyDescent="0.2">
      <c r="A227" s="517"/>
      <c r="B227" s="517"/>
      <c r="C227" s="517"/>
      <c r="D227" s="517"/>
      <c r="E227" s="517"/>
      <c r="F227" s="517"/>
      <c r="G227" s="517"/>
      <c r="H227" s="517"/>
      <c r="I227" s="517"/>
      <c r="J227" s="517"/>
      <c r="K227" s="564"/>
    </row>
    <row r="228" spans="1:11" x14ac:dyDescent="0.2">
      <c r="A228" s="517"/>
      <c r="B228" s="517"/>
      <c r="C228" s="517"/>
      <c r="D228" s="517"/>
      <c r="E228" s="517"/>
      <c r="F228" s="517"/>
      <c r="G228" s="517"/>
      <c r="H228" s="517"/>
      <c r="I228" s="517"/>
      <c r="J228" s="517"/>
      <c r="K228" s="564"/>
    </row>
    <row r="229" spans="1:11" x14ac:dyDescent="0.2">
      <c r="A229" s="517"/>
      <c r="B229" s="517"/>
      <c r="C229" s="517"/>
      <c r="D229" s="517"/>
      <c r="E229" s="517"/>
      <c r="F229" s="517"/>
      <c r="G229" s="517"/>
      <c r="H229" s="517"/>
      <c r="I229" s="517"/>
      <c r="J229" s="517"/>
      <c r="K229" s="564"/>
    </row>
    <row r="230" spans="1:11" x14ac:dyDescent="0.2">
      <c r="A230" s="517"/>
      <c r="B230" s="517"/>
      <c r="C230" s="517"/>
      <c r="D230" s="517"/>
      <c r="E230" s="517"/>
      <c r="F230" s="517"/>
      <c r="G230" s="517"/>
      <c r="H230" s="517"/>
      <c r="I230" s="517"/>
      <c r="J230" s="517"/>
      <c r="K230" s="564"/>
    </row>
    <row r="231" spans="1:11" x14ac:dyDescent="0.2">
      <c r="A231" s="517"/>
      <c r="B231" s="517"/>
      <c r="C231" s="517"/>
      <c r="D231" s="517"/>
      <c r="E231" s="517"/>
      <c r="F231" s="517"/>
      <c r="G231" s="517"/>
      <c r="H231" s="517"/>
      <c r="I231" s="517"/>
      <c r="J231" s="517"/>
      <c r="K231" s="564"/>
    </row>
    <row r="232" spans="1:11" x14ac:dyDescent="0.2">
      <c r="A232" s="517"/>
      <c r="B232" s="517"/>
      <c r="C232" s="517"/>
      <c r="D232" s="517"/>
      <c r="E232" s="517"/>
      <c r="F232" s="517"/>
      <c r="G232" s="517"/>
      <c r="H232" s="517"/>
      <c r="I232" s="517"/>
      <c r="J232" s="517"/>
      <c r="K232" s="564"/>
    </row>
    <row r="233" spans="1:11" x14ac:dyDescent="0.2">
      <c r="A233" s="517"/>
      <c r="B233" s="517"/>
      <c r="C233" s="517"/>
      <c r="D233" s="517"/>
      <c r="E233" s="517"/>
      <c r="F233" s="517"/>
      <c r="G233" s="517"/>
      <c r="H233" s="517"/>
      <c r="I233" s="517"/>
      <c r="J233" s="517"/>
      <c r="K233" s="564"/>
    </row>
    <row r="234" spans="1:11" x14ac:dyDescent="0.2">
      <c r="A234" s="517"/>
      <c r="B234" s="517"/>
      <c r="C234" s="517"/>
      <c r="D234" s="517"/>
      <c r="E234" s="517"/>
      <c r="F234" s="517"/>
      <c r="G234" s="517"/>
      <c r="H234" s="517"/>
      <c r="I234" s="517"/>
      <c r="J234" s="517"/>
      <c r="K234" s="564"/>
    </row>
    <row r="235" spans="1:11" x14ac:dyDescent="0.2">
      <c r="A235" s="517"/>
      <c r="B235" s="517"/>
      <c r="C235" s="517"/>
      <c r="D235" s="517"/>
      <c r="E235" s="517"/>
      <c r="F235" s="517"/>
      <c r="G235" s="517"/>
      <c r="H235" s="517"/>
      <c r="I235" s="517"/>
      <c r="J235" s="517"/>
      <c r="K235" s="564"/>
    </row>
    <row r="236" spans="1:11" x14ac:dyDescent="0.2">
      <c r="A236" s="517"/>
      <c r="B236" s="517"/>
      <c r="C236" s="517"/>
      <c r="D236" s="517"/>
      <c r="E236" s="517"/>
      <c r="F236" s="517"/>
      <c r="G236" s="517"/>
      <c r="H236" s="517"/>
      <c r="I236" s="517"/>
      <c r="J236" s="517"/>
      <c r="K236" s="564"/>
    </row>
    <row r="237" spans="1:11" x14ac:dyDescent="0.2">
      <c r="A237" s="517"/>
      <c r="B237" s="517"/>
      <c r="C237" s="517"/>
      <c r="D237" s="517"/>
      <c r="E237" s="517"/>
      <c r="F237" s="517"/>
      <c r="G237" s="517"/>
      <c r="H237" s="517"/>
      <c r="I237" s="517"/>
      <c r="J237" s="517"/>
      <c r="K237" s="564"/>
    </row>
    <row r="238" spans="1:11" x14ac:dyDescent="0.2">
      <c r="A238" s="517"/>
      <c r="B238" s="517"/>
      <c r="C238" s="517"/>
      <c r="D238" s="517"/>
      <c r="E238" s="517"/>
      <c r="F238" s="517"/>
      <c r="G238" s="517"/>
      <c r="H238" s="517"/>
      <c r="I238" s="517"/>
      <c r="J238" s="517"/>
      <c r="K238" s="564"/>
    </row>
    <row r="239" spans="1:11" x14ac:dyDescent="0.2">
      <c r="A239" s="517"/>
      <c r="B239" s="517"/>
      <c r="C239" s="517"/>
      <c r="D239" s="517"/>
      <c r="E239" s="517"/>
      <c r="F239" s="517"/>
      <c r="G239" s="517"/>
      <c r="H239" s="517"/>
      <c r="I239" s="517"/>
      <c r="J239" s="517"/>
      <c r="K239" s="564"/>
    </row>
    <row r="240" spans="1:11" x14ac:dyDescent="0.2">
      <c r="A240" s="517"/>
      <c r="B240" s="517"/>
      <c r="C240" s="517"/>
      <c r="D240" s="517"/>
      <c r="E240" s="517"/>
      <c r="F240" s="517"/>
      <c r="G240" s="517"/>
      <c r="H240" s="517"/>
      <c r="I240" s="517"/>
      <c r="J240" s="517"/>
      <c r="K240" s="564"/>
    </row>
    <row r="241" spans="1:11" x14ac:dyDescent="0.2">
      <c r="A241" s="517"/>
      <c r="B241" s="517"/>
      <c r="C241" s="517"/>
      <c r="D241" s="517"/>
      <c r="E241" s="517"/>
      <c r="F241" s="517"/>
      <c r="G241" s="517"/>
      <c r="H241" s="517"/>
      <c r="I241" s="517"/>
      <c r="J241" s="517"/>
      <c r="K241" s="564"/>
    </row>
    <row r="242" spans="1:11" x14ac:dyDescent="0.2">
      <c r="A242" s="517"/>
      <c r="B242" s="517"/>
      <c r="C242" s="517"/>
      <c r="D242" s="517"/>
      <c r="E242" s="517"/>
      <c r="F242" s="517"/>
      <c r="G242" s="517"/>
      <c r="H242" s="517"/>
      <c r="I242" s="517"/>
      <c r="J242" s="517"/>
      <c r="K242" s="564"/>
    </row>
    <row r="243" spans="1:11" x14ac:dyDescent="0.2">
      <c r="A243" s="517"/>
      <c r="B243" s="517"/>
      <c r="C243" s="517"/>
      <c r="D243" s="517"/>
      <c r="E243" s="517"/>
      <c r="F243" s="517"/>
      <c r="G243" s="517"/>
      <c r="H243" s="517"/>
      <c r="I243" s="517"/>
      <c r="J243" s="517"/>
      <c r="K243" s="564"/>
    </row>
    <row r="244" spans="1:11" x14ac:dyDescent="0.2">
      <c r="A244" s="517"/>
      <c r="B244" s="517"/>
      <c r="C244" s="517"/>
      <c r="D244" s="517"/>
      <c r="E244" s="517"/>
      <c r="F244" s="517"/>
      <c r="G244" s="517"/>
      <c r="H244" s="517"/>
      <c r="I244" s="517"/>
      <c r="J244" s="517"/>
      <c r="K244" s="564"/>
    </row>
    <row r="245" spans="1:11" x14ac:dyDescent="0.2">
      <c r="A245" s="517"/>
      <c r="B245" s="517"/>
      <c r="C245" s="517"/>
      <c r="D245" s="517"/>
      <c r="E245" s="517"/>
      <c r="F245" s="517"/>
      <c r="G245" s="517"/>
      <c r="H245" s="517"/>
      <c r="I245" s="517"/>
      <c r="J245" s="517"/>
      <c r="K245" s="564"/>
    </row>
    <row r="246" spans="1:11" x14ac:dyDescent="0.2">
      <c r="A246" s="517"/>
      <c r="B246" s="517"/>
      <c r="C246" s="517"/>
      <c r="D246" s="517"/>
      <c r="E246" s="517"/>
      <c r="F246" s="517"/>
      <c r="G246" s="517"/>
      <c r="H246" s="517"/>
      <c r="I246" s="517"/>
      <c r="J246" s="517"/>
      <c r="K246" s="564"/>
    </row>
    <row r="247" spans="1:11" x14ac:dyDescent="0.2">
      <c r="A247" s="517"/>
      <c r="B247" s="517"/>
      <c r="C247" s="517"/>
      <c r="D247" s="517"/>
      <c r="E247" s="517"/>
      <c r="F247" s="517"/>
      <c r="G247" s="517"/>
      <c r="H247" s="517"/>
      <c r="I247" s="517"/>
      <c r="J247" s="517"/>
      <c r="K247" s="564"/>
    </row>
    <row r="248" spans="1:11" x14ac:dyDescent="0.2">
      <c r="A248" s="517"/>
      <c r="B248" s="517"/>
      <c r="C248" s="517"/>
      <c r="D248" s="517"/>
      <c r="E248" s="517"/>
      <c r="F248" s="517"/>
      <c r="G248" s="517"/>
      <c r="H248" s="517"/>
      <c r="I248" s="517"/>
      <c r="J248" s="517"/>
      <c r="K248" s="564"/>
    </row>
    <row r="249" spans="1:11" x14ac:dyDescent="0.2">
      <c r="A249" s="517"/>
      <c r="B249" s="517"/>
      <c r="C249" s="517"/>
      <c r="D249" s="517"/>
      <c r="E249" s="517"/>
      <c r="F249" s="517"/>
      <c r="G249" s="517"/>
      <c r="H249" s="517"/>
      <c r="I249" s="517"/>
      <c r="J249" s="517"/>
      <c r="K249" s="564"/>
    </row>
    <row r="250" spans="1:11" x14ac:dyDescent="0.2">
      <c r="A250" s="517"/>
      <c r="B250" s="517"/>
      <c r="C250" s="517"/>
      <c r="D250" s="517"/>
      <c r="E250" s="517"/>
      <c r="F250" s="517"/>
      <c r="G250" s="517"/>
      <c r="H250" s="517"/>
      <c r="I250" s="517"/>
      <c r="J250" s="517"/>
      <c r="K250" s="564"/>
    </row>
    <row r="251" spans="1:11" x14ac:dyDescent="0.2">
      <c r="A251" s="517"/>
      <c r="B251" s="517"/>
      <c r="C251" s="517"/>
      <c r="D251" s="517"/>
      <c r="E251" s="517"/>
      <c r="F251" s="517"/>
      <c r="G251" s="517"/>
      <c r="H251" s="517"/>
      <c r="I251" s="517"/>
      <c r="J251" s="517"/>
      <c r="K251" s="564"/>
    </row>
    <row r="252" spans="1:11" x14ac:dyDescent="0.2">
      <c r="A252" s="517"/>
      <c r="B252" s="517"/>
      <c r="C252" s="517"/>
      <c r="D252" s="517"/>
      <c r="E252" s="517"/>
      <c r="F252" s="517"/>
      <c r="G252" s="517"/>
      <c r="H252" s="517"/>
      <c r="I252" s="517"/>
      <c r="J252" s="517"/>
      <c r="K252" s="564"/>
    </row>
    <row r="253" spans="1:11" x14ac:dyDescent="0.2">
      <c r="A253" s="517"/>
      <c r="B253" s="517"/>
      <c r="C253" s="517"/>
      <c r="D253" s="517"/>
      <c r="E253" s="517"/>
      <c r="F253" s="517"/>
      <c r="G253" s="517"/>
      <c r="H253" s="517"/>
      <c r="I253" s="517"/>
      <c r="J253" s="517"/>
      <c r="K253" s="564"/>
    </row>
    <row r="254" spans="1:11" x14ac:dyDescent="0.2">
      <c r="A254" s="517"/>
      <c r="B254" s="517"/>
      <c r="C254" s="517"/>
      <c r="D254" s="517"/>
      <c r="E254" s="517"/>
      <c r="F254" s="517"/>
      <c r="G254" s="517"/>
      <c r="H254" s="517"/>
      <c r="I254" s="517"/>
      <c r="J254" s="517"/>
      <c r="K254" s="564"/>
    </row>
    <row r="255" spans="1:11" x14ac:dyDescent="0.2">
      <c r="A255" s="517"/>
      <c r="B255" s="517"/>
      <c r="C255" s="517"/>
      <c r="D255" s="517"/>
      <c r="E255" s="517"/>
      <c r="F255" s="517"/>
      <c r="G255" s="517"/>
      <c r="H255" s="517"/>
      <c r="I255" s="517"/>
      <c r="J255" s="517"/>
      <c r="K255" s="564"/>
    </row>
    <row r="256" spans="1:11" x14ac:dyDescent="0.2">
      <c r="A256" s="517"/>
      <c r="B256" s="517"/>
      <c r="C256" s="517"/>
      <c r="D256" s="517"/>
      <c r="E256" s="517"/>
      <c r="F256" s="517"/>
      <c r="G256" s="517"/>
      <c r="H256" s="517"/>
      <c r="I256" s="517"/>
      <c r="J256" s="517"/>
      <c r="K256" s="564"/>
    </row>
    <row r="257" spans="1:11" x14ac:dyDescent="0.2">
      <c r="A257" s="517"/>
      <c r="B257" s="517"/>
      <c r="C257" s="517"/>
      <c r="D257" s="517"/>
      <c r="E257" s="517"/>
      <c r="F257" s="517"/>
      <c r="G257" s="517"/>
      <c r="H257" s="517"/>
      <c r="I257" s="517"/>
      <c r="J257" s="517"/>
      <c r="K257" s="564"/>
    </row>
    <row r="258" spans="1:11" x14ac:dyDescent="0.2">
      <c r="A258" s="517"/>
      <c r="B258" s="517"/>
      <c r="C258" s="517"/>
      <c r="D258" s="517"/>
      <c r="E258" s="517"/>
      <c r="F258" s="517"/>
      <c r="G258" s="517"/>
      <c r="H258" s="517"/>
      <c r="I258" s="517"/>
      <c r="J258" s="517"/>
      <c r="K258" s="564"/>
    </row>
    <row r="259" spans="1:11" x14ac:dyDescent="0.2">
      <c r="A259" s="517"/>
      <c r="B259" s="517"/>
      <c r="C259" s="517"/>
      <c r="D259" s="517"/>
      <c r="E259" s="517"/>
      <c r="F259" s="517"/>
      <c r="G259" s="517"/>
      <c r="H259" s="517"/>
      <c r="I259" s="517"/>
      <c r="J259" s="517"/>
      <c r="K259" s="564"/>
    </row>
    <row r="260" spans="1:11" x14ac:dyDescent="0.2">
      <c r="A260" s="517"/>
      <c r="B260" s="517"/>
      <c r="C260" s="517"/>
      <c r="D260" s="517"/>
      <c r="E260" s="517"/>
      <c r="F260" s="517"/>
      <c r="G260" s="517"/>
      <c r="H260" s="517"/>
      <c r="I260" s="517"/>
      <c r="J260" s="517"/>
      <c r="K260" s="564"/>
    </row>
    <row r="261" spans="1:11" x14ac:dyDescent="0.2">
      <c r="A261" s="517"/>
      <c r="B261" s="517"/>
      <c r="C261" s="517"/>
      <c r="D261" s="517"/>
      <c r="E261" s="517"/>
      <c r="F261" s="517"/>
      <c r="G261" s="517"/>
      <c r="H261" s="517"/>
      <c r="I261" s="517"/>
      <c r="J261" s="517"/>
      <c r="K261" s="564"/>
    </row>
    <row r="262" spans="1:11" x14ac:dyDescent="0.2">
      <c r="A262" s="517"/>
      <c r="B262" s="517"/>
      <c r="C262" s="517"/>
      <c r="D262" s="517"/>
      <c r="E262" s="517"/>
      <c r="F262" s="517"/>
      <c r="G262" s="517"/>
      <c r="H262" s="517"/>
      <c r="I262" s="517"/>
      <c r="J262" s="517"/>
      <c r="K262" s="564"/>
    </row>
    <row r="263" spans="1:11" x14ac:dyDescent="0.2">
      <c r="A263" s="517"/>
      <c r="B263" s="517"/>
      <c r="C263" s="517"/>
      <c r="D263" s="517"/>
      <c r="E263" s="517"/>
      <c r="F263" s="517"/>
      <c r="G263" s="517"/>
      <c r="H263" s="517"/>
      <c r="I263" s="517"/>
      <c r="J263" s="517"/>
      <c r="K263" s="564"/>
    </row>
    <row r="264" spans="1:11" x14ac:dyDescent="0.2">
      <c r="A264" s="517"/>
      <c r="B264" s="517"/>
      <c r="C264" s="517"/>
      <c r="D264" s="517"/>
      <c r="E264" s="517"/>
      <c r="F264" s="517"/>
      <c r="G264" s="517"/>
      <c r="H264" s="517"/>
      <c r="I264" s="517"/>
      <c r="J264" s="517"/>
      <c r="K264" s="564"/>
    </row>
    <row r="265" spans="1:11" x14ac:dyDescent="0.2">
      <c r="A265" s="517"/>
      <c r="B265" s="517"/>
      <c r="C265" s="517"/>
      <c r="D265" s="517"/>
      <c r="E265" s="517"/>
      <c r="F265" s="517"/>
      <c r="G265" s="517"/>
      <c r="H265" s="517"/>
      <c r="I265" s="517"/>
      <c r="J265" s="517"/>
      <c r="K265" s="564"/>
    </row>
    <row r="266" spans="1:11" x14ac:dyDescent="0.2">
      <c r="A266" s="517"/>
      <c r="B266" s="517"/>
      <c r="C266" s="517"/>
      <c r="D266" s="517"/>
      <c r="E266" s="517"/>
      <c r="F266" s="517"/>
      <c r="G266" s="517"/>
      <c r="H266" s="517"/>
      <c r="I266" s="517"/>
      <c r="J266" s="517"/>
      <c r="K266" s="564"/>
    </row>
    <row r="267" spans="1:11" x14ac:dyDescent="0.2">
      <c r="A267" s="517"/>
      <c r="B267" s="517"/>
      <c r="C267" s="517"/>
      <c r="D267" s="517"/>
      <c r="E267" s="517"/>
      <c r="F267" s="517"/>
      <c r="G267" s="517"/>
      <c r="H267" s="517"/>
      <c r="I267" s="517"/>
      <c r="J267" s="517"/>
      <c r="K267" s="564"/>
    </row>
    <row r="268" spans="1:11" x14ac:dyDescent="0.2">
      <c r="A268" s="517"/>
      <c r="B268" s="517"/>
      <c r="C268" s="517"/>
      <c r="D268" s="517"/>
      <c r="E268" s="517"/>
      <c r="F268" s="517"/>
      <c r="G268" s="517"/>
      <c r="H268" s="517"/>
      <c r="I268" s="517"/>
      <c r="J268" s="517"/>
      <c r="K268" s="564"/>
    </row>
    <row r="269" spans="1:11" x14ac:dyDescent="0.2">
      <c r="A269" s="517"/>
      <c r="B269" s="517"/>
      <c r="C269" s="517"/>
      <c r="D269" s="517"/>
      <c r="E269" s="517"/>
      <c r="F269" s="517"/>
      <c r="G269" s="517"/>
      <c r="H269" s="517"/>
      <c r="I269" s="517"/>
      <c r="J269" s="517"/>
      <c r="K269" s="564"/>
    </row>
    <row r="270" spans="1:11" x14ac:dyDescent="0.2">
      <c r="A270" s="517"/>
      <c r="B270" s="517"/>
      <c r="C270" s="517"/>
      <c r="D270" s="517"/>
      <c r="E270" s="517"/>
      <c r="F270" s="517"/>
      <c r="G270" s="517"/>
      <c r="H270" s="517"/>
      <c r="I270" s="517"/>
      <c r="J270" s="517"/>
      <c r="K270" s="564"/>
    </row>
    <row r="271" spans="1:11" x14ac:dyDescent="0.2">
      <c r="A271" s="517"/>
      <c r="B271" s="517"/>
      <c r="C271" s="517"/>
      <c r="D271" s="517"/>
      <c r="E271" s="517"/>
      <c r="F271" s="517"/>
      <c r="G271" s="517"/>
      <c r="H271" s="517"/>
      <c r="I271" s="517"/>
      <c r="J271" s="517"/>
      <c r="K271" s="564"/>
    </row>
    <row r="272" spans="1:11" x14ac:dyDescent="0.2">
      <c r="A272" s="517"/>
      <c r="B272" s="517"/>
      <c r="C272" s="517"/>
      <c r="D272" s="517"/>
      <c r="E272" s="517"/>
      <c r="F272" s="517"/>
      <c r="G272" s="517"/>
      <c r="H272" s="517"/>
      <c r="I272" s="517"/>
      <c r="J272" s="517"/>
      <c r="K272" s="564"/>
    </row>
    <row r="273" spans="1:11" x14ac:dyDescent="0.2">
      <c r="A273" s="517"/>
      <c r="B273" s="517"/>
      <c r="C273" s="517"/>
      <c r="D273" s="517"/>
      <c r="E273" s="517"/>
      <c r="F273" s="517"/>
      <c r="G273" s="517"/>
      <c r="H273" s="517"/>
      <c r="I273" s="517"/>
      <c r="J273" s="517"/>
      <c r="K273" s="564"/>
    </row>
    <row r="274" spans="1:11" x14ac:dyDescent="0.2">
      <c r="A274" s="517"/>
      <c r="B274" s="517"/>
      <c r="C274" s="517"/>
      <c r="D274" s="517"/>
      <c r="E274" s="517"/>
      <c r="F274" s="517"/>
      <c r="G274" s="517"/>
      <c r="H274" s="517"/>
      <c r="I274" s="517"/>
      <c r="J274" s="517"/>
      <c r="K274" s="564"/>
    </row>
    <row r="275" spans="1:11" x14ac:dyDescent="0.2">
      <c r="A275" s="517"/>
      <c r="B275" s="517"/>
      <c r="C275" s="517"/>
      <c r="D275" s="517"/>
      <c r="E275" s="517"/>
      <c r="F275" s="517"/>
      <c r="G275" s="517"/>
      <c r="H275" s="517"/>
      <c r="I275" s="517"/>
      <c r="J275" s="517"/>
      <c r="K275" s="564"/>
    </row>
    <row r="276" spans="1:11" x14ac:dyDescent="0.2">
      <c r="A276" s="517"/>
      <c r="B276" s="517"/>
      <c r="C276" s="517"/>
      <c r="D276" s="517"/>
      <c r="E276" s="517"/>
      <c r="F276" s="517"/>
      <c r="G276" s="517"/>
      <c r="H276" s="517"/>
      <c r="I276" s="517"/>
      <c r="J276" s="517"/>
      <c r="K276" s="564"/>
    </row>
    <row r="277" spans="1:11" x14ac:dyDescent="0.2">
      <c r="A277" s="517"/>
      <c r="B277" s="517"/>
      <c r="C277" s="517"/>
      <c r="D277" s="517"/>
      <c r="E277" s="517"/>
      <c r="F277" s="517"/>
      <c r="G277" s="517"/>
      <c r="H277" s="517"/>
      <c r="I277" s="517"/>
      <c r="J277" s="517"/>
      <c r="K277" s="564"/>
    </row>
    <row r="278" spans="1:11" x14ac:dyDescent="0.2">
      <c r="A278" s="517"/>
      <c r="B278" s="517"/>
      <c r="C278" s="517"/>
      <c r="D278" s="517"/>
      <c r="E278" s="517"/>
      <c r="F278" s="517"/>
      <c r="G278" s="517"/>
      <c r="H278" s="517"/>
      <c r="I278" s="517"/>
      <c r="J278" s="517"/>
      <c r="K278" s="564"/>
    </row>
    <row r="279" spans="1:11" x14ac:dyDescent="0.2">
      <c r="A279" s="517"/>
      <c r="B279" s="517"/>
      <c r="C279" s="517"/>
      <c r="D279" s="517"/>
      <c r="E279" s="517"/>
      <c r="F279" s="517"/>
      <c r="G279" s="517"/>
      <c r="H279" s="517"/>
      <c r="I279" s="517"/>
      <c r="J279" s="517"/>
      <c r="K279" s="564"/>
    </row>
    <row r="280" spans="1:11" x14ac:dyDescent="0.2">
      <c r="A280" s="517"/>
      <c r="B280" s="517"/>
      <c r="C280" s="517"/>
      <c r="D280" s="517"/>
      <c r="E280" s="517"/>
      <c r="F280" s="517"/>
      <c r="G280" s="517"/>
      <c r="H280" s="517"/>
      <c r="I280" s="517"/>
      <c r="J280" s="517"/>
      <c r="K280" s="564"/>
    </row>
    <row r="281" spans="1:11" x14ac:dyDescent="0.2">
      <c r="A281" s="517"/>
      <c r="B281" s="517"/>
      <c r="C281" s="517"/>
      <c r="D281" s="517"/>
      <c r="E281" s="517"/>
      <c r="F281" s="517"/>
      <c r="G281" s="517"/>
      <c r="H281" s="517"/>
      <c r="I281" s="517"/>
      <c r="J281" s="517"/>
      <c r="K281" s="564"/>
    </row>
    <row r="282" spans="1:11" x14ac:dyDescent="0.2">
      <c r="A282" s="517"/>
      <c r="B282" s="517"/>
      <c r="C282" s="517"/>
      <c r="D282" s="517"/>
      <c r="E282" s="517"/>
      <c r="F282" s="517"/>
      <c r="G282" s="517"/>
      <c r="H282" s="517"/>
      <c r="I282" s="517"/>
      <c r="J282" s="517"/>
      <c r="K282" s="564"/>
    </row>
    <row r="283" spans="1:11" x14ac:dyDescent="0.2">
      <c r="A283" s="517"/>
      <c r="B283" s="517"/>
      <c r="C283" s="517"/>
      <c r="D283" s="517"/>
      <c r="E283" s="517"/>
      <c r="F283" s="517"/>
      <c r="G283" s="517"/>
      <c r="H283" s="517"/>
      <c r="I283" s="517"/>
      <c r="J283" s="517"/>
      <c r="K283" s="564"/>
    </row>
    <row r="284" spans="1:11" x14ac:dyDescent="0.2">
      <c r="A284" s="517"/>
      <c r="B284" s="517"/>
      <c r="C284" s="517"/>
      <c r="D284" s="517"/>
      <c r="E284" s="517"/>
      <c r="F284" s="517"/>
      <c r="G284" s="517"/>
      <c r="H284" s="517"/>
      <c r="I284" s="517"/>
      <c r="J284" s="517"/>
      <c r="K284" s="564"/>
    </row>
    <row r="285" spans="1:11" x14ac:dyDescent="0.2">
      <c r="A285" s="517"/>
      <c r="B285" s="517"/>
      <c r="C285" s="517"/>
      <c r="D285" s="517"/>
      <c r="E285" s="517"/>
      <c r="F285" s="517"/>
      <c r="G285" s="517"/>
      <c r="H285" s="517"/>
      <c r="I285" s="517"/>
      <c r="J285" s="517"/>
      <c r="K285" s="564"/>
    </row>
    <row r="286" spans="1:11" x14ac:dyDescent="0.2">
      <c r="A286" s="517"/>
      <c r="B286" s="517"/>
      <c r="C286" s="517"/>
      <c r="D286" s="517"/>
      <c r="E286" s="517"/>
      <c r="F286" s="517"/>
      <c r="G286" s="517"/>
      <c r="H286" s="517"/>
      <c r="I286" s="517"/>
      <c r="J286" s="517"/>
      <c r="K286" s="564"/>
    </row>
    <row r="287" spans="1:11" x14ac:dyDescent="0.2">
      <c r="A287" s="517"/>
      <c r="B287" s="517"/>
      <c r="C287" s="517"/>
      <c r="D287" s="517"/>
      <c r="E287" s="517"/>
      <c r="F287" s="517"/>
      <c r="G287" s="517"/>
      <c r="H287" s="517"/>
      <c r="I287" s="517"/>
      <c r="J287" s="517"/>
      <c r="K287" s="564"/>
    </row>
    <row r="288" spans="1:11" x14ac:dyDescent="0.2">
      <c r="A288" s="517"/>
      <c r="B288" s="517"/>
      <c r="C288" s="517"/>
      <c r="D288" s="517"/>
      <c r="E288" s="517"/>
      <c r="F288" s="517"/>
      <c r="G288" s="517"/>
      <c r="H288" s="517"/>
      <c r="I288" s="517"/>
      <c r="J288" s="517"/>
      <c r="K288" s="564"/>
    </row>
    <row r="289" spans="1:11" x14ac:dyDescent="0.2">
      <c r="A289" s="517"/>
      <c r="B289" s="517"/>
      <c r="C289" s="517"/>
      <c r="D289" s="517"/>
      <c r="E289" s="517"/>
      <c r="F289" s="517"/>
      <c r="G289" s="517"/>
      <c r="H289" s="517"/>
      <c r="I289" s="517"/>
      <c r="J289" s="517"/>
      <c r="K289" s="564"/>
    </row>
    <row r="290" spans="1:11" x14ac:dyDescent="0.2">
      <c r="A290" s="517"/>
      <c r="B290" s="517"/>
      <c r="C290" s="517"/>
      <c r="D290" s="517"/>
      <c r="E290" s="517"/>
      <c r="F290" s="517"/>
      <c r="G290" s="517"/>
      <c r="H290" s="517"/>
      <c r="I290" s="517"/>
      <c r="J290" s="517"/>
      <c r="K290" s="564"/>
    </row>
    <row r="291" spans="1:11" x14ac:dyDescent="0.2">
      <c r="A291" s="517"/>
      <c r="B291" s="517"/>
      <c r="C291" s="517"/>
      <c r="D291" s="517"/>
      <c r="E291" s="517"/>
      <c r="F291" s="517"/>
      <c r="G291" s="517"/>
      <c r="H291" s="517"/>
      <c r="I291" s="517"/>
      <c r="J291" s="517"/>
      <c r="K291" s="564"/>
    </row>
    <row r="292" spans="1:11" x14ac:dyDescent="0.2">
      <c r="A292" s="517"/>
      <c r="B292" s="517"/>
      <c r="C292" s="517"/>
      <c r="D292" s="517"/>
      <c r="E292" s="517"/>
      <c r="F292" s="517"/>
      <c r="G292" s="517"/>
      <c r="H292" s="517"/>
      <c r="I292" s="517"/>
      <c r="J292" s="517"/>
      <c r="K292" s="564"/>
    </row>
    <row r="293" spans="1:11" x14ac:dyDescent="0.2">
      <c r="A293" s="517"/>
      <c r="B293" s="517"/>
      <c r="C293" s="517"/>
      <c r="D293" s="517"/>
      <c r="E293" s="517"/>
      <c r="F293" s="517"/>
      <c r="G293" s="517"/>
      <c r="H293" s="517"/>
      <c r="I293" s="517"/>
      <c r="J293" s="517"/>
      <c r="K293" s="564"/>
    </row>
    <row r="294" spans="1:11" x14ac:dyDescent="0.2">
      <c r="A294" s="517"/>
      <c r="B294" s="517"/>
      <c r="C294" s="517"/>
      <c r="D294" s="517"/>
      <c r="E294" s="517"/>
      <c r="F294" s="517"/>
      <c r="G294" s="517"/>
      <c r="H294" s="517"/>
      <c r="I294" s="517"/>
      <c r="J294" s="517"/>
      <c r="K294" s="564"/>
    </row>
    <row r="295" spans="1:11" x14ac:dyDescent="0.2">
      <c r="A295" s="517"/>
      <c r="B295" s="517"/>
      <c r="C295" s="517"/>
      <c r="D295" s="517"/>
      <c r="E295" s="517"/>
      <c r="F295" s="517"/>
      <c r="G295" s="517"/>
      <c r="H295" s="517"/>
      <c r="I295" s="517"/>
      <c r="J295" s="517"/>
      <c r="K295" s="564"/>
    </row>
    <row r="296" spans="1:11" x14ac:dyDescent="0.2">
      <c r="A296" s="517"/>
      <c r="B296" s="517"/>
      <c r="C296" s="517"/>
      <c r="D296" s="517"/>
      <c r="E296" s="517"/>
      <c r="F296" s="517"/>
      <c r="G296" s="517"/>
      <c r="H296" s="517"/>
      <c r="I296" s="517"/>
      <c r="J296" s="517"/>
      <c r="K296" s="564"/>
    </row>
    <row r="297" spans="1:11" x14ac:dyDescent="0.2">
      <c r="A297" s="517"/>
      <c r="B297" s="517"/>
      <c r="C297" s="517"/>
      <c r="D297" s="517"/>
      <c r="E297" s="517"/>
      <c r="F297" s="517"/>
      <c r="G297" s="517"/>
      <c r="H297" s="517"/>
      <c r="I297" s="517"/>
      <c r="J297" s="517"/>
      <c r="K297" s="564"/>
    </row>
    <row r="298" spans="1:11" x14ac:dyDescent="0.2">
      <c r="A298" s="517"/>
      <c r="B298" s="517"/>
      <c r="C298" s="517"/>
      <c r="D298" s="517"/>
      <c r="E298" s="517"/>
      <c r="F298" s="517"/>
      <c r="G298" s="517"/>
      <c r="H298" s="517"/>
      <c r="I298" s="517"/>
      <c r="J298" s="517"/>
      <c r="K298" s="564"/>
    </row>
    <row r="299" spans="1:11" x14ac:dyDescent="0.2">
      <c r="A299" s="517"/>
      <c r="B299" s="517"/>
      <c r="C299" s="517"/>
      <c r="D299" s="517"/>
      <c r="E299" s="517"/>
      <c r="F299" s="517"/>
      <c r="G299" s="517"/>
      <c r="H299" s="517"/>
      <c r="I299" s="517"/>
      <c r="J299" s="517"/>
      <c r="K299" s="564"/>
    </row>
    <row r="300" spans="1:11" x14ac:dyDescent="0.2">
      <c r="A300" s="517"/>
      <c r="B300" s="517"/>
      <c r="C300" s="517"/>
      <c r="D300" s="517"/>
      <c r="E300" s="517"/>
      <c r="F300" s="517"/>
      <c r="G300" s="517"/>
      <c r="H300" s="517"/>
      <c r="I300" s="517"/>
      <c r="J300" s="517"/>
      <c r="K300" s="564"/>
    </row>
    <row r="301" spans="1:11" x14ac:dyDescent="0.2">
      <c r="A301" s="517"/>
      <c r="B301" s="517"/>
      <c r="C301" s="517"/>
      <c r="D301" s="517"/>
      <c r="E301" s="517"/>
      <c r="F301" s="517"/>
      <c r="G301" s="517"/>
      <c r="H301" s="517"/>
      <c r="I301" s="517"/>
      <c r="J301" s="517"/>
      <c r="K301" s="564"/>
    </row>
    <row r="302" spans="1:11" x14ac:dyDescent="0.2">
      <c r="A302" s="517"/>
      <c r="B302" s="517"/>
      <c r="C302" s="517"/>
      <c r="D302" s="517"/>
      <c r="E302" s="517"/>
      <c r="F302" s="517"/>
      <c r="G302" s="517"/>
      <c r="H302" s="517"/>
      <c r="I302" s="517"/>
      <c r="J302" s="517"/>
      <c r="K302" s="564"/>
    </row>
    <row r="303" spans="1:11" x14ac:dyDescent="0.2">
      <c r="A303" s="517"/>
      <c r="B303" s="517"/>
      <c r="C303" s="517"/>
      <c r="D303" s="517"/>
      <c r="E303" s="517"/>
      <c r="F303" s="517"/>
      <c r="G303" s="517"/>
      <c r="H303" s="517"/>
      <c r="I303" s="517"/>
      <c r="J303" s="517"/>
      <c r="K303" s="564"/>
    </row>
    <row r="304" spans="1:11" x14ac:dyDescent="0.2">
      <c r="A304" s="517"/>
      <c r="B304" s="517"/>
      <c r="C304" s="517"/>
      <c r="D304" s="517"/>
      <c r="E304" s="517"/>
      <c r="F304" s="517"/>
      <c r="G304" s="517"/>
      <c r="H304" s="517"/>
      <c r="I304" s="517"/>
      <c r="J304" s="517"/>
      <c r="K304" s="564"/>
    </row>
    <row r="305" spans="1:11" x14ac:dyDescent="0.2">
      <c r="A305" s="517"/>
      <c r="B305" s="517"/>
      <c r="C305" s="517"/>
      <c r="D305" s="517"/>
      <c r="E305" s="517"/>
      <c r="F305" s="517"/>
      <c r="G305" s="517"/>
      <c r="H305" s="517"/>
      <c r="I305" s="517"/>
      <c r="J305" s="517"/>
      <c r="K305" s="564"/>
    </row>
    <row r="306" spans="1:11" x14ac:dyDescent="0.2">
      <c r="A306" s="517"/>
      <c r="B306" s="517"/>
      <c r="C306" s="517"/>
      <c r="D306" s="517"/>
      <c r="E306" s="517"/>
      <c r="F306" s="517"/>
      <c r="G306" s="517"/>
      <c r="H306" s="517"/>
      <c r="I306" s="517"/>
      <c r="J306" s="517"/>
      <c r="K306" s="564"/>
    </row>
    <row r="307" spans="1:11" x14ac:dyDescent="0.2">
      <c r="A307" s="517"/>
      <c r="B307" s="517"/>
      <c r="C307" s="517"/>
      <c r="D307" s="517"/>
      <c r="E307" s="517"/>
      <c r="F307" s="517"/>
      <c r="G307" s="517"/>
      <c r="H307" s="517"/>
      <c r="I307" s="517"/>
      <c r="J307" s="517"/>
      <c r="K307" s="564"/>
    </row>
    <row r="308" spans="1:11" x14ac:dyDescent="0.2">
      <c r="A308" s="517"/>
      <c r="B308" s="517"/>
      <c r="C308" s="517"/>
      <c r="D308" s="517"/>
      <c r="E308" s="517"/>
      <c r="F308" s="517"/>
      <c r="G308" s="517"/>
      <c r="H308" s="517"/>
      <c r="I308" s="517"/>
      <c r="J308" s="517"/>
      <c r="K308" s="564"/>
    </row>
    <row r="309" spans="1:11" x14ac:dyDescent="0.2">
      <c r="A309" s="517"/>
      <c r="B309" s="517"/>
      <c r="C309" s="517"/>
      <c r="D309" s="517"/>
      <c r="E309" s="517"/>
      <c r="F309" s="517"/>
      <c r="G309" s="517"/>
      <c r="H309" s="517"/>
      <c r="I309" s="517"/>
      <c r="J309" s="517"/>
      <c r="K309" s="564"/>
    </row>
    <row r="310" spans="1:11" x14ac:dyDescent="0.2">
      <c r="A310" s="517"/>
      <c r="B310" s="517"/>
      <c r="C310" s="517"/>
      <c r="D310" s="517"/>
      <c r="E310" s="517"/>
      <c r="F310" s="517"/>
      <c r="G310" s="517"/>
      <c r="H310" s="517"/>
      <c r="I310" s="517"/>
      <c r="J310" s="517"/>
      <c r="K310" s="564"/>
    </row>
    <row r="311" spans="1:11" x14ac:dyDescent="0.2">
      <c r="A311" s="517"/>
      <c r="B311" s="517"/>
      <c r="C311" s="517"/>
      <c r="D311" s="517"/>
      <c r="E311" s="517"/>
      <c r="F311" s="517"/>
      <c r="G311" s="517"/>
      <c r="H311" s="517"/>
      <c r="I311" s="517"/>
      <c r="J311" s="517"/>
      <c r="K311" s="564"/>
    </row>
    <row r="312" spans="1:11" x14ac:dyDescent="0.2">
      <c r="A312" s="517"/>
      <c r="B312" s="517"/>
      <c r="C312" s="517"/>
      <c r="D312" s="517"/>
      <c r="E312" s="517"/>
      <c r="F312" s="517"/>
      <c r="G312" s="517"/>
      <c r="H312" s="517"/>
      <c r="I312" s="517"/>
      <c r="J312" s="517"/>
      <c r="K312" s="564"/>
    </row>
    <row r="313" spans="1:11" x14ac:dyDescent="0.2">
      <c r="A313" s="517"/>
      <c r="B313" s="517"/>
      <c r="C313" s="517"/>
      <c r="D313" s="517"/>
      <c r="E313" s="517"/>
      <c r="F313" s="517"/>
      <c r="G313" s="517"/>
      <c r="H313" s="517"/>
      <c r="I313" s="517"/>
      <c r="J313" s="517"/>
      <c r="K313" s="564"/>
    </row>
    <row r="314" spans="1:11" x14ac:dyDescent="0.2">
      <c r="A314" s="517"/>
      <c r="B314" s="517"/>
      <c r="C314" s="517"/>
      <c r="D314" s="517"/>
      <c r="E314" s="517"/>
      <c r="F314" s="517"/>
      <c r="G314" s="517"/>
      <c r="H314" s="517"/>
      <c r="I314" s="517"/>
      <c r="J314" s="517"/>
      <c r="K314" s="564"/>
    </row>
    <row r="315" spans="1:11" x14ac:dyDescent="0.2">
      <c r="A315" s="517"/>
      <c r="B315" s="517"/>
      <c r="C315" s="517"/>
      <c r="D315" s="517"/>
      <c r="E315" s="517"/>
      <c r="F315" s="517"/>
      <c r="G315" s="517"/>
      <c r="H315" s="517"/>
      <c r="I315" s="517"/>
      <c r="J315" s="517"/>
      <c r="K315" s="564"/>
    </row>
    <row r="316" spans="1:11" x14ac:dyDescent="0.2">
      <c r="A316" s="517"/>
      <c r="B316" s="517"/>
      <c r="C316" s="517"/>
      <c r="D316" s="517"/>
      <c r="E316" s="517"/>
      <c r="F316" s="517"/>
      <c r="G316" s="517"/>
      <c r="H316" s="517"/>
      <c r="I316" s="517"/>
      <c r="J316" s="517"/>
      <c r="K316" s="564"/>
    </row>
    <row r="317" spans="1:11" x14ac:dyDescent="0.2">
      <c r="A317" s="517"/>
      <c r="B317" s="517"/>
      <c r="C317" s="517"/>
      <c r="D317" s="517"/>
      <c r="E317" s="517"/>
      <c r="F317" s="517"/>
      <c r="G317" s="517"/>
      <c r="H317" s="517"/>
      <c r="I317" s="517"/>
      <c r="J317" s="517"/>
      <c r="K317" s="564"/>
    </row>
    <row r="318" spans="1:11" x14ac:dyDescent="0.2">
      <c r="A318" s="517"/>
      <c r="B318" s="517"/>
      <c r="C318" s="517"/>
      <c r="D318" s="517"/>
      <c r="E318" s="517"/>
      <c r="F318" s="517"/>
      <c r="G318" s="517"/>
      <c r="H318" s="517"/>
      <c r="I318" s="517"/>
      <c r="J318" s="517"/>
      <c r="K318" s="564"/>
    </row>
    <row r="319" spans="1:11" x14ac:dyDescent="0.2">
      <c r="A319" s="517"/>
      <c r="B319" s="517"/>
      <c r="C319" s="517"/>
      <c r="D319" s="517"/>
      <c r="E319" s="517"/>
      <c r="F319" s="517"/>
      <c r="G319" s="517"/>
      <c r="H319" s="517"/>
      <c r="I319" s="517"/>
      <c r="J319" s="517"/>
      <c r="K319" s="564"/>
    </row>
    <row r="320" spans="1:11" x14ac:dyDescent="0.2">
      <c r="A320" s="517"/>
      <c r="B320" s="517"/>
      <c r="C320" s="517"/>
      <c r="D320" s="517"/>
      <c r="E320" s="517"/>
      <c r="F320" s="517"/>
      <c r="G320" s="517"/>
      <c r="H320" s="517"/>
      <c r="I320" s="517"/>
      <c r="J320" s="517"/>
      <c r="K320" s="564"/>
    </row>
    <row r="321" spans="1:11" x14ac:dyDescent="0.2">
      <c r="A321" s="517"/>
      <c r="B321" s="517"/>
      <c r="C321" s="517"/>
      <c r="D321" s="517"/>
      <c r="E321" s="517"/>
      <c r="F321" s="517"/>
      <c r="G321" s="517"/>
      <c r="H321" s="517"/>
      <c r="I321" s="517"/>
      <c r="J321" s="517"/>
      <c r="K321" s="564"/>
    </row>
    <row r="322" spans="1:11" x14ac:dyDescent="0.2">
      <c r="A322" s="517"/>
      <c r="B322" s="517"/>
      <c r="C322" s="517"/>
      <c r="D322" s="517"/>
      <c r="E322" s="517"/>
      <c r="F322" s="517"/>
      <c r="G322" s="517"/>
      <c r="H322" s="517"/>
      <c r="I322" s="517"/>
      <c r="J322" s="517"/>
      <c r="K322" s="564"/>
    </row>
    <row r="323" spans="1:11" x14ac:dyDescent="0.2">
      <c r="A323" s="517"/>
      <c r="B323" s="517"/>
      <c r="C323" s="517"/>
      <c r="D323" s="517"/>
      <c r="E323" s="517"/>
      <c r="F323" s="517"/>
      <c r="G323" s="517"/>
      <c r="H323" s="517"/>
      <c r="I323" s="517"/>
      <c r="J323" s="517"/>
      <c r="K323" s="564"/>
    </row>
    <row r="324" spans="1:11" x14ac:dyDescent="0.2">
      <c r="A324" s="517"/>
      <c r="B324" s="517"/>
      <c r="C324" s="517"/>
      <c r="D324" s="517"/>
      <c r="E324" s="517"/>
      <c r="F324" s="517"/>
      <c r="G324" s="517"/>
      <c r="H324" s="517"/>
      <c r="I324" s="517"/>
      <c r="J324" s="517"/>
      <c r="K324" s="564"/>
    </row>
    <row r="325" spans="1:11" x14ac:dyDescent="0.2">
      <c r="A325" s="517"/>
      <c r="B325" s="517"/>
      <c r="C325" s="517"/>
      <c r="D325" s="517"/>
      <c r="E325" s="517"/>
      <c r="F325" s="517"/>
      <c r="G325" s="517"/>
      <c r="H325" s="517"/>
      <c r="I325" s="517"/>
      <c r="J325" s="517"/>
      <c r="K325" s="564"/>
    </row>
    <row r="326" spans="1:11" x14ac:dyDescent="0.2">
      <c r="A326" s="517"/>
      <c r="B326" s="517"/>
      <c r="C326" s="517"/>
      <c r="D326" s="517"/>
      <c r="E326" s="517"/>
      <c r="F326" s="517"/>
      <c r="G326" s="517"/>
      <c r="H326" s="517"/>
      <c r="I326" s="517"/>
      <c r="J326" s="517"/>
      <c r="K326" s="564"/>
    </row>
    <row r="327" spans="1:11" x14ac:dyDescent="0.2">
      <c r="A327" s="517"/>
      <c r="B327" s="517"/>
      <c r="C327" s="517"/>
      <c r="D327" s="517"/>
      <c r="E327" s="517"/>
      <c r="F327" s="517"/>
      <c r="G327" s="517"/>
      <c r="H327" s="517"/>
      <c r="I327" s="517"/>
      <c r="J327" s="517"/>
      <c r="K327" s="564"/>
    </row>
    <row r="328" spans="1:11" x14ac:dyDescent="0.2">
      <c r="A328" s="517"/>
      <c r="B328" s="517"/>
      <c r="C328" s="517"/>
      <c r="D328" s="517"/>
      <c r="E328" s="517"/>
      <c r="F328" s="517"/>
      <c r="G328" s="517"/>
      <c r="H328" s="517"/>
      <c r="I328" s="517"/>
      <c r="J328" s="517"/>
      <c r="K328" s="564"/>
    </row>
    <row r="329" spans="1:11" x14ac:dyDescent="0.2">
      <c r="A329" s="517"/>
      <c r="B329" s="517"/>
      <c r="C329" s="517"/>
      <c r="D329" s="517"/>
      <c r="E329" s="517"/>
      <c r="F329" s="517"/>
      <c r="G329" s="517"/>
      <c r="H329" s="517"/>
      <c r="I329" s="517"/>
      <c r="J329" s="517"/>
      <c r="K329" s="564"/>
    </row>
    <row r="330" spans="1:11" x14ac:dyDescent="0.2">
      <c r="A330" s="517"/>
      <c r="B330" s="517"/>
      <c r="C330" s="517"/>
      <c r="D330" s="517"/>
      <c r="E330" s="517"/>
      <c r="F330" s="517"/>
      <c r="G330" s="517"/>
      <c r="H330" s="517"/>
      <c r="I330" s="517"/>
      <c r="J330" s="517"/>
      <c r="K330" s="564"/>
    </row>
    <row r="331" spans="1:11" x14ac:dyDescent="0.2">
      <c r="A331" s="517"/>
      <c r="B331" s="517"/>
      <c r="C331" s="517"/>
      <c r="D331" s="517"/>
      <c r="E331" s="517"/>
      <c r="F331" s="517"/>
      <c r="G331" s="517"/>
      <c r="H331" s="517"/>
      <c r="I331" s="517"/>
      <c r="J331" s="517"/>
      <c r="K331" s="564"/>
    </row>
    <row r="332" spans="1:11" x14ac:dyDescent="0.2">
      <c r="A332" s="517"/>
      <c r="B332" s="517"/>
      <c r="C332" s="517"/>
      <c r="D332" s="517"/>
      <c r="E332" s="517"/>
      <c r="F332" s="517"/>
      <c r="G332" s="517"/>
      <c r="H332" s="517"/>
      <c r="I332" s="517"/>
      <c r="J332" s="517"/>
      <c r="K332" s="564"/>
    </row>
    <row r="333" spans="1:11" x14ac:dyDescent="0.2">
      <c r="A333" s="517"/>
      <c r="B333" s="517"/>
      <c r="C333" s="517"/>
      <c r="D333" s="517"/>
      <c r="E333" s="517"/>
      <c r="F333" s="517"/>
      <c r="G333" s="517"/>
      <c r="H333" s="517"/>
      <c r="I333" s="517"/>
      <c r="J333" s="517"/>
      <c r="K333" s="564"/>
    </row>
    <row r="334" spans="1:11" x14ac:dyDescent="0.2">
      <c r="A334" s="517"/>
      <c r="B334" s="517"/>
      <c r="C334" s="517"/>
      <c r="D334" s="517"/>
      <c r="E334" s="517"/>
      <c r="F334" s="517"/>
      <c r="G334" s="517"/>
      <c r="H334" s="517"/>
      <c r="I334" s="517"/>
      <c r="J334" s="517"/>
      <c r="K334" s="564"/>
    </row>
    <row r="335" spans="1:11" x14ac:dyDescent="0.2">
      <c r="A335" s="517"/>
      <c r="B335" s="517"/>
      <c r="C335" s="517"/>
      <c r="D335" s="517"/>
      <c r="E335" s="517"/>
      <c r="F335" s="517"/>
      <c r="G335" s="517"/>
      <c r="H335" s="517"/>
      <c r="I335" s="517"/>
      <c r="J335" s="517"/>
      <c r="K335" s="564"/>
    </row>
    <row r="336" spans="1:11" x14ac:dyDescent="0.2">
      <c r="A336" s="517"/>
      <c r="B336" s="517"/>
      <c r="C336" s="517"/>
      <c r="D336" s="517"/>
      <c r="E336" s="517"/>
      <c r="F336" s="517"/>
      <c r="G336" s="517"/>
      <c r="H336" s="517"/>
      <c r="I336" s="517"/>
      <c r="J336" s="517"/>
      <c r="K336" s="564"/>
    </row>
    <row r="337" spans="1:11" x14ac:dyDescent="0.2">
      <c r="A337" s="517"/>
      <c r="B337" s="517"/>
      <c r="C337" s="517"/>
      <c r="D337" s="517"/>
      <c r="E337" s="517"/>
      <c r="F337" s="517"/>
      <c r="G337" s="517"/>
      <c r="H337" s="517"/>
      <c r="I337" s="517"/>
      <c r="J337" s="517"/>
      <c r="K337" s="564"/>
    </row>
    <row r="338" spans="1:11" x14ac:dyDescent="0.2">
      <c r="A338" s="517"/>
      <c r="B338" s="517"/>
      <c r="C338" s="517"/>
      <c r="D338" s="517"/>
      <c r="E338" s="517"/>
      <c r="F338" s="517"/>
      <c r="G338" s="517"/>
      <c r="H338" s="517"/>
      <c r="I338" s="517"/>
      <c r="J338" s="517"/>
      <c r="K338" s="564"/>
    </row>
    <row r="339" spans="1:11" x14ac:dyDescent="0.2">
      <c r="A339" s="517"/>
      <c r="B339" s="517"/>
      <c r="C339" s="517"/>
      <c r="D339" s="517"/>
      <c r="E339" s="517"/>
      <c r="F339" s="517"/>
      <c r="G339" s="517"/>
      <c r="H339" s="517"/>
      <c r="I339" s="517"/>
      <c r="J339" s="517"/>
      <c r="K339" s="564"/>
    </row>
    <row r="340" spans="1:11" x14ac:dyDescent="0.2">
      <c r="A340" s="517"/>
      <c r="B340" s="517"/>
      <c r="C340" s="517"/>
      <c r="D340" s="517"/>
      <c r="E340" s="517"/>
      <c r="F340" s="517"/>
      <c r="G340" s="517"/>
      <c r="H340" s="517"/>
      <c r="I340" s="517"/>
      <c r="J340" s="517"/>
      <c r="K340" s="564"/>
    </row>
    <row r="341" spans="1:11" x14ac:dyDescent="0.2">
      <c r="A341" s="517"/>
      <c r="B341" s="517"/>
      <c r="C341" s="517"/>
      <c r="D341" s="517"/>
      <c r="E341" s="517"/>
      <c r="F341" s="517"/>
      <c r="G341" s="517"/>
      <c r="H341" s="517"/>
      <c r="I341" s="517"/>
      <c r="J341" s="517"/>
      <c r="K341" s="564"/>
    </row>
    <row r="342" spans="1:11" x14ac:dyDescent="0.2">
      <c r="A342" s="517"/>
      <c r="B342" s="517"/>
      <c r="C342" s="517"/>
      <c r="D342" s="517"/>
      <c r="E342" s="517"/>
      <c r="F342" s="517"/>
      <c r="G342" s="517"/>
      <c r="H342" s="517"/>
      <c r="I342" s="517"/>
      <c r="J342" s="517"/>
      <c r="K342" s="564"/>
    </row>
    <row r="343" spans="1:11" x14ac:dyDescent="0.2">
      <c r="A343" s="517"/>
      <c r="B343" s="517"/>
      <c r="C343" s="517"/>
      <c r="D343" s="517"/>
      <c r="E343" s="517"/>
      <c r="F343" s="517"/>
      <c r="G343" s="517"/>
      <c r="H343" s="517"/>
      <c r="I343" s="517"/>
      <c r="J343" s="517"/>
      <c r="K343" s="564"/>
    </row>
    <row r="344" spans="1:11" x14ac:dyDescent="0.2">
      <c r="A344" s="517"/>
      <c r="B344" s="517"/>
      <c r="C344" s="517"/>
      <c r="D344" s="517"/>
      <c r="E344" s="517"/>
      <c r="F344" s="517"/>
      <c r="G344" s="517"/>
      <c r="H344" s="517"/>
      <c r="I344" s="517"/>
      <c r="J344" s="517"/>
      <c r="K344" s="564"/>
    </row>
    <row r="345" spans="1:11" x14ac:dyDescent="0.2">
      <c r="A345" s="517"/>
      <c r="B345" s="517"/>
      <c r="C345" s="517"/>
      <c r="D345" s="517"/>
      <c r="E345" s="517"/>
      <c r="F345" s="517"/>
      <c r="G345" s="517"/>
      <c r="H345" s="517"/>
      <c r="I345" s="517"/>
      <c r="J345" s="517"/>
      <c r="K345" s="564"/>
    </row>
    <row r="346" spans="1:11" x14ac:dyDescent="0.2">
      <c r="A346" s="517"/>
      <c r="B346" s="517"/>
      <c r="C346" s="517"/>
      <c r="D346" s="517"/>
      <c r="E346" s="517"/>
      <c r="F346" s="517"/>
      <c r="G346" s="517"/>
      <c r="H346" s="517"/>
      <c r="I346" s="517"/>
      <c r="J346" s="517"/>
      <c r="K346" s="564"/>
    </row>
    <row r="347" spans="1:11" x14ac:dyDescent="0.2">
      <c r="A347" s="517"/>
      <c r="B347" s="517"/>
      <c r="C347" s="517"/>
      <c r="D347" s="517"/>
      <c r="E347" s="517"/>
      <c r="F347" s="517"/>
      <c r="G347" s="517"/>
      <c r="H347" s="517"/>
      <c r="I347" s="517"/>
      <c r="J347" s="517"/>
      <c r="K347" s="564"/>
    </row>
    <row r="348" spans="1:11" x14ac:dyDescent="0.2">
      <c r="A348" s="517"/>
      <c r="B348" s="517"/>
      <c r="C348" s="517"/>
      <c r="D348" s="517"/>
      <c r="E348" s="517"/>
      <c r="F348" s="517"/>
      <c r="G348" s="517"/>
      <c r="H348" s="517"/>
      <c r="I348" s="517"/>
      <c r="J348" s="517"/>
      <c r="K348" s="564"/>
    </row>
    <row r="349" spans="1:11" x14ac:dyDescent="0.2">
      <c r="A349" s="517"/>
      <c r="B349" s="517"/>
      <c r="C349" s="517"/>
      <c r="D349" s="517"/>
      <c r="E349" s="517"/>
      <c r="F349" s="517"/>
      <c r="G349" s="517"/>
      <c r="H349" s="517"/>
      <c r="I349" s="517"/>
      <c r="J349" s="517"/>
      <c r="K349" s="564"/>
    </row>
    <row r="350" spans="1:11" x14ac:dyDescent="0.2">
      <c r="A350" s="517"/>
      <c r="B350" s="517"/>
      <c r="C350" s="517"/>
      <c r="D350" s="517"/>
      <c r="E350" s="517"/>
      <c r="F350" s="517"/>
      <c r="G350" s="517"/>
      <c r="H350" s="517"/>
      <c r="I350" s="517"/>
      <c r="J350" s="517"/>
      <c r="K350" s="564"/>
    </row>
    <row r="351" spans="1:11" x14ac:dyDescent="0.2">
      <c r="A351" s="517"/>
      <c r="B351" s="517"/>
      <c r="C351" s="517"/>
      <c r="D351" s="517"/>
      <c r="E351" s="517"/>
      <c r="F351" s="517"/>
      <c r="G351" s="517"/>
      <c r="H351" s="517"/>
      <c r="I351" s="517"/>
      <c r="J351" s="517"/>
      <c r="K351" s="564"/>
    </row>
    <row r="352" spans="1:11" x14ac:dyDescent="0.2">
      <c r="A352" s="517"/>
      <c r="B352" s="517"/>
      <c r="C352" s="517"/>
      <c r="D352" s="517"/>
      <c r="E352" s="517"/>
      <c r="F352" s="517"/>
      <c r="G352" s="517"/>
      <c r="H352" s="517"/>
      <c r="I352" s="517"/>
      <c r="J352" s="517"/>
      <c r="K352" s="564"/>
    </row>
    <row r="353" spans="1:11" x14ac:dyDescent="0.2">
      <c r="A353" s="517"/>
      <c r="B353" s="517"/>
      <c r="C353" s="517"/>
      <c r="D353" s="517"/>
      <c r="E353" s="517"/>
      <c r="F353" s="517"/>
      <c r="G353" s="517"/>
      <c r="H353" s="517"/>
      <c r="I353" s="517"/>
      <c r="J353" s="517"/>
      <c r="K353" s="564"/>
    </row>
    <row r="354" spans="1:11" x14ac:dyDescent="0.2">
      <c r="A354" s="517"/>
      <c r="B354" s="517"/>
      <c r="C354" s="517"/>
      <c r="D354" s="517"/>
      <c r="E354" s="517"/>
      <c r="F354" s="517"/>
      <c r="G354" s="517"/>
      <c r="H354" s="517"/>
      <c r="I354" s="517"/>
      <c r="J354" s="517"/>
      <c r="K354" s="564"/>
    </row>
    <row r="355" spans="1:11" x14ac:dyDescent="0.2">
      <c r="A355" s="517"/>
      <c r="B355" s="517"/>
      <c r="C355" s="517"/>
      <c r="D355" s="517"/>
      <c r="E355" s="517"/>
      <c r="F355" s="517"/>
      <c r="G355" s="517"/>
      <c r="H355" s="517"/>
      <c r="I355" s="517"/>
      <c r="J355" s="517"/>
      <c r="K355" s="564"/>
    </row>
    <row r="356" spans="1:11" x14ac:dyDescent="0.2">
      <c r="A356" s="517"/>
      <c r="B356" s="517"/>
      <c r="C356" s="517"/>
      <c r="D356" s="517"/>
      <c r="E356" s="517"/>
      <c r="F356" s="517"/>
      <c r="G356" s="517"/>
      <c r="H356" s="517"/>
      <c r="I356" s="517"/>
      <c r="J356" s="517"/>
      <c r="K356" s="564"/>
    </row>
    <row r="357" spans="1:11" x14ac:dyDescent="0.2">
      <c r="A357" s="517"/>
      <c r="B357" s="517"/>
      <c r="C357" s="517"/>
      <c r="D357" s="517"/>
      <c r="E357" s="517"/>
      <c r="F357" s="517"/>
      <c r="G357" s="517"/>
      <c r="H357" s="517"/>
      <c r="I357" s="517"/>
      <c r="J357" s="517"/>
      <c r="K357" s="564"/>
    </row>
    <row r="358" spans="1:11" x14ac:dyDescent="0.2">
      <c r="A358" s="517"/>
      <c r="B358" s="517"/>
      <c r="C358" s="517"/>
      <c r="D358" s="517"/>
      <c r="E358" s="517"/>
      <c r="F358" s="517"/>
      <c r="G358" s="517"/>
      <c r="H358" s="517"/>
      <c r="I358" s="517"/>
      <c r="J358" s="517"/>
      <c r="K358" s="564"/>
    </row>
    <row r="359" spans="1:11" x14ac:dyDescent="0.2">
      <c r="A359" s="517"/>
      <c r="B359" s="517"/>
      <c r="C359" s="517"/>
      <c r="D359" s="517"/>
      <c r="E359" s="517"/>
      <c r="F359" s="517"/>
      <c r="G359" s="517"/>
      <c r="H359" s="517"/>
      <c r="I359" s="517"/>
      <c r="J359" s="517"/>
      <c r="K359" s="564"/>
    </row>
    <row r="360" spans="1:11" x14ac:dyDescent="0.2">
      <c r="A360" s="517"/>
      <c r="B360" s="517"/>
      <c r="C360" s="517"/>
      <c r="D360" s="517"/>
      <c r="E360" s="517"/>
      <c r="F360" s="517"/>
      <c r="G360" s="517"/>
      <c r="H360" s="517"/>
      <c r="I360" s="517"/>
      <c r="J360" s="517"/>
      <c r="K360" s="564"/>
    </row>
    <row r="361" spans="1:11" x14ac:dyDescent="0.2">
      <c r="A361" s="517"/>
      <c r="B361" s="517"/>
      <c r="C361" s="517"/>
      <c r="D361" s="517"/>
      <c r="E361" s="517"/>
      <c r="F361" s="517"/>
      <c r="G361" s="517"/>
      <c r="H361" s="517"/>
      <c r="I361" s="517"/>
      <c r="J361" s="517"/>
      <c r="K361" s="564"/>
    </row>
    <row r="362" spans="1:11" x14ac:dyDescent="0.2">
      <c r="A362" s="517"/>
      <c r="B362" s="517"/>
      <c r="C362" s="517"/>
      <c r="D362" s="517"/>
      <c r="E362" s="517"/>
      <c r="F362" s="517"/>
      <c r="G362" s="517"/>
      <c r="H362" s="517"/>
      <c r="I362" s="517"/>
      <c r="J362" s="517"/>
      <c r="K362" s="564"/>
    </row>
    <row r="363" spans="1:11" x14ac:dyDescent="0.2">
      <c r="A363" s="517"/>
      <c r="B363" s="517"/>
      <c r="C363" s="517"/>
      <c r="D363" s="517"/>
      <c r="E363" s="517"/>
      <c r="F363" s="517"/>
      <c r="G363" s="517"/>
      <c r="H363" s="517"/>
      <c r="I363" s="517"/>
      <c r="J363" s="517"/>
      <c r="K363" s="564"/>
    </row>
    <row r="364" spans="1:11" x14ac:dyDescent="0.2">
      <c r="A364" s="517"/>
      <c r="B364" s="517"/>
      <c r="C364" s="517"/>
      <c r="D364" s="517"/>
      <c r="E364" s="517"/>
      <c r="F364" s="517"/>
      <c r="G364" s="517"/>
      <c r="H364" s="517"/>
      <c r="I364" s="517"/>
      <c r="J364" s="517"/>
      <c r="K364" s="564"/>
    </row>
    <row r="365" spans="1:11" x14ac:dyDescent="0.2">
      <c r="A365" s="517"/>
      <c r="B365" s="517"/>
      <c r="C365" s="517"/>
      <c r="D365" s="517"/>
      <c r="E365" s="517"/>
      <c r="F365" s="517"/>
      <c r="G365" s="517"/>
      <c r="H365" s="517"/>
      <c r="I365" s="517"/>
      <c r="J365" s="517"/>
      <c r="K365" s="564"/>
    </row>
    <row r="366" spans="1:11" x14ac:dyDescent="0.2">
      <c r="A366" s="517"/>
      <c r="B366" s="517"/>
      <c r="C366" s="517"/>
      <c r="D366" s="517"/>
      <c r="E366" s="517"/>
      <c r="F366" s="517"/>
      <c r="G366" s="517"/>
      <c r="H366" s="517"/>
      <c r="I366" s="517"/>
      <c r="J366" s="517"/>
      <c r="K366" s="564"/>
    </row>
    <row r="367" spans="1:11" x14ac:dyDescent="0.2">
      <c r="A367" s="517"/>
      <c r="B367" s="517"/>
      <c r="C367" s="517"/>
      <c r="D367" s="517"/>
      <c r="E367" s="517"/>
      <c r="F367" s="517"/>
      <c r="G367" s="517"/>
      <c r="H367" s="517"/>
      <c r="I367" s="517"/>
      <c r="J367" s="517"/>
      <c r="K367" s="564"/>
    </row>
    <row r="368" spans="1:11" x14ac:dyDescent="0.2">
      <c r="A368" s="517"/>
      <c r="B368" s="517"/>
      <c r="C368" s="517"/>
      <c r="D368" s="517"/>
      <c r="E368" s="517"/>
      <c r="F368" s="517"/>
      <c r="G368" s="517"/>
      <c r="H368" s="517"/>
      <c r="I368" s="517"/>
      <c r="J368" s="517"/>
      <c r="K368" s="564"/>
    </row>
    <row r="369" spans="1:11" x14ac:dyDescent="0.2">
      <c r="A369" s="517"/>
      <c r="B369" s="517"/>
      <c r="C369" s="517"/>
      <c r="D369" s="517"/>
      <c r="E369" s="517"/>
      <c r="F369" s="517"/>
      <c r="G369" s="517"/>
      <c r="H369" s="517"/>
      <c r="I369" s="517"/>
      <c r="J369" s="517"/>
      <c r="K369" s="564"/>
    </row>
    <row r="370" spans="1:11" x14ac:dyDescent="0.2">
      <c r="A370" s="517"/>
      <c r="B370" s="517"/>
      <c r="C370" s="517"/>
      <c r="D370" s="517"/>
      <c r="E370" s="517"/>
      <c r="F370" s="517"/>
      <c r="G370" s="517"/>
      <c r="H370" s="517"/>
      <c r="I370" s="517"/>
      <c r="J370" s="517"/>
      <c r="K370" s="564"/>
    </row>
    <row r="371" spans="1:11" x14ac:dyDescent="0.2">
      <c r="A371" s="517"/>
      <c r="B371" s="517"/>
      <c r="C371" s="517"/>
      <c r="D371" s="517"/>
      <c r="E371" s="517"/>
      <c r="F371" s="517"/>
      <c r="G371" s="517"/>
      <c r="H371" s="517"/>
      <c r="I371" s="517"/>
      <c r="J371" s="517"/>
      <c r="K371" s="564"/>
    </row>
    <row r="372" spans="1:11" x14ac:dyDescent="0.2">
      <c r="A372" s="517"/>
      <c r="B372" s="517"/>
      <c r="C372" s="517"/>
      <c r="D372" s="517"/>
      <c r="E372" s="517"/>
      <c r="F372" s="517"/>
      <c r="G372" s="517"/>
      <c r="H372" s="517"/>
      <c r="I372" s="517"/>
      <c r="J372" s="517"/>
      <c r="K372" s="564"/>
    </row>
    <row r="373" spans="1:11" x14ac:dyDescent="0.2">
      <c r="A373" s="517"/>
      <c r="B373" s="517"/>
      <c r="C373" s="517"/>
      <c r="D373" s="517"/>
      <c r="E373" s="517"/>
      <c r="F373" s="517"/>
      <c r="G373" s="517"/>
      <c r="H373" s="517"/>
      <c r="I373" s="517"/>
      <c r="J373" s="517"/>
      <c r="K373" s="564"/>
    </row>
    <row r="374" spans="1:11" x14ac:dyDescent="0.2">
      <c r="A374" s="517"/>
      <c r="B374" s="517"/>
      <c r="C374" s="517"/>
      <c r="D374" s="517"/>
      <c r="E374" s="517"/>
      <c r="F374" s="517"/>
      <c r="G374" s="517"/>
      <c r="H374" s="517"/>
      <c r="I374" s="517"/>
      <c r="J374" s="517"/>
      <c r="K374" s="564"/>
    </row>
    <row r="375" spans="1:11" x14ac:dyDescent="0.2">
      <c r="A375" s="517"/>
      <c r="B375" s="517"/>
      <c r="C375" s="517"/>
      <c r="D375" s="517"/>
      <c r="E375" s="517"/>
      <c r="F375" s="517"/>
      <c r="G375" s="517"/>
      <c r="H375" s="517"/>
      <c r="I375" s="517"/>
      <c r="J375" s="517"/>
      <c r="K375" s="564"/>
    </row>
    <row r="376" spans="1:11" x14ac:dyDescent="0.2">
      <c r="A376" s="517"/>
      <c r="B376" s="517"/>
      <c r="C376" s="517"/>
      <c r="D376" s="517"/>
      <c r="E376" s="517"/>
      <c r="F376" s="517"/>
      <c r="G376" s="517"/>
      <c r="H376" s="517"/>
      <c r="I376" s="517"/>
      <c r="J376" s="517"/>
      <c r="K376" s="564"/>
    </row>
    <row r="377" spans="1:11" x14ac:dyDescent="0.2">
      <c r="A377" s="517"/>
      <c r="B377" s="517"/>
      <c r="C377" s="517"/>
      <c r="D377" s="517"/>
      <c r="E377" s="517"/>
      <c r="F377" s="517"/>
      <c r="G377" s="517"/>
      <c r="H377" s="517"/>
      <c r="I377" s="517"/>
      <c r="J377" s="517"/>
      <c r="K377" s="564"/>
    </row>
    <row r="378" spans="1:11" x14ac:dyDescent="0.2">
      <c r="A378" s="517"/>
      <c r="B378" s="517"/>
      <c r="C378" s="517"/>
      <c r="D378" s="517"/>
      <c r="E378" s="517"/>
      <c r="F378" s="517"/>
      <c r="G378" s="517"/>
      <c r="H378" s="517"/>
      <c r="I378" s="517"/>
      <c r="J378" s="517"/>
      <c r="K378" s="564"/>
    </row>
    <row r="379" spans="1:11" x14ac:dyDescent="0.2">
      <c r="A379" s="517"/>
      <c r="B379" s="517"/>
      <c r="C379" s="517"/>
      <c r="D379" s="517"/>
      <c r="E379" s="517"/>
      <c r="F379" s="517"/>
      <c r="G379" s="517"/>
      <c r="H379" s="517"/>
      <c r="I379" s="517"/>
      <c r="J379" s="517"/>
      <c r="K379" s="564"/>
    </row>
    <row r="380" spans="1:11" x14ac:dyDescent="0.2">
      <c r="A380" s="517"/>
      <c r="B380" s="517"/>
      <c r="C380" s="517"/>
      <c r="D380" s="517"/>
      <c r="E380" s="517"/>
      <c r="F380" s="517"/>
      <c r="G380" s="517"/>
      <c r="H380" s="517"/>
      <c r="I380" s="517"/>
      <c r="J380" s="517"/>
      <c r="K380" s="564"/>
    </row>
    <row r="381" spans="1:11" x14ac:dyDescent="0.2">
      <c r="A381" s="517"/>
      <c r="B381" s="517"/>
      <c r="C381" s="517"/>
      <c r="D381" s="517"/>
      <c r="E381" s="517"/>
      <c r="F381" s="517"/>
      <c r="G381" s="517"/>
      <c r="H381" s="517"/>
      <c r="I381" s="517"/>
      <c r="J381" s="517"/>
      <c r="K381" s="564"/>
    </row>
    <row r="382" spans="1:11" x14ac:dyDescent="0.2">
      <c r="A382" s="517"/>
      <c r="B382" s="517"/>
      <c r="C382" s="517"/>
      <c r="D382" s="517"/>
      <c r="E382" s="517"/>
      <c r="F382" s="517"/>
      <c r="G382" s="517"/>
      <c r="H382" s="517"/>
      <c r="I382" s="517"/>
      <c r="J382" s="517"/>
      <c r="K382" s="564"/>
    </row>
    <row r="383" spans="1:11" x14ac:dyDescent="0.2">
      <c r="A383" s="517"/>
      <c r="B383" s="517"/>
      <c r="C383" s="517"/>
      <c r="D383" s="517"/>
      <c r="E383" s="517"/>
      <c r="F383" s="517"/>
      <c r="G383" s="517"/>
      <c r="H383" s="517"/>
      <c r="I383" s="517"/>
      <c r="J383" s="517"/>
      <c r="K383" s="564"/>
    </row>
    <row r="384" spans="1:11" x14ac:dyDescent="0.2">
      <c r="A384" s="517"/>
      <c r="B384" s="517"/>
      <c r="C384" s="517"/>
      <c r="D384" s="517"/>
      <c r="E384" s="517"/>
      <c r="F384" s="517"/>
      <c r="G384" s="517"/>
      <c r="H384" s="517"/>
      <c r="I384" s="517"/>
      <c r="J384" s="517"/>
      <c r="K384" s="564"/>
    </row>
    <row r="385" spans="1:11" x14ac:dyDescent="0.2">
      <c r="A385" s="517"/>
      <c r="B385" s="517"/>
      <c r="C385" s="517"/>
      <c r="D385" s="517"/>
      <c r="E385" s="517"/>
      <c r="F385" s="517"/>
      <c r="G385" s="517"/>
      <c r="H385" s="517"/>
      <c r="I385" s="517"/>
      <c r="J385" s="517"/>
      <c r="K385" s="564"/>
    </row>
    <row r="386" spans="1:11" x14ac:dyDescent="0.2">
      <c r="A386" s="517"/>
      <c r="B386" s="517"/>
      <c r="C386" s="517"/>
      <c r="D386" s="517"/>
      <c r="E386" s="517"/>
      <c r="F386" s="517"/>
      <c r="G386" s="517"/>
      <c r="H386" s="517"/>
      <c r="I386" s="517"/>
      <c r="J386" s="517"/>
      <c r="K386" s="564"/>
    </row>
    <row r="387" spans="1:11" x14ac:dyDescent="0.2">
      <c r="A387" s="517"/>
      <c r="B387" s="517"/>
      <c r="C387" s="517"/>
      <c r="D387" s="517"/>
      <c r="E387" s="517"/>
      <c r="F387" s="517"/>
      <c r="G387" s="517"/>
      <c r="H387" s="517"/>
      <c r="I387" s="517"/>
      <c r="J387" s="517"/>
      <c r="K387" s="564"/>
    </row>
    <row r="388" spans="1:11" x14ac:dyDescent="0.2">
      <c r="A388" s="517"/>
      <c r="B388" s="517"/>
      <c r="C388" s="517"/>
      <c r="D388" s="517"/>
      <c r="E388" s="517"/>
      <c r="F388" s="517"/>
      <c r="G388" s="517"/>
      <c r="H388" s="517"/>
      <c r="I388" s="517"/>
      <c r="J388" s="517"/>
      <c r="K388" s="564"/>
    </row>
    <row r="389" spans="1:11" x14ac:dyDescent="0.2">
      <c r="A389" s="517"/>
      <c r="B389" s="517"/>
      <c r="C389" s="517"/>
      <c r="D389" s="517"/>
      <c r="E389" s="517"/>
      <c r="F389" s="517"/>
      <c r="G389" s="517"/>
      <c r="H389" s="517"/>
      <c r="I389" s="517"/>
      <c r="J389" s="517"/>
      <c r="K389" s="564"/>
    </row>
    <row r="390" spans="1:11" x14ac:dyDescent="0.2">
      <c r="A390" s="517"/>
      <c r="B390" s="517"/>
      <c r="C390" s="517"/>
      <c r="D390" s="517"/>
      <c r="E390" s="517"/>
      <c r="F390" s="517"/>
      <c r="G390" s="517"/>
      <c r="H390" s="517"/>
      <c r="I390" s="517"/>
      <c r="J390" s="517"/>
      <c r="K390" s="564"/>
    </row>
    <row r="391" spans="1:11" x14ac:dyDescent="0.2">
      <c r="A391" s="517"/>
      <c r="B391" s="517"/>
      <c r="C391" s="517"/>
      <c r="D391" s="517"/>
      <c r="E391" s="517"/>
      <c r="F391" s="517"/>
      <c r="G391" s="517"/>
      <c r="H391" s="517"/>
      <c r="I391" s="517"/>
      <c r="J391" s="517"/>
      <c r="K391" s="564"/>
    </row>
    <row r="392" spans="1:11" x14ac:dyDescent="0.2">
      <c r="A392" s="517"/>
      <c r="B392" s="517"/>
      <c r="C392" s="517"/>
      <c r="D392" s="517"/>
      <c r="E392" s="517"/>
      <c r="F392" s="517"/>
      <c r="G392" s="517"/>
      <c r="H392" s="517"/>
      <c r="I392" s="517"/>
      <c r="J392" s="517"/>
      <c r="K392" s="564"/>
    </row>
    <row r="393" spans="1:11" x14ac:dyDescent="0.2">
      <c r="A393" s="517"/>
      <c r="B393" s="517"/>
      <c r="C393" s="517"/>
      <c r="D393" s="517"/>
      <c r="E393" s="517"/>
      <c r="F393" s="517"/>
      <c r="G393" s="517"/>
      <c r="H393" s="517"/>
      <c r="I393" s="517"/>
      <c r="J393" s="517"/>
      <c r="K393" s="564"/>
    </row>
    <row r="394" spans="1:11" x14ac:dyDescent="0.2">
      <c r="A394" s="517"/>
      <c r="B394" s="517"/>
      <c r="C394" s="517"/>
      <c r="D394" s="517"/>
      <c r="E394" s="517"/>
      <c r="F394" s="517"/>
      <c r="G394" s="517"/>
      <c r="H394" s="517"/>
      <c r="I394" s="517"/>
      <c r="J394" s="517"/>
      <c r="K394" s="564"/>
    </row>
    <row r="395" spans="1:11" x14ac:dyDescent="0.2">
      <c r="A395" s="517"/>
      <c r="B395" s="517"/>
      <c r="C395" s="517"/>
      <c r="D395" s="517"/>
      <c r="E395" s="517"/>
      <c r="F395" s="517"/>
      <c r="G395" s="517"/>
      <c r="H395" s="517"/>
      <c r="I395" s="517"/>
      <c r="J395" s="517"/>
      <c r="K395" s="564"/>
    </row>
    <row r="396" spans="1:11" x14ac:dyDescent="0.2">
      <c r="A396" s="517"/>
      <c r="B396" s="517"/>
      <c r="C396" s="517"/>
      <c r="D396" s="517"/>
      <c r="E396" s="517"/>
      <c r="F396" s="517"/>
      <c r="G396" s="517"/>
      <c r="H396" s="517"/>
      <c r="I396" s="517"/>
      <c r="J396" s="517"/>
      <c r="K396" s="564"/>
    </row>
    <row r="397" spans="1:11" x14ac:dyDescent="0.2">
      <c r="A397" s="517"/>
      <c r="B397" s="517"/>
      <c r="C397" s="517"/>
      <c r="D397" s="517"/>
      <c r="E397" s="517"/>
      <c r="F397" s="517"/>
      <c r="G397" s="517"/>
      <c r="H397" s="517"/>
      <c r="I397" s="517"/>
      <c r="J397" s="517"/>
      <c r="K397" s="564"/>
    </row>
    <row r="398" spans="1:11" x14ac:dyDescent="0.2">
      <c r="A398" s="517"/>
      <c r="B398" s="517"/>
      <c r="C398" s="517"/>
      <c r="D398" s="517"/>
      <c r="E398" s="517"/>
      <c r="F398" s="517"/>
      <c r="G398" s="517"/>
      <c r="H398" s="517"/>
      <c r="I398" s="517"/>
      <c r="J398" s="517"/>
      <c r="K398" s="564"/>
    </row>
    <row r="399" spans="1:11" x14ac:dyDescent="0.2">
      <c r="A399" s="517"/>
      <c r="B399" s="517"/>
      <c r="C399" s="517"/>
      <c r="D399" s="517"/>
      <c r="E399" s="517"/>
      <c r="F399" s="517"/>
      <c r="G399" s="517"/>
      <c r="H399" s="517"/>
      <c r="I399" s="517"/>
      <c r="J399" s="517"/>
      <c r="K399" s="564"/>
    </row>
    <row r="400" spans="1:11" x14ac:dyDescent="0.2">
      <c r="A400" s="517"/>
      <c r="B400" s="517"/>
      <c r="C400" s="517"/>
      <c r="D400" s="517"/>
      <c r="E400" s="517"/>
      <c r="F400" s="517"/>
      <c r="G400" s="517"/>
      <c r="H400" s="517"/>
      <c r="I400" s="517"/>
      <c r="J400" s="517"/>
      <c r="K400" s="564"/>
    </row>
    <row r="401" spans="1:11" x14ac:dyDescent="0.2">
      <c r="A401" s="517"/>
      <c r="B401" s="517"/>
      <c r="C401" s="517"/>
      <c r="D401" s="517"/>
      <c r="E401" s="517"/>
      <c r="F401" s="517"/>
      <c r="G401" s="517"/>
      <c r="H401" s="517"/>
      <c r="I401" s="517"/>
      <c r="J401" s="517"/>
      <c r="K401" s="564"/>
    </row>
    <row r="402" spans="1:11" x14ac:dyDescent="0.2">
      <c r="A402" s="517"/>
      <c r="B402" s="517"/>
      <c r="C402" s="517"/>
      <c r="D402" s="517"/>
      <c r="E402" s="517"/>
      <c r="F402" s="517"/>
      <c r="G402" s="517"/>
      <c r="H402" s="517"/>
      <c r="I402" s="517"/>
      <c r="J402" s="517"/>
      <c r="K402" s="564"/>
    </row>
    <row r="403" spans="1:11" x14ac:dyDescent="0.2">
      <c r="A403" s="517"/>
      <c r="B403" s="517"/>
      <c r="C403" s="517"/>
      <c r="D403" s="517"/>
      <c r="E403" s="517"/>
      <c r="F403" s="517"/>
      <c r="G403" s="517"/>
      <c r="H403" s="517"/>
      <c r="I403" s="517"/>
      <c r="J403" s="517"/>
      <c r="K403" s="564"/>
    </row>
    <row r="404" spans="1:11" x14ac:dyDescent="0.2">
      <c r="A404" s="517"/>
      <c r="B404" s="517"/>
      <c r="C404" s="517"/>
      <c r="D404" s="517"/>
      <c r="E404" s="517"/>
      <c r="F404" s="517"/>
      <c r="G404" s="517"/>
      <c r="H404" s="517"/>
      <c r="I404" s="517"/>
      <c r="J404" s="517"/>
      <c r="K404" s="564"/>
    </row>
    <row r="405" spans="1:11" x14ac:dyDescent="0.2">
      <c r="A405" s="517"/>
      <c r="B405" s="517"/>
      <c r="C405" s="517"/>
      <c r="D405" s="517"/>
      <c r="E405" s="517"/>
      <c r="F405" s="517"/>
      <c r="G405" s="517"/>
      <c r="H405" s="517"/>
      <c r="I405" s="517"/>
      <c r="J405" s="517"/>
      <c r="K405" s="564"/>
    </row>
    <row r="406" spans="1:11" x14ac:dyDescent="0.2">
      <c r="A406" s="517"/>
      <c r="B406" s="517"/>
      <c r="C406" s="517"/>
      <c r="D406" s="517"/>
      <c r="E406" s="517"/>
      <c r="F406" s="517"/>
      <c r="G406" s="517"/>
      <c r="H406" s="517"/>
      <c r="I406" s="517"/>
      <c r="J406" s="517"/>
      <c r="K406" s="564"/>
    </row>
    <row r="407" spans="1:11" x14ac:dyDescent="0.2">
      <c r="A407" s="517"/>
      <c r="B407" s="517"/>
      <c r="C407" s="517"/>
      <c r="D407" s="517"/>
      <c r="E407" s="517"/>
      <c r="F407" s="517"/>
      <c r="G407" s="517"/>
      <c r="H407" s="517"/>
      <c r="I407" s="517"/>
      <c r="J407" s="517"/>
      <c r="K407" s="564"/>
    </row>
    <row r="408" spans="1:11" x14ac:dyDescent="0.2">
      <c r="A408" s="517"/>
      <c r="B408" s="517"/>
      <c r="C408" s="517"/>
      <c r="D408" s="517"/>
      <c r="E408" s="517"/>
      <c r="F408" s="517"/>
      <c r="G408" s="517"/>
      <c r="H408" s="517"/>
      <c r="I408" s="517"/>
      <c r="J408" s="517"/>
      <c r="K408" s="564"/>
    </row>
    <row r="409" spans="1:11" x14ac:dyDescent="0.2">
      <c r="A409" s="517"/>
      <c r="B409" s="517"/>
      <c r="C409" s="517"/>
      <c r="D409" s="517"/>
      <c r="E409" s="517"/>
      <c r="F409" s="517"/>
      <c r="G409" s="517"/>
      <c r="H409" s="517"/>
      <c r="I409" s="517"/>
      <c r="J409" s="517"/>
      <c r="K409" s="564"/>
    </row>
    <row r="410" spans="1:11" x14ac:dyDescent="0.2">
      <c r="A410" s="517"/>
      <c r="B410" s="517"/>
      <c r="C410" s="517"/>
      <c r="D410" s="517"/>
      <c r="E410" s="517"/>
      <c r="F410" s="517"/>
      <c r="G410" s="517"/>
      <c r="H410" s="517"/>
      <c r="I410" s="517"/>
      <c r="J410" s="517"/>
      <c r="K410" s="564"/>
    </row>
    <row r="411" spans="1:11" x14ac:dyDescent="0.2">
      <c r="A411" s="517"/>
      <c r="B411" s="517"/>
      <c r="C411" s="517"/>
      <c r="D411" s="517"/>
      <c r="E411" s="517"/>
      <c r="F411" s="517"/>
      <c r="G411" s="517"/>
      <c r="H411" s="517"/>
      <c r="I411" s="517"/>
      <c r="J411" s="517"/>
      <c r="K411" s="564"/>
    </row>
    <row r="412" spans="1:11" x14ac:dyDescent="0.2">
      <c r="A412" s="517"/>
      <c r="B412" s="517"/>
      <c r="C412" s="517"/>
      <c r="D412" s="517"/>
      <c r="E412" s="517"/>
      <c r="F412" s="517"/>
      <c r="G412" s="517"/>
      <c r="H412" s="517"/>
      <c r="I412" s="517"/>
      <c r="J412" s="517"/>
      <c r="K412" s="564"/>
    </row>
    <row r="413" spans="1:11" x14ac:dyDescent="0.2">
      <c r="A413" s="517"/>
      <c r="B413" s="517"/>
      <c r="C413" s="517"/>
      <c r="D413" s="517"/>
      <c r="E413" s="517"/>
      <c r="F413" s="517"/>
      <c r="G413" s="517"/>
      <c r="H413" s="517"/>
      <c r="I413" s="517"/>
      <c r="J413" s="517"/>
      <c r="K413" s="564"/>
    </row>
    <row r="414" spans="1:11" x14ac:dyDescent="0.2">
      <c r="A414" s="517"/>
      <c r="B414" s="517"/>
      <c r="C414" s="517"/>
      <c r="D414" s="517"/>
      <c r="E414" s="517"/>
      <c r="F414" s="517"/>
      <c r="G414" s="517"/>
      <c r="H414" s="517"/>
      <c r="I414" s="517"/>
      <c r="J414" s="517"/>
      <c r="K414" s="564"/>
    </row>
    <row r="415" spans="1:11" x14ac:dyDescent="0.2">
      <c r="A415" s="517"/>
      <c r="B415" s="517"/>
      <c r="C415" s="517"/>
      <c r="D415" s="517"/>
      <c r="E415" s="517"/>
      <c r="F415" s="517"/>
      <c r="G415" s="517"/>
      <c r="H415" s="517"/>
      <c r="I415" s="517"/>
      <c r="J415" s="517"/>
      <c r="K415" s="564"/>
    </row>
    <row r="416" spans="1:11" x14ac:dyDescent="0.2">
      <c r="A416" s="517"/>
      <c r="B416" s="517"/>
      <c r="C416" s="517"/>
      <c r="D416" s="517"/>
      <c r="E416" s="517"/>
      <c r="F416" s="517"/>
      <c r="G416" s="517"/>
      <c r="H416" s="517"/>
      <c r="I416" s="517"/>
      <c r="J416" s="517"/>
      <c r="K416" s="564"/>
    </row>
    <row r="417" spans="1:11" x14ac:dyDescent="0.2">
      <c r="A417" s="517"/>
      <c r="B417" s="517"/>
      <c r="C417" s="517"/>
      <c r="D417" s="517"/>
      <c r="E417" s="517"/>
      <c r="F417" s="517"/>
      <c r="G417" s="517"/>
      <c r="H417" s="517"/>
      <c r="I417" s="517"/>
      <c r="J417" s="517"/>
      <c r="K417" s="564"/>
    </row>
    <row r="418" spans="1:11" x14ac:dyDescent="0.2">
      <c r="A418" s="517"/>
      <c r="B418" s="517"/>
      <c r="C418" s="517"/>
      <c r="D418" s="517"/>
      <c r="E418" s="517"/>
      <c r="F418" s="517"/>
      <c r="G418" s="517"/>
      <c r="H418" s="517"/>
      <c r="I418" s="517"/>
      <c r="J418" s="517"/>
      <c r="K418" s="564"/>
    </row>
    <row r="419" spans="1:11" x14ac:dyDescent="0.2">
      <c r="A419" s="517"/>
      <c r="B419" s="517"/>
      <c r="C419" s="517"/>
      <c r="D419" s="517"/>
      <c r="E419" s="517"/>
      <c r="F419" s="517"/>
      <c r="G419" s="517"/>
      <c r="H419" s="517"/>
      <c r="I419" s="517"/>
      <c r="J419" s="517"/>
      <c r="K419" s="564"/>
    </row>
    <row r="420" spans="1:11" x14ac:dyDescent="0.2">
      <c r="A420" s="517"/>
      <c r="B420" s="517"/>
      <c r="C420" s="517"/>
      <c r="D420" s="517"/>
      <c r="E420" s="517"/>
      <c r="F420" s="517"/>
      <c r="G420" s="517"/>
      <c r="H420" s="517"/>
      <c r="I420" s="517"/>
      <c r="J420" s="517"/>
      <c r="K420" s="564"/>
    </row>
    <row r="421" spans="1:11" x14ac:dyDescent="0.2">
      <c r="A421" s="517"/>
      <c r="B421" s="517"/>
      <c r="C421" s="517"/>
      <c r="D421" s="517"/>
      <c r="E421" s="517"/>
      <c r="F421" s="517"/>
      <c r="G421" s="517"/>
      <c r="H421" s="517"/>
      <c r="I421" s="517"/>
      <c r="J421" s="517"/>
      <c r="K421" s="564"/>
    </row>
    <row r="422" spans="1:11" x14ac:dyDescent="0.2">
      <c r="A422" s="517"/>
      <c r="B422" s="517"/>
      <c r="C422" s="517"/>
      <c r="D422" s="517"/>
      <c r="E422" s="517"/>
      <c r="F422" s="517"/>
      <c r="G422" s="517"/>
      <c r="H422" s="517"/>
      <c r="I422" s="517"/>
      <c r="J422" s="517"/>
      <c r="K422" s="564"/>
    </row>
    <row r="423" spans="1:11" x14ac:dyDescent="0.2">
      <c r="A423" s="517"/>
      <c r="B423" s="517"/>
      <c r="C423" s="517"/>
      <c r="D423" s="517"/>
      <c r="E423" s="517"/>
      <c r="F423" s="517"/>
      <c r="G423" s="517"/>
      <c r="H423" s="517"/>
      <c r="I423" s="517"/>
      <c r="J423" s="517"/>
      <c r="K423" s="564"/>
    </row>
    <row r="424" spans="1:11" x14ac:dyDescent="0.2">
      <c r="A424" s="517"/>
      <c r="B424" s="517"/>
      <c r="C424" s="517"/>
      <c r="D424" s="517"/>
      <c r="E424" s="517"/>
      <c r="F424" s="517"/>
      <c r="G424" s="517"/>
      <c r="H424" s="517"/>
      <c r="I424" s="517"/>
      <c r="J424" s="517"/>
      <c r="K424" s="564"/>
    </row>
    <row r="425" spans="1:11" x14ac:dyDescent="0.2">
      <c r="A425" s="517"/>
      <c r="B425" s="517"/>
      <c r="C425" s="517"/>
      <c r="D425" s="517"/>
      <c r="E425" s="517"/>
      <c r="F425" s="517"/>
      <c r="G425" s="517"/>
      <c r="H425" s="517"/>
      <c r="I425" s="517"/>
      <c r="J425" s="517"/>
      <c r="K425" s="564"/>
    </row>
    <row r="426" spans="1:11" x14ac:dyDescent="0.2">
      <c r="A426" s="517"/>
      <c r="B426" s="517"/>
      <c r="C426" s="517"/>
      <c r="D426" s="517"/>
      <c r="E426" s="517"/>
      <c r="F426" s="517"/>
      <c r="G426" s="517"/>
      <c r="H426" s="517"/>
      <c r="I426" s="517"/>
      <c r="J426" s="517"/>
      <c r="K426" s="564"/>
    </row>
    <row r="427" spans="1:11" x14ac:dyDescent="0.2">
      <c r="A427" s="517"/>
      <c r="B427" s="517"/>
      <c r="C427" s="517"/>
      <c r="D427" s="517"/>
      <c r="E427" s="517"/>
      <c r="F427" s="517"/>
      <c r="G427" s="517"/>
      <c r="H427" s="517"/>
      <c r="I427" s="517"/>
      <c r="J427" s="517"/>
      <c r="K427" s="564"/>
    </row>
    <row r="428" spans="1:11" x14ac:dyDescent="0.2">
      <c r="A428" s="517"/>
      <c r="B428" s="517"/>
      <c r="C428" s="517"/>
      <c r="D428" s="517"/>
      <c r="E428" s="517"/>
      <c r="F428" s="517"/>
      <c r="G428" s="517"/>
      <c r="H428" s="517"/>
      <c r="I428" s="517"/>
      <c r="J428" s="517"/>
      <c r="K428" s="564"/>
    </row>
    <row r="429" spans="1:11" x14ac:dyDescent="0.2">
      <c r="A429" s="517"/>
      <c r="B429" s="517"/>
      <c r="C429" s="517"/>
      <c r="D429" s="517"/>
      <c r="E429" s="517"/>
      <c r="F429" s="517"/>
      <c r="G429" s="517"/>
      <c r="H429" s="517"/>
      <c r="I429" s="517"/>
      <c r="J429" s="517"/>
      <c r="K429" s="564"/>
    </row>
    <row r="430" spans="1:11" x14ac:dyDescent="0.2">
      <c r="A430" s="517"/>
      <c r="B430" s="517"/>
      <c r="C430" s="517"/>
      <c r="D430" s="517"/>
      <c r="E430" s="517"/>
      <c r="F430" s="517"/>
      <c r="G430" s="517"/>
      <c r="H430" s="517"/>
      <c r="I430" s="517"/>
      <c r="J430" s="517"/>
      <c r="K430" s="564"/>
    </row>
    <row r="431" spans="1:11" x14ac:dyDescent="0.2">
      <c r="A431" s="517"/>
      <c r="B431" s="517"/>
      <c r="C431" s="517"/>
      <c r="D431" s="517"/>
      <c r="E431" s="517"/>
      <c r="F431" s="517"/>
      <c r="G431" s="517"/>
      <c r="H431" s="517"/>
      <c r="I431" s="517"/>
      <c r="J431" s="517"/>
      <c r="K431" s="564"/>
    </row>
    <row r="432" spans="1:11" x14ac:dyDescent="0.2">
      <c r="A432" s="517"/>
      <c r="B432" s="517"/>
      <c r="C432" s="517"/>
      <c r="D432" s="517"/>
      <c r="E432" s="517"/>
      <c r="F432" s="517"/>
      <c r="G432" s="517"/>
      <c r="H432" s="517"/>
      <c r="I432" s="517"/>
      <c r="J432" s="517"/>
      <c r="K432" s="564"/>
    </row>
    <row r="433" spans="1:11" x14ac:dyDescent="0.2">
      <c r="A433" s="517"/>
      <c r="B433" s="517"/>
      <c r="C433" s="517"/>
      <c r="D433" s="517"/>
      <c r="E433" s="517"/>
      <c r="F433" s="517"/>
      <c r="G433" s="517"/>
      <c r="H433" s="517"/>
      <c r="I433" s="517"/>
      <c r="J433" s="517"/>
      <c r="K433" s="564"/>
    </row>
    <row r="434" spans="1:11" x14ac:dyDescent="0.2">
      <c r="A434" s="517"/>
      <c r="B434" s="517"/>
      <c r="C434" s="517"/>
      <c r="D434" s="517"/>
      <c r="E434" s="517"/>
      <c r="F434" s="517"/>
      <c r="G434" s="517"/>
      <c r="H434" s="517"/>
      <c r="I434" s="517"/>
      <c r="J434" s="517"/>
      <c r="K434" s="564"/>
    </row>
    <row r="435" spans="1:11" x14ac:dyDescent="0.2">
      <c r="A435" s="517"/>
      <c r="B435" s="517"/>
      <c r="C435" s="517"/>
      <c r="D435" s="517"/>
      <c r="E435" s="517"/>
      <c r="F435" s="517"/>
      <c r="G435" s="517"/>
      <c r="H435" s="517"/>
      <c r="I435" s="517"/>
      <c r="J435" s="517"/>
      <c r="K435" s="564"/>
    </row>
    <row r="436" spans="1:11" x14ac:dyDescent="0.2">
      <c r="A436" s="517"/>
      <c r="B436" s="517"/>
      <c r="C436" s="517"/>
      <c r="D436" s="517"/>
      <c r="E436" s="517"/>
      <c r="F436" s="517"/>
      <c r="G436" s="517"/>
      <c r="H436" s="517"/>
      <c r="I436" s="517"/>
      <c r="J436" s="517"/>
      <c r="K436" s="564"/>
    </row>
    <row r="437" spans="1:11" x14ac:dyDescent="0.2">
      <c r="A437" s="517"/>
      <c r="B437" s="517"/>
      <c r="C437" s="517"/>
      <c r="D437" s="517"/>
      <c r="E437" s="517"/>
      <c r="F437" s="517"/>
      <c r="G437" s="517"/>
      <c r="H437" s="517"/>
      <c r="I437" s="517"/>
      <c r="J437" s="517"/>
      <c r="K437" s="564"/>
    </row>
    <row r="438" spans="1:11" x14ac:dyDescent="0.2">
      <c r="A438" s="517"/>
      <c r="B438" s="517"/>
      <c r="C438" s="517"/>
      <c r="D438" s="517"/>
      <c r="E438" s="517"/>
      <c r="F438" s="517"/>
      <c r="G438" s="517"/>
      <c r="H438" s="517"/>
      <c r="I438" s="517"/>
      <c r="J438" s="517"/>
      <c r="K438" s="564"/>
    </row>
    <row r="439" spans="1:11" x14ac:dyDescent="0.2">
      <c r="A439" s="517"/>
      <c r="B439" s="517"/>
      <c r="C439" s="517"/>
      <c r="D439" s="517"/>
      <c r="E439" s="517"/>
      <c r="F439" s="517"/>
      <c r="G439" s="517"/>
      <c r="H439" s="517"/>
      <c r="I439" s="517"/>
      <c r="J439" s="517"/>
      <c r="K439" s="564"/>
    </row>
    <row r="440" spans="1:11" x14ac:dyDescent="0.2">
      <c r="A440" s="517"/>
      <c r="B440" s="517"/>
      <c r="C440" s="517"/>
      <c r="D440" s="517"/>
      <c r="E440" s="517"/>
      <c r="F440" s="517"/>
      <c r="G440" s="517"/>
      <c r="H440" s="517"/>
      <c r="I440" s="517"/>
      <c r="J440" s="517"/>
      <c r="K440" s="564"/>
    </row>
    <row r="441" spans="1:11" x14ac:dyDescent="0.2">
      <c r="A441" s="517"/>
      <c r="B441" s="517"/>
      <c r="C441" s="517"/>
      <c r="D441" s="517"/>
      <c r="E441" s="517"/>
      <c r="F441" s="517"/>
      <c r="G441" s="517"/>
      <c r="H441" s="517"/>
      <c r="I441" s="517"/>
      <c r="J441" s="517"/>
      <c r="K441" s="564"/>
    </row>
    <row r="442" spans="1:11" x14ac:dyDescent="0.2">
      <c r="A442" s="517"/>
      <c r="B442" s="517"/>
      <c r="C442" s="517"/>
      <c r="D442" s="517"/>
      <c r="E442" s="517"/>
      <c r="F442" s="517"/>
      <c r="G442" s="517"/>
      <c r="H442" s="517"/>
      <c r="I442" s="517"/>
      <c r="J442" s="517"/>
      <c r="K442" s="564"/>
    </row>
    <row r="443" spans="1:11" x14ac:dyDescent="0.2">
      <c r="A443" s="517"/>
      <c r="B443" s="517"/>
      <c r="C443" s="517"/>
      <c r="D443" s="517"/>
      <c r="E443" s="517"/>
      <c r="F443" s="517"/>
      <c r="G443" s="517"/>
      <c r="H443" s="517"/>
      <c r="I443" s="517"/>
      <c r="J443" s="517"/>
      <c r="K443" s="564"/>
    </row>
    <row r="444" spans="1:11" x14ac:dyDescent="0.2">
      <c r="A444" s="517"/>
      <c r="B444" s="517"/>
      <c r="C444" s="517"/>
      <c r="D444" s="517"/>
      <c r="E444" s="517"/>
      <c r="F444" s="517"/>
      <c r="G444" s="517"/>
      <c r="H444" s="517"/>
      <c r="I444" s="517"/>
      <c r="J444" s="517"/>
      <c r="K444" s="564"/>
    </row>
    <row r="445" spans="1:11" x14ac:dyDescent="0.2">
      <c r="A445" s="517"/>
      <c r="B445" s="517"/>
      <c r="C445" s="517"/>
      <c r="D445" s="517"/>
      <c r="E445" s="517"/>
      <c r="F445" s="517"/>
      <c r="G445" s="517"/>
      <c r="H445" s="517"/>
      <c r="I445" s="517"/>
      <c r="J445" s="517"/>
      <c r="K445" s="564"/>
    </row>
    <row r="446" spans="1:11" x14ac:dyDescent="0.2">
      <c r="A446" s="517"/>
      <c r="B446" s="517"/>
      <c r="C446" s="517"/>
      <c r="D446" s="517"/>
      <c r="E446" s="517"/>
      <c r="F446" s="517"/>
      <c r="G446" s="517"/>
      <c r="H446" s="517"/>
      <c r="I446" s="517"/>
      <c r="J446" s="517"/>
      <c r="K446" s="564"/>
    </row>
    <row r="447" spans="1:11" x14ac:dyDescent="0.2">
      <c r="A447" s="517"/>
      <c r="B447" s="517"/>
      <c r="C447" s="517"/>
      <c r="D447" s="517"/>
      <c r="E447" s="517"/>
      <c r="F447" s="517"/>
      <c r="G447" s="517"/>
      <c r="H447" s="517"/>
      <c r="I447" s="517"/>
      <c r="J447" s="517"/>
      <c r="K447" s="564"/>
    </row>
    <row r="448" spans="1:11" x14ac:dyDescent="0.2">
      <c r="A448" s="517"/>
      <c r="B448" s="517"/>
      <c r="C448" s="517"/>
      <c r="D448" s="517"/>
      <c r="E448" s="517"/>
      <c r="F448" s="517"/>
      <c r="G448" s="517"/>
      <c r="H448" s="517"/>
      <c r="I448" s="517"/>
      <c r="J448" s="517"/>
      <c r="K448" s="564"/>
    </row>
    <row r="449" spans="1:11" x14ac:dyDescent="0.2">
      <c r="A449" s="517"/>
      <c r="B449" s="517"/>
      <c r="C449" s="517"/>
      <c r="D449" s="517"/>
      <c r="E449" s="517"/>
      <c r="F449" s="517"/>
      <c r="G449" s="517"/>
      <c r="H449" s="517"/>
      <c r="I449" s="517"/>
      <c r="J449" s="517"/>
      <c r="K449" s="564"/>
    </row>
    <row r="450" spans="1:11" x14ac:dyDescent="0.2">
      <c r="A450" s="517"/>
      <c r="B450" s="517"/>
      <c r="C450" s="517"/>
      <c r="D450" s="517"/>
      <c r="E450" s="517"/>
      <c r="F450" s="517"/>
      <c r="G450" s="517"/>
      <c r="H450" s="517"/>
      <c r="I450" s="517"/>
      <c r="J450" s="517"/>
      <c r="K450" s="564"/>
    </row>
    <row r="451" spans="1:11" x14ac:dyDescent="0.2">
      <c r="A451" s="517"/>
      <c r="B451" s="517"/>
      <c r="C451" s="517"/>
      <c r="D451" s="517"/>
      <c r="E451" s="517"/>
      <c r="F451" s="517"/>
      <c r="G451" s="517"/>
      <c r="H451" s="517"/>
      <c r="I451" s="517"/>
      <c r="J451" s="517"/>
      <c r="K451" s="564"/>
    </row>
    <row r="452" spans="1:11" x14ac:dyDescent="0.2">
      <c r="A452" s="517"/>
      <c r="B452" s="517"/>
      <c r="C452" s="517"/>
      <c r="D452" s="517"/>
      <c r="E452" s="517"/>
      <c r="F452" s="517"/>
      <c r="G452" s="517"/>
      <c r="H452" s="517"/>
      <c r="I452" s="517"/>
      <c r="J452" s="517"/>
      <c r="K452" s="564"/>
    </row>
    <row r="453" spans="1:11" x14ac:dyDescent="0.2">
      <c r="A453" s="517"/>
      <c r="B453" s="517"/>
      <c r="C453" s="517"/>
      <c r="D453" s="517"/>
      <c r="E453" s="517"/>
      <c r="F453" s="517"/>
      <c r="G453" s="517"/>
      <c r="H453" s="517"/>
      <c r="I453" s="517"/>
      <c r="J453" s="517"/>
      <c r="K453" s="564"/>
    </row>
    <row r="454" spans="1:11" x14ac:dyDescent="0.2">
      <c r="A454" s="517"/>
      <c r="B454" s="517"/>
      <c r="C454" s="517"/>
      <c r="D454" s="517"/>
      <c r="E454" s="517"/>
      <c r="F454" s="517"/>
      <c r="G454" s="517"/>
      <c r="H454" s="517"/>
      <c r="I454" s="517"/>
      <c r="J454" s="517"/>
      <c r="K454" s="564"/>
    </row>
    <row r="455" spans="1:11" x14ac:dyDescent="0.2">
      <c r="A455" s="517"/>
      <c r="B455" s="517"/>
      <c r="C455" s="517"/>
      <c r="D455" s="517"/>
      <c r="E455" s="517"/>
      <c r="F455" s="517"/>
      <c r="G455" s="517"/>
      <c r="H455" s="517"/>
      <c r="I455" s="517"/>
      <c r="J455" s="517"/>
      <c r="K455" s="564"/>
    </row>
    <row r="456" spans="1:11" x14ac:dyDescent="0.2">
      <c r="A456" s="517"/>
      <c r="B456" s="517"/>
      <c r="C456" s="517"/>
      <c r="D456" s="517"/>
      <c r="E456" s="517"/>
      <c r="F456" s="517"/>
      <c r="G456" s="517"/>
      <c r="H456" s="517"/>
      <c r="I456" s="517"/>
      <c r="J456" s="517"/>
      <c r="K456" s="564"/>
    </row>
    <row r="457" spans="1:11" x14ac:dyDescent="0.2">
      <c r="A457" s="517"/>
      <c r="B457" s="517"/>
      <c r="C457" s="517"/>
      <c r="D457" s="517"/>
      <c r="E457" s="517"/>
      <c r="F457" s="517"/>
      <c r="G457" s="517"/>
      <c r="H457" s="517"/>
      <c r="I457" s="517"/>
      <c r="J457" s="517"/>
      <c r="K457" s="564"/>
    </row>
    <row r="458" spans="1:11" x14ac:dyDescent="0.2">
      <c r="A458" s="517"/>
      <c r="B458" s="517"/>
      <c r="C458" s="517"/>
      <c r="D458" s="517"/>
      <c r="E458" s="517"/>
      <c r="F458" s="517"/>
      <c r="G458" s="517"/>
      <c r="H458" s="517"/>
      <c r="I458" s="517"/>
      <c r="J458" s="517"/>
      <c r="K458" s="564"/>
    </row>
    <row r="459" spans="1:11" x14ac:dyDescent="0.2">
      <c r="A459" s="517"/>
      <c r="B459" s="517"/>
      <c r="C459" s="517"/>
      <c r="D459" s="517"/>
      <c r="E459" s="517"/>
      <c r="F459" s="517"/>
      <c r="G459" s="517"/>
      <c r="H459" s="517"/>
      <c r="I459" s="517"/>
      <c r="J459" s="517"/>
      <c r="K459" s="564"/>
    </row>
    <row r="460" spans="1:11" x14ac:dyDescent="0.2">
      <c r="A460" s="517"/>
      <c r="B460" s="517"/>
      <c r="C460" s="517"/>
      <c r="D460" s="517"/>
      <c r="E460" s="517"/>
      <c r="F460" s="517"/>
      <c r="G460" s="517"/>
      <c r="H460" s="517"/>
      <c r="I460" s="517"/>
      <c r="J460" s="517"/>
      <c r="K460" s="564"/>
    </row>
    <row r="461" spans="1:11" x14ac:dyDescent="0.2">
      <c r="A461" s="517"/>
      <c r="B461" s="517"/>
      <c r="C461" s="517"/>
      <c r="D461" s="517"/>
      <c r="E461" s="517"/>
      <c r="F461" s="517"/>
      <c r="G461" s="517"/>
      <c r="H461" s="517"/>
      <c r="I461" s="517"/>
      <c r="J461" s="517"/>
      <c r="K461" s="564"/>
    </row>
    <row r="462" spans="1:11" x14ac:dyDescent="0.2">
      <c r="A462" s="517"/>
      <c r="B462" s="517"/>
      <c r="C462" s="517"/>
      <c r="D462" s="517"/>
      <c r="E462" s="517"/>
      <c r="F462" s="517"/>
      <c r="G462" s="517"/>
      <c r="H462" s="517"/>
      <c r="I462" s="517"/>
      <c r="J462" s="517"/>
      <c r="K462" s="564"/>
    </row>
    <row r="463" spans="1:11" x14ac:dyDescent="0.2">
      <c r="A463" s="517"/>
      <c r="B463" s="517"/>
      <c r="C463" s="517"/>
      <c r="D463" s="517"/>
      <c r="E463" s="517"/>
      <c r="F463" s="517"/>
      <c r="G463" s="517"/>
      <c r="H463" s="517"/>
      <c r="I463" s="517"/>
      <c r="J463" s="517"/>
      <c r="K463" s="564"/>
    </row>
    <row r="464" spans="1:11" x14ac:dyDescent="0.2">
      <c r="A464" s="517"/>
      <c r="B464" s="517"/>
      <c r="C464" s="517"/>
      <c r="D464" s="517"/>
      <c r="E464" s="517"/>
      <c r="F464" s="517"/>
      <c r="G464" s="517"/>
      <c r="H464" s="517"/>
      <c r="I464" s="517"/>
      <c r="J464" s="517"/>
      <c r="K464" s="564"/>
    </row>
    <row r="465" spans="1:11" x14ac:dyDescent="0.2">
      <c r="A465" s="517"/>
      <c r="B465" s="517"/>
      <c r="C465" s="517"/>
      <c r="D465" s="517"/>
      <c r="E465" s="517"/>
      <c r="F465" s="517"/>
      <c r="G465" s="517"/>
      <c r="H465" s="517"/>
      <c r="I465" s="517"/>
      <c r="J465" s="517"/>
      <c r="K465" s="564"/>
    </row>
    <row r="466" spans="1:11" x14ac:dyDescent="0.2">
      <c r="A466" s="517"/>
      <c r="B466" s="517"/>
      <c r="C466" s="517"/>
      <c r="D466" s="517"/>
      <c r="E466" s="517"/>
      <c r="F466" s="517"/>
      <c r="G466" s="517"/>
      <c r="H466" s="517"/>
      <c r="I466" s="517"/>
      <c r="J466" s="517"/>
      <c r="K466" s="564"/>
    </row>
    <row r="467" spans="1:11" x14ac:dyDescent="0.2">
      <c r="A467" s="517"/>
      <c r="B467" s="517"/>
      <c r="C467" s="517"/>
      <c r="D467" s="517"/>
      <c r="E467" s="517"/>
      <c r="F467" s="517"/>
      <c r="G467" s="517"/>
      <c r="H467" s="517"/>
      <c r="I467" s="517"/>
      <c r="J467" s="517"/>
      <c r="K467" s="564"/>
    </row>
    <row r="468" spans="1:11" x14ac:dyDescent="0.2">
      <c r="A468" s="517"/>
      <c r="B468" s="517"/>
      <c r="C468" s="517"/>
      <c r="D468" s="517"/>
      <c r="E468" s="517"/>
      <c r="F468" s="517"/>
      <c r="G468" s="517"/>
      <c r="H468" s="517"/>
      <c r="I468" s="517"/>
      <c r="J468" s="517"/>
      <c r="K468" s="564"/>
    </row>
    <row r="469" spans="1:11" x14ac:dyDescent="0.2">
      <c r="A469" s="517"/>
      <c r="B469" s="517"/>
      <c r="C469" s="517"/>
      <c r="D469" s="517"/>
      <c r="E469" s="517"/>
      <c r="F469" s="517"/>
      <c r="G469" s="517"/>
      <c r="H469" s="517"/>
      <c r="I469" s="517"/>
      <c r="J469" s="517"/>
      <c r="K469" s="564"/>
    </row>
    <row r="470" spans="1:11" x14ac:dyDescent="0.2">
      <c r="A470" s="517"/>
      <c r="B470" s="517"/>
      <c r="C470" s="517"/>
      <c r="D470" s="517"/>
      <c r="E470" s="517"/>
      <c r="F470" s="517"/>
      <c r="G470" s="517"/>
      <c r="H470" s="517"/>
      <c r="I470" s="517"/>
      <c r="J470" s="517"/>
      <c r="K470" s="564"/>
    </row>
    <row r="471" spans="1:11" x14ac:dyDescent="0.2">
      <c r="A471" s="517"/>
      <c r="B471" s="517"/>
      <c r="C471" s="517"/>
      <c r="D471" s="517"/>
      <c r="E471" s="517"/>
      <c r="F471" s="517"/>
      <c r="G471" s="517"/>
      <c r="H471" s="517"/>
      <c r="I471" s="517"/>
      <c r="J471" s="517"/>
      <c r="K471" s="564"/>
    </row>
    <row r="472" spans="1:11" x14ac:dyDescent="0.2">
      <c r="A472" s="517"/>
      <c r="B472" s="517"/>
      <c r="C472" s="517"/>
      <c r="D472" s="517"/>
      <c r="E472" s="517"/>
      <c r="F472" s="517"/>
      <c r="G472" s="517"/>
      <c r="H472" s="517"/>
      <c r="I472" s="517"/>
      <c r="J472" s="517"/>
      <c r="K472" s="564"/>
    </row>
    <row r="473" spans="1:11" x14ac:dyDescent="0.2">
      <c r="A473" s="517"/>
      <c r="B473" s="517"/>
      <c r="C473" s="517"/>
      <c r="D473" s="517"/>
      <c r="E473" s="517"/>
      <c r="F473" s="517"/>
      <c r="G473" s="517"/>
      <c r="H473" s="517"/>
      <c r="I473" s="517"/>
      <c r="J473" s="517"/>
      <c r="K473" s="564"/>
    </row>
    <row r="474" spans="1:11" x14ac:dyDescent="0.2">
      <c r="A474" s="517"/>
      <c r="B474" s="517"/>
      <c r="C474" s="517"/>
      <c r="D474" s="517"/>
      <c r="E474" s="517"/>
      <c r="F474" s="517"/>
      <c r="G474" s="517"/>
      <c r="H474" s="517"/>
      <c r="I474" s="517"/>
      <c r="J474" s="517"/>
      <c r="K474" s="564"/>
    </row>
    <row r="475" spans="1:11" x14ac:dyDescent="0.2">
      <c r="A475" s="517"/>
      <c r="B475" s="517"/>
      <c r="C475" s="517"/>
      <c r="D475" s="517"/>
      <c r="E475" s="517"/>
      <c r="F475" s="517"/>
      <c r="G475" s="517"/>
      <c r="H475" s="517"/>
      <c r="I475" s="517"/>
      <c r="J475" s="517"/>
      <c r="K475" s="564"/>
    </row>
    <row r="476" spans="1:11" x14ac:dyDescent="0.2">
      <c r="A476" s="517"/>
      <c r="B476" s="517"/>
      <c r="C476" s="517"/>
      <c r="D476" s="517"/>
      <c r="E476" s="517"/>
      <c r="F476" s="517"/>
      <c r="G476" s="517"/>
      <c r="H476" s="517"/>
      <c r="I476" s="517"/>
      <c r="J476" s="517"/>
      <c r="K476" s="564"/>
    </row>
    <row r="477" spans="1:11" x14ac:dyDescent="0.2">
      <c r="A477" s="517"/>
      <c r="B477" s="517"/>
      <c r="C477" s="517"/>
      <c r="D477" s="517"/>
      <c r="E477" s="517"/>
      <c r="F477" s="517"/>
      <c r="G477" s="517"/>
      <c r="H477" s="517"/>
      <c r="I477" s="517"/>
      <c r="J477" s="517"/>
      <c r="K477" s="564"/>
    </row>
    <row r="478" spans="1:11" x14ac:dyDescent="0.2">
      <c r="A478" s="517"/>
      <c r="B478" s="517"/>
      <c r="C478" s="517"/>
      <c r="D478" s="517"/>
      <c r="E478" s="517"/>
      <c r="F478" s="517"/>
      <c r="G478" s="517"/>
      <c r="H478" s="517"/>
      <c r="I478" s="517"/>
      <c r="J478" s="517"/>
      <c r="K478" s="564"/>
    </row>
    <row r="479" spans="1:11" x14ac:dyDescent="0.2">
      <c r="A479" s="517"/>
      <c r="B479" s="517"/>
      <c r="C479" s="517"/>
      <c r="D479" s="517"/>
      <c r="E479" s="517"/>
      <c r="F479" s="517"/>
      <c r="G479" s="517"/>
      <c r="H479" s="517"/>
      <c r="I479" s="517"/>
      <c r="J479" s="517"/>
      <c r="K479" s="564"/>
    </row>
    <row r="480" spans="1:11" x14ac:dyDescent="0.2">
      <c r="A480" s="517"/>
      <c r="B480" s="517"/>
      <c r="C480" s="517"/>
      <c r="D480" s="517"/>
      <c r="E480" s="517"/>
      <c r="F480" s="517"/>
      <c r="G480" s="517"/>
      <c r="H480" s="517"/>
      <c r="I480" s="517"/>
      <c r="J480" s="517"/>
      <c r="K480" s="564"/>
    </row>
    <row r="481" spans="1:11" x14ac:dyDescent="0.2">
      <c r="A481" s="517"/>
      <c r="B481" s="517"/>
      <c r="C481" s="517"/>
      <c r="D481" s="517"/>
      <c r="E481" s="517"/>
      <c r="F481" s="517"/>
      <c r="G481" s="517"/>
      <c r="H481" s="517"/>
      <c r="I481" s="517"/>
      <c r="J481" s="517"/>
      <c r="K481" s="564"/>
    </row>
    <row r="482" spans="1:11" x14ac:dyDescent="0.2">
      <c r="A482" s="517"/>
      <c r="B482" s="517"/>
      <c r="C482" s="517"/>
      <c r="D482" s="517"/>
      <c r="E482" s="517"/>
      <c r="F482" s="517"/>
      <c r="G482" s="517"/>
      <c r="H482" s="517"/>
      <c r="I482" s="517"/>
      <c r="J482" s="517"/>
      <c r="K482" s="564"/>
    </row>
    <row r="483" spans="1:11" x14ac:dyDescent="0.2">
      <c r="A483" s="517"/>
      <c r="B483" s="517"/>
      <c r="C483" s="517"/>
      <c r="D483" s="517"/>
      <c r="E483" s="517"/>
      <c r="F483" s="517"/>
      <c r="G483" s="517"/>
      <c r="H483" s="517"/>
      <c r="I483" s="517"/>
      <c r="J483" s="517"/>
      <c r="K483" s="564"/>
    </row>
    <row r="484" spans="1:11" x14ac:dyDescent="0.2">
      <c r="A484" s="517"/>
      <c r="B484" s="517"/>
      <c r="C484" s="517"/>
      <c r="D484" s="517"/>
      <c r="E484" s="517"/>
      <c r="F484" s="517"/>
      <c r="G484" s="517"/>
      <c r="H484" s="517"/>
      <c r="I484" s="517"/>
      <c r="J484" s="517"/>
      <c r="K484" s="564"/>
    </row>
    <row r="485" spans="1:11" x14ac:dyDescent="0.2">
      <c r="A485" s="517"/>
      <c r="B485" s="517"/>
      <c r="C485" s="517"/>
      <c r="D485" s="517"/>
      <c r="E485" s="517"/>
      <c r="F485" s="517"/>
      <c r="G485" s="517"/>
      <c r="H485" s="517"/>
      <c r="I485" s="517"/>
      <c r="J485" s="517"/>
      <c r="K485" s="564"/>
    </row>
    <row r="486" spans="1:11" x14ac:dyDescent="0.2">
      <c r="A486" s="517"/>
      <c r="B486" s="517"/>
      <c r="C486" s="517"/>
      <c r="D486" s="517"/>
      <c r="E486" s="517"/>
      <c r="F486" s="517"/>
      <c r="G486" s="517"/>
      <c r="H486" s="517"/>
      <c r="I486" s="517"/>
      <c r="J486" s="517"/>
      <c r="K486" s="564"/>
    </row>
    <row r="487" spans="1:11" x14ac:dyDescent="0.2">
      <c r="A487" s="517"/>
      <c r="B487" s="517"/>
      <c r="C487" s="517"/>
      <c r="D487" s="517"/>
      <c r="E487" s="517"/>
      <c r="F487" s="517"/>
      <c r="G487" s="517"/>
      <c r="H487" s="517"/>
      <c r="I487" s="517"/>
      <c r="J487" s="517"/>
      <c r="K487" s="564"/>
    </row>
    <row r="488" spans="1:11" x14ac:dyDescent="0.2">
      <c r="A488" s="517"/>
      <c r="B488" s="517"/>
      <c r="C488" s="517"/>
      <c r="D488" s="517"/>
      <c r="E488" s="517"/>
      <c r="F488" s="517"/>
      <c r="G488" s="517"/>
      <c r="H488" s="517"/>
      <c r="I488" s="517"/>
      <c r="J488" s="517"/>
      <c r="K488" s="564"/>
    </row>
    <row r="489" spans="1:11" x14ac:dyDescent="0.2">
      <c r="A489" s="517"/>
      <c r="B489" s="517"/>
      <c r="C489" s="517"/>
      <c r="D489" s="517"/>
      <c r="E489" s="517"/>
      <c r="F489" s="517"/>
      <c r="G489" s="517"/>
      <c r="H489" s="517"/>
      <c r="I489" s="517"/>
      <c r="J489" s="517"/>
      <c r="K489" s="564"/>
    </row>
    <row r="490" spans="1:11" x14ac:dyDescent="0.2">
      <c r="A490" s="517"/>
      <c r="B490" s="517"/>
      <c r="C490" s="517"/>
      <c r="D490" s="517"/>
      <c r="E490" s="517"/>
      <c r="F490" s="517"/>
      <c r="G490" s="517"/>
      <c r="H490" s="517"/>
      <c r="I490" s="517"/>
      <c r="J490" s="517"/>
      <c r="K490" s="564"/>
    </row>
    <row r="491" spans="1:11" x14ac:dyDescent="0.2">
      <c r="A491" s="517"/>
      <c r="B491" s="517"/>
      <c r="C491" s="517"/>
      <c r="D491" s="517"/>
      <c r="E491" s="517"/>
      <c r="F491" s="517"/>
      <c r="G491" s="517"/>
      <c r="H491" s="517"/>
      <c r="I491" s="517"/>
      <c r="J491" s="517"/>
      <c r="K491" s="564"/>
    </row>
    <row r="492" spans="1:11" x14ac:dyDescent="0.2">
      <c r="A492" s="517"/>
      <c r="B492" s="517"/>
      <c r="C492" s="517"/>
      <c r="D492" s="517"/>
      <c r="E492" s="517"/>
      <c r="F492" s="517"/>
      <c r="G492" s="517"/>
      <c r="H492" s="517"/>
      <c r="I492" s="517"/>
      <c r="J492" s="517"/>
      <c r="K492" s="564"/>
    </row>
    <row r="493" spans="1:11" x14ac:dyDescent="0.2">
      <c r="A493" s="517"/>
      <c r="B493" s="517"/>
      <c r="C493" s="517"/>
      <c r="D493" s="517"/>
      <c r="E493" s="517"/>
      <c r="F493" s="517"/>
      <c r="G493" s="517"/>
      <c r="H493" s="517"/>
      <c r="I493" s="517"/>
      <c r="J493" s="517"/>
      <c r="K493" s="564"/>
    </row>
    <row r="494" spans="1:11" x14ac:dyDescent="0.2">
      <c r="A494" s="517"/>
      <c r="B494" s="517"/>
      <c r="C494" s="517"/>
      <c r="D494" s="517"/>
      <c r="E494" s="517"/>
      <c r="F494" s="517"/>
      <c r="G494" s="517"/>
      <c r="H494" s="517"/>
      <c r="I494" s="517"/>
      <c r="J494" s="517"/>
      <c r="K494" s="564"/>
    </row>
    <row r="495" spans="1:11" x14ac:dyDescent="0.2">
      <c r="A495" s="517"/>
      <c r="B495" s="517"/>
      <c r="C495" s="517"/>
      <c r="D495" s="517"/>
      <c r="E495" s="517"/>
      <c r="F495" s="517"/>
      <c r="G495" s="517"/>
      <c r="H495" s="517"/>
      <c r="I495" s="517"/>
      <c r="J495" s="517"/>
      <c r="K495" s="564"/>
    </row>
    <row r="496" spans="1:11" x14ac:dyDescent="0.2">
      <c r="A496" s="517"/>
      <c r="B496" s="517"/>
      <c r="C496" s="517"/>
      <c r="D496" s="517"/>
      <c r="E496" s="517"/>
      <c r="F496" s="517"/>
      <c r="G496" s="517"/>
      <c r="H496" s="517"/>
      <c r="I496" s="517"/>
      <c r="J496" s="517"/>
      <c r="K496" s="564"/>
    </row>
    <row r="497" spans="1:11" x14ac:dyDescent="0.2">
      <c r="A497" s="517"/>
      <c r="B497" s="517"/>
      <c r="C497" s="517"/>
      <c r="D497" s="517"/>
      <c r="E497" s="517"/>
      <c r="F497" s="517"/>
      <c r="G497" s="517"/>
      <c r="H497" s="517"/>
      <c r="I497" s="517"/>
      <c r="J497" s="517"/>
      <c r="K497" s="564"/>
    </row>
    <row r="498" spans="1:11" x14ac:dyDescent="0.2">
      <c r="A498" s="517"/>
      <c r="B498" s="517"/>
      <c r="C498" s="517"/>
      <c r="D498" s="517"/>
      <c r="E498" s="517"/>
      <c r="F498" s="517"/>
      <c r="G498" s="517"/>
      <c r="H498" s="517"/>
      <c r="I498" s="517"/>
      <c r="J498" s="517"/>
      <c r="K498" s="564"/>
    </row>
    <row r="499" spans="1:11" x14ac:dyDescent="0.2">
      <c r="A499" s="517"/>
      <c r="B499" s="517"/>
      <c r="C499" s="517"/>
      <c r="D499" s="517"/>
      <c r="E499" s="517"/>
      <c r="F499" s="517"/>
      <c r="G499" s="517"/>
      <c r="H499" s="517"/>
      <c r="I499" s="517"/>
      <c r="J499" s="517"/>
      <c r="K499" s="564"/>
    </row>
    <row r="500" spans="1:11" x14ac:dyDescent="0.2">
      <c r="A500" s="517"/>
      <c r="B500" s="517"/>
      <c r="C500" s="517"/>
      <c r="D500" s="517"/>
      <c r="E500" s="517"/>
      <c r="F500" s="517"/>
      <c r="G500" s="517"/>
      <c r="H500" s="517"/>
      <c r="I500" s="517"/>
      <c r="J500" s="517"/>
      <c r="K500" s="564"/>
    </row>
    <row r="501" spans="1:11" x14ac:dyDescent="0.2">
      <c r="A501" s="517"/>
      <c r="B501" s="517"/>
      <c r="C501" s="517"/>
      <c r="D501" s="517"/>
      <c r="E501" s="517"/>
      <c r="F501" s="517"/>
      <c r="G501" s="517"/>
      <c r="H501" s="517"/>
      <c r="I501" s="517"/>
      <c r="J501" s="517"/>
      <c r="K501" s="564"/>
    </row>
    <row r="502" spans="1:11" x14ac:dyDescent="0.2">
      <c r="A502" s="517"/>
      <c r="B502" s="517"/>
      <c r="C502" s="517"/>
      <c r="D502" s="517"/>
      <c r="E502" s="517"/>
      <c r="F502" s="517"/>
      <c r="G502" s="517"/>
      <c r="H502" s="517"/>
      <c r="I502" s="517"/>
      <c r="J502" s="517"/>
      <c r="K502" s="564"/>
    </row>
    <row r="503" spans="1:11" x14ac:dyDescent="0.2">
      <c r="A503" s="517"/>
      <c r="B503" s="517"/>
      <c r="C503" s="517"/>
      <c r="D503" s="517"/>
      <c r="E503" s="517"/>
      <c r="F503" s="517"/>
      <c r="G503" s="517"/>
      <c r="H503" s="517"/>
      <c r="I503" s="517"/>
      <c r="J503" s="517"/>
      <c r="K503" s="564"/>
    </row>
    <row r="504" spans="1:11" x14ac:dyDescent="0.2">
      <c r="A504" s="517"/>
      <c r="B504" s="517"/>
      <c r="C504" s="517"/>
      <c r="D504" s="517"/>
      <c r="E504" s="517"/>
      <c r="F504" s="517"/>
      <c r="G504" s="517"/>
      <c r="H504" s="517"/>
      <c r="I504" s="517"/>
      <c r="J504" s="517"/>
      <c r="K504" s="564"/>
    </row>
    <row r="505" spans="1:11" x14ac:dyDescent="0.2">
      <c r="A505" s="517"/>
      <c r="B505" s="517"/>
      <c r="C505" s="517"/>
      <c r="D505" s="517"/>
      <c r="E505" s="517"/>
      <c r="F505" s="517"/>
      <c r="G505" s="517"/>
      <c r="H505" s="517"/>
      <c r="I505" s="517"/>
      <c r="J505" s="517"/>
      <c r="K505" s="564"/>
    </row>
    <row r="506" spans="1:11" x14ac:dyDescent="0.2">
      <c r="A506" s="517"/>
      <c r="B506" s="517"/>
      <c r="C506" s="517"/>
      <c r="D506" s="517"/>
      <c r="E506" s="517"/>
      <c r="F506" s="517"/>
      <c r="G506" s="517"/>
      <c r="H506" s="517"/>
      <c r="I506" s="517"/>
      <c r="J506" s="517"/>
      <c r="K506" s="564"/>
    </row>
    <row r="507" spans="1:11" x14ac:dyDescent="0.2">
      <c r="A507" s="517"/>
      <c r="B507" s="517"/>
      <c r="C507" s="517"/>
      <c r="D507" s="517"/>
      <c r="E507" s="517"/>
      <c r="F507" s="517"/>
      <c r="G507" s="517"/>
      <c r="H507" s="517"/>
      <c r="I507" s="517"/>
      <c r="J507" s="517"/>
      <c r="K507" s="564"/>
    </row>
    <row r="508" spans="1:11" x14ac:dyDescent="0.2">
      <c r="A508" s="517"/>
      <c r="B508" s="517"/>
      <c r="C508" s="517"/>
      <c r="D508" s="517"/>
      <c r="E508" s="517"/>
      <c r="F508" s="517"/>
      <c r="G508" s="517"/>
      <c r="H508" s="517"/>
      <c r="I508" s="517"/>
      <c r="J508" s="517"/>
      <c r="K508" s="564"/>
    </row>
    <row r="509" spans="1:11" x14ac:dyDescent="0.2">
      <c r="A509" s="517"/>
      <c r="B509" s="517"/>
      <c r="C509" s="517"/>
      <c r="D509" s="517"/>
      <c r="E509" s="517"/>
      <c r="F509" s="517"/>
      <c r="G509" s="517"/>
      <c r="H509" s="517"/>
      <c r="I509" s="517"/>
      <c r="J509" s="517"/>
      <c r="K509" s="564"/>
    </row>
    <row r="510" spans="1:11" x14ac:dyDescent="0.2">
      <c r="A510" s="517"/>
      <c r="B510" s="517"/>
      <c r="C510" s="517"/>
      <c r="D510" s="517"/>
      <c r="E510" s="517"/>
      <c r="F510" s="517"/>
      <c r="G510" s="517"/>
      <c r="H510" s="517"/>
      <c r="I510" s="517"/>
      <c r="J510" s="517"/>
      <c r="K510" s="564"/>
    </row>
    <row r="511" spans="1:11" x14ac:dyDescent="0.2">
      <c r="A511" s="517"/>
      <c r="B511" s="517"/>
      <c r="C511" s="517"/>
      <c r="D511" s="517"/>
      <c r="E511" s="517"/>
      <c r="F511" s="517"/>
      <c r="G511" s="517"/>
      <c r="H511" s="517"/>
      <c r="I511" s="517"/>
      <c r="J511" s="517"/>
      <c r="K511" s="564"/>
    </row>
    <row r="512" spans="1:11" x14ac:dyDescent="0.2">
      <c r="A512" s="517"/>
      <c r="B512" s="517"/>
      <c r="C512" s="517"/>
      <c r="D512" s="517"/>
      <c r="E512" s="517"/>
      <c r="F512" s="517"/>
      <c r="G512" s="517"/>
      <c r="H512" s="517"/>
      <c r="I512" s="517"/>
      <c r="J512" s="517"/>
      <c r="K512" s="564"/>
    </row>
    <row r="513" spans="1:11" x14ac:dyDescent="0.2">
      <c r="A513" s="517"/>
      <c r="B513" s="517"/>
      <c r="C513" s="517"/>
      <c r="D513" s="517"/>
      <c r="E513" s="517"/>
      <c r="F513" s="517"/>
      <c r="G513" s="517"/>
      <c r="H513" s="517"/>
      <c r="I513" s="517"/>
      <c r="J513" s="517"/>
      <c r="K513" s="564"/>
    </row>
    <row r="514" spans="1:11" x14ac:dyDescent="0.2">
      <c r="A514" s="517"/>
      <c r="B514" s="517"/>
      <c r="C514" s="517"/>
      <c r="D514" s="517"/>
      <c r="E514" s="517"/>
      <c r="F514" s="517"/>
      <c r="G514" s="517"/>
      <c r="H514" s="517"/>
      <c r="I514" s="517"/>
      <c r="J514" s="517"/>
      <c r="K514" s="564"/>
    </row>
    <row r="515" spans="1:11" x14ac:dyDescent="0.2">
      <c r="A515" s="517"/>
      <c r="B515" s="517"/>
      <c r="C515" s="517"/>
      <c r="D515" s="517"/>
      <c r="E515" s="517"/>
      <c r="F515" s="517"/>
      <c r="G515" s="517"/>
      <c r="H515" s="517"/>
      <c r="I515" s="517"/>
      <c r="J515" s="517"/>
      <c r="K515" s="564"/>
    </row>
    <row r="516" spans="1:11" x14ac:dyDescent="0.2">
      <c r="A516" s="517"/>
      <c r="B516" s="517"/>
      <c r="C516" s="517"/>
      <c r="D516" s="517"/>
      <c r="E516" s="517"/>
      <c r="F516" s="517"/>
      <c r="G516" s="517"/>
      <c r="H516" s="517"/>
      <c r="I516" s="517"/>
      <c r="J516" s="517"/>
      <c r="K516" s="564"/>
    </row>
    <row r="517" spans="1:11" x14ac:dyDescent="0.2">
      <c r="A517" s="517"/>
      <c r="B517" s="517"/>
      <c r="C517" s="517"/>
      <c r="D517" s="517"/>
      <c r="E517" s="517"/>
      <c r="F517" s="517"/>
      <c r="G517" s="517"/>
      <c r="H517" s="517"/>
      <c r="I517" s="517"/>
      <c r="J517" s="517"/>
      <c r="K517" s="564"/>
    </row>
    <row r="518" spans="1:11" x14ac:dyDescent="0.2">
      <c r="A518" s="517"/>
      <c r="B518" s="517"/>
      <c r="C518" s="517"/>
      <c r="D518" s="517"/>
      <c r="E518" s="517"/>
      <c r="F518" s="517"/>
      <c r="G518" s="517"/>
      <c r="H518" s="517"/>
      <c r="I518" s="517"/>
      <c r="J518" s="517"/>
      <c r="K518" s="564"/>
    </row>
    <row r="519" spans="1:11" x14ac:dyDescent="0.2">
      <c r="A519" s="517"/>
      <c r="B519" s="517"/>
      <c r="C519" s="517"/>
      <c r="D519" s="517"/>
      <c r="E519" s="517"/>
      <c r="F519" s="517"/>
      <c r="G519" s="517"/>
      <c r="H519" s="517"/>
      <c r="I519" s="517"/>
      <c r="J519" s="517"/>
      <c r="K519" s="564"/>
    </row>
    <row r="520" spans="1:11" x14ac:dyDescent="0.2">
      <c r="A520" s="517"/>
      <c r="B520" s="517"/>
      <c r="C520" s="517"/>
      <c r="D520" s="517"/>
      <c r="E520" s="517"/>
      <c r="F520" s="517"/>
      <c r="G520" s="517"/>
      <c r="H520" s="517"/>
      <c r="I520" s="517"/>
      <c r="J520" s="517"/>
      <c r="K520" s="564"/>
    </row>
    <row r="521" spans="1:11" x14ac:dyDescent="0.2">
      <c r="A521" s="517"/>
      <c r="B521" s="517"/>
      <c r="C521" s="517"/>
      <c r="D521" s="517"/>
      <c r="E521" s="517"/>
      <c r="F521" s="517"/>
      <c r="G521" s="517"/>
      <c r="H521" s="517"/>
      <c r="I521" s="517"/>
      <c r="J521" s="517"/>
      <c r="K521" s="564"/>
    </row>
    <row r="522" spans="1:11" x14ac:dyDescent="0.2">
      <c r="A522" s="517"/>
      <c r="B522" s="517"/>
      <c r="C522" s="517"/>
      <c r="D522" s="517"/>
      <c r="E522" s="517"/>
      <c r="F522" s="517"/>
      <c r="G522" s="517"/>
      <c r="H522" s="517"/>
      <c r="I522" s="517"/>
      <c r="J522" s="517"/>
      <c r="K522" s="564"/>
    </row>
    <row r="523" spans="1:11" x14ac:dyDescent="0.2">
      <c r="A523" s="517"/>
      <c r="B523" s="517"/>
      <c r="C523" s="517"/>
      <c r="D523" s="517"/>
      <c r="E523" s="517"/>
      <c r="F523" s="517"/>
      <c r="G523" s="517"/>
      <c r="H523" s="517"/>
      <c r="I523" s="517"/>
      <c r="J523" s="517"/>
      <c r="K523" s="564"/>
    </row>
    <row r="524" spans="1:11" x14ac:dyDescent="0.2">
      <c r="A524" s="517"/>
      <c r="B524" s="517"/>
      <c r="C524" s="517"/>
      <c r="D524" s="517"/>
      <c r="E524" s="517"/>
      <c r="F524" s="517"/>
      <c r="G524" s="517"/>
      <c r="H524" s="517"/>
      <c r="I524" s="517"/>
      <c r="J524" s="517"/>
      <c r="K524" s="564"/>
    </row>
    <row r="525" spans="1:11" x14ac:dyDescent="0.2">
      <c r="A525" s="517"/>
      <c r="B525" s="517"/>
      <c r="C525" s="517"/>
      <c r="D525" s="517"/>
      <c r="E525" s="517"/>
      <c r="F525" s="517"/>
      <c r="G525" s="517"/>
      <c r="H525" s="517"/>
      <c r="I525" s="517"/>
      <c r="J525" s="517"/>
      <c r="K525" s="564"/>
    </row>
    <row r="526" spans="1:11" x14ac:dyDescent="0.2">
      <c r="A526" s="517"/>
      <c r="B526" s="517"/>
      <c r="C526" s="517"/>
      <c r="D526" s="517"/>
      <c r="E526" s="517"/>
      <c r="F526" s="517"/>
      <c r="G526" s="517"/>
      <c r="H526" s="517"/>
      <c r="I526" s="517"/>
      <c r="J526" s="517"/>
      <c r="K526" s="564"/>
    </row>
    <row r="527" spans="1:11" x14ac:dyDescent="0.2">
      <c r="A527" s="517"/>
      <c r="B527" s="517"/>
      <c r="C527" s="517"/>
      <c r="D527" s="517"/>
      <c r="E527" s="517"/>
      <c r="F527" s="517"/>
      <c r="G527" s="517"/>
      <c r="H527" s="517"/>
      <c r="I527" s="517"/>
      <c r="J527" s="517"/>
      <c r="K527" s="564"/>
    </row>
    <row r="528" spans="1:11" x14ac:dyDescent="0.2">
      <c r="A528" s="517"/>
      <c r="B528" s="517"/>
      <c r="C528" s="517"/>
      <c r="D528" s="517"/>
      <c r="E528" s="517"/>
      <c r="F528" s="517"/>
      <c r="G528" s="517"/>
      <c r="H528" s="517"/>
      <c r="I528" s="517"/>
      <c r="J528" s="517"/>
      <c r="K528" s="564"/>
    </row>
    <row r="529" spans="1:11" x14ac:dyDescent="0.2">
      <c r="A529" s="517"/>
      <c r="B529" s="517"/>
      <c r="C529" s="517"/>
      <c r="D529" s="517"/>
      <c r="E529" s="517"/>
      <c r="F529" s="517"/>
      <c r="G529" s="517"/>
      <c r="H529" s="517"/>
      <c r="I529" s="517"/>
      <c r="J529" s="517"/>
      <c r="K529" s="564"/>
    </row>
    <row r="530" spans="1:11" x14ac:dyDescent="0.2">
      <c r="A530" s="517"/>
      <c r="B530" s="517"/>
      <c r="C530" s="517"/>
      <c r="D530" s="517"/>
      <c r="E530" s="517"/>
      <c r="F530" s="517"/>
      <c r="G530" s="517"/>
      <c r="H530" s="517"/>
      <c r="I530" s="517"/>
      <c r="J530" s="517"/>
      <c r="K530" s="564"/>
    </row>
    <row r="531" spans="1:11" x14ac:dyDescent="0.2">
      <c r="A531" s="517"/>
      <c r="B531" s="517"/>
      <c r="C531" s="517"/>
      <c r="D531" s="517"/>
      <c r="E531" s="517"/>
      <c r="F531" s="517"/>
      <c r="G531" s="517"/>
      <c r="H531" s="517"/>
      <c r="I531" s="517"/>
      <c r="J531" s="517"/>
      <c r="K531" s="564"/>
    </row>
    <row r="532" spans="1:11" x14ac:dyDescent="0.2">
      <c r="A532" s="517"/>
      <c r="B532" s="517"/>
      <c r="C532" s="517"/>
      <c r="D532" s="517"/>
      <c r="E532" s="517"/>
      <c r="F532" s="517"/>
      <c r="G532" s="517"/>
      <c r="H532" s="517"/>
      <c r="I532" s="517"/>
      <c r="J532" s="517"/>
      <c r="K532" s="564"/>
    </row>
    <row r="533" spans="1:11" x14ac:dyDescent="0.2">
      <c r="A533" s="517"/>
      <c r="B533" s="517"/>
      <c r="C533" s="517"/>
      <c r="D533" s="517"/>
      <c r="E533" s="517"/>
      <c r="F533" s="517"/>
      <c r="G533" s="517"/>
      <c r="H533" s="517"/>
      <c r="I533" s="517"/>
      <c r="J533" s="517"/>
      <c r="K533" s="564"/>
    </row>
    <row r="534" spans="1:11" x14ac:dyDescent="0.2">
      <c r="A534" s="517"/>
      <c r="B534" s="517"/>
      <c r="C534" s="517"/>
      <c r="D534" s="517"/>
      <c r="E534" s="517"/>
      <c r="F534" s="517"/>
      <c r="G534" s="517"/>
      <c r="H534" s="517"/>
      <c r="I534" s="517"/>
      <c r="J534" s="517"/>
      <c r="K534" s="564"/>
    </row>
    <row r="535" spans="1:11" x14ac:dyDescent="0.2">
      <c r="A535" s="517"/>
      <c r="B535" s="517"/>
      <c r="C535" s="517"/>
      <c r="D535" s="517"/>
      <c r="E535" s="517"/>
      <c r="F535" s="517"/>
      <c r="G535" s="517"/>
      <c r="H535" s="517"/>
      <c r="I535" s="517"/>
      <c r="J535" s="517"/>
      <c r="K535" s="564"/>
    </row>
    <row r="536" spans="1:11" x14ac:dyDescent="0.2">
      <c r="A536" s="517"/>
      <c r="B536" s="517"/>
      <c r="C536" s="517"/>
      <c r="D536" s="517"/>
      <c r="E536" s="517"/>
      <c r="F536" s="517"/>
      <c r="G536" s="517"/>
      <c r="H536" s="517"/>
      <c r="I536" s="517"/>
      <c r="J536" s="517"/>
      <c r="K536" s="564"/>
    </row>
    <row r="537" spans="1:11" x14ac:dyDescent="0.2">
      <c r="A537" s="517"/>
      <c r="B537" s="517"/>
      <c r="C537" s="517"/>
      <c r="D537" s="517"/>
      <c r="E537" s="517"/>
      <c r="F537" s="517"/>
      <c r="G537" s="517"/>
      <c r="H537" s="517"/>
      <c r="I537" s="517"/>
      <c r="J537" s="517"/>
      <c r="K537" s="564"/>
    </row>
    <row r="538" spans="1:11" x14ac:dyDescent="0.2">
      <c r="A538" s="517"/>
      <c r="B538" s="517"/>
      <c r="C538" s="517"/>
      <c r="D538" s="517"/>
      <c r="E538" s="517"/>
      <c r="F538" s="517"/>
      <c r="G538" s="517"/>
      <c r="H538" s="517"/>
      <c r="I538" s="517"/>
      <c r="J538" s="517"/>
      <c r="K538" s="564"/>
    </row>
    <row r="539" spans="1:11" x14ac:dyDescent="0.2">
      <c r="A539" s="517"/>
      <c r="B539" s="517"/>
      <c r="C539" s="517"/>
      <c r="D539" s="517"/>
      <c r="E539" s="517"/>
      <c r="F539" s="517"/>
      <c r="G539" s="517"/>
      <c r="H539" s="517"/>
      <c r="I539" s="517"/>
      <c r="J539" s="517"/>
      <c r="K539" s="564"/>
    </row>
    <row r="540" spans="1:11" x14ac:dyDescent="0.2">
      <c r="A540" s="517"/>
      <c r="B540" s="517"/>
      <c r="C540" s="517"/>
      <c r="D540" s="517"/>
      <c r="E540" s="517"/>
      <c r="F540" s="517"/>
      <c r="G540" s="517"/>
      <c r="H540" s="517"/>
      <c r="I540" s="517"/>
      <c r="J540" s="517"/>
      <c r="K540" s="564"/>
    </row>
    <row r="541" spans="1:11" x14ac:dyDescent="0.2">
      <c r="A541" s="517"/>
      <c r="B541" s="517"/>
      <c r="C541" s="517"/>
      <c r="D541" s="517"/>
      <c r="E541" s="517"/>
      <c r="F541" s="517"/>
      <c r="G541" s="517"/>
      <c r="H541" s="517"/>
      <c r="I541" s="517"/>
      <c r="J541" s="517"/>
      <c r="K541" s="564"/>
    </row>
    <row r="542" spans="1:11" x14ac:dyDescent="0.2">
      <c r="A542" s="517"/>
      <c r="B542" s="517"/>
      <c r="C542" s="517"/>
      <c r="D542" s="517"/>
      <c r="E542" s="517"/>
      <c r="F542" s="517"/>
      <c r="G542" s="517"/>
      <c r="H542" s="517"/>
      <c r="I542" s="517"/>
      <c r="J542" s="517"/>
      <c r="K542" s="564"/>
    </row>
    <row r="543" spans="1:11" x14ac:dyDescent="0.2">
      <c r="A543" s="517"/>
      <c r="B543" s="517"/>
      <c r="C543" s="517"/>
      <c r="D543" s="517"/>
      <c r="E543" s="517"/>
      <c r="F543" s="517"/>
      <c r="G543" s="517"/>
      <c r="H543" s="517"/>
      <c r="I543" s="517"/>
      <c r="J543" s="517"/>
      <c r="K543" s="564"/>
    </row>
    <row r="544" spans="1:11" x14ac:dyDescent="0.2">
      <c r="A544" s="517"/>
      <c r="B544" s="517"/>
      <c r="C544" s="517"/>
      <c r="D544" s="517"/>
      <c r="E544" s="517"/>
      <c r="F544" s="517"/>
      <c r="G544" s="517"/>
      <c r="H544" s="517"/>
      <c r="I544" s="517"/>
      <c r="J544" s="517"/>
      <c r="K544" s="564"/>
    </row>
    <row r="545" spans="1:11" x14ac:dyDescent="0.2">
      <c r="A545" s="517"/>
      <c r="B545" s="517"/>
      <c r="C545" s="517"/>
      <c r="D545" s="517"/>
      <c r="E545" s="517"/>
      <c r="F545" s="517"/>
      <c r="G545" s="517"/>
      <c r="H545" s="517"/>
      <c r="I545" s="517"/>
      <c r="J545" s="517"/>
      <c r="K545" s="564"/>
    </row>
    <row r="546" spans="1:11" x14ac:dyDescent="0.2">
      <c r="A546" s="517"/>
      <c r="B546" s="517"/>
      <c r="C546" s="517"/>
      <c r="D546" s="517"/>
      <c r="E546" s="517"/>
      <c r="F546" s="517"/>
      <c r="G546" s="517"/>
      <c r="H546" s="517"/>
      <c r="I546" s="517"/>
      <c r="J546" s="517"/>
      <c r="K546" s="564"/>
    </row>
    <row r="547" spans="1:11" x14ac:dyDescent="0.2">
      <c r="A547" s="517"/>
      <c r="B547" s="517"/>
      <c r="C547" s="517"/>
      <c r="D547" s="517"/>
      <c r="E547" s="517"/>
      <c r="F547" s="517"/>
      <c r="G547" s="517"/>
      <c r="H547" s="517"/>
      <c r="I547" s="517"/>
      <c r="J547" s="517"/>
      <c r="K547" s="564"/>
    </row>
    <row r="548" spans="1:11" x14ac:dyDescent="0.2">
      <c r="A548" s="517"/>
      <c r="B548" s="517"/>
      <c r="C548" s="517"/>
      <c r="D548" s="517"/>
      <c r="E548" s="517"/>
      <c r="F548" s="517"/>
      <c r="G548" s="517"/>
      <c r="H548" s="517"/>
      <c r="I548" s="517"/>
      <c r="J548" s="517"/>
      <c r="K548" s="564"/>
    </row>
    <row r="549" spans="1:11" x14ac:dyDescent="0.2">
      <c r="A549" s="517"/>
      <c r="B549" s="517"/>
      <c r="C549" s="517"/>
      <c r="D549" s="517"/>
      <c r="E549" s="517"/>
      <c r="F549" s="517"/>
      <c r="G549" s="517"/>
      <c r="H549" s="517"/>
      <c r="I549" s="517"/>
      <c r="J549" s="517"/>
      <c r="K549" s="564"/>
    </row>
    <row r="550" spans="1:11" x14ac:dyDescent="0.2">
      <c r="A550" s="517"/>
      <c r="B550" s="517"/>
      <c r="C550" s="517"/>
      <c r="D550" s="517"/>
      <c r="E550" s="517"/>
      <c r="F550" s="517"/>
      <c r="G550" s="517"/>
      <c r="H550" s="517"/>
      <c r="I550" s="517"/>
      <c r="J550" s="517"/>
      <c r="K550" s="564"/>
    </row>
    <row r="551" spans="1:11" x14ac:dyDescent="0.2">
      <c r="A551" s="517"/>
      <c r="B551" s="517"/>
      <c r="C551" s="517"/>
      <c r="D551" s="517"/>
      <c r="E551" s="517"/>
      <c r="F551" s="517"/>
      <c r="G551" s="517"/>
      <c r="H551" s="517"/>
      <c r="I551" s="517"/>
      <c r="J551" s="517"/>
      <c r="K551" s="564"/>
    </row>
    <row r="552" spans="1:11" x14ac:dyDescent="0.2">
      <c r="A552" s="517"/>
      <c r="B552" s="517"/>
      <c r="C552" s="517"/>
      <c r="D552" s="517"/>
      <c r="E552" s="517"/>
      <c r="F552" s="517"/>
      <c r="G552" s="517"/>
      <c r="H552" s="517"/>
      <c r="I552" s="517"/>
      <c r="J552" s="517"/>
      <c r="K552" s="564"/>
    </row>
    <row r="553" spans="1:11" x14ac:dyDescent="0.2">
      <c r="A553" s="517"/>
      <c r="B553" s="517"/>
      <c r="C553" s="517"/>
      <c r="D553" s="517"/>
      <c r="E553" s="517"/>
      <c r="F553" s="517"/>
      <c r="G553" s="517"/>
      <c r="H553" s="517"/>
      <c r="I553" s="517"/>
      <c r="J553" s="517"/>
      <c r="K553" s="564"/>
    </row>
    <row r="554" spans="1:11" x14ac:dyDescent="0.2">
      <c r="A554" s="517"/>
      <c r="B554" s="517"/>
      <c r="C554" s="517"/>
      <c r="D554" s="517"/>
      <c r="E554" s="517"/>
      <c r="F554" s="517"/>
      <c r="G554" s="517"/>
      <c r="H554" s="517"/>
      <c r="I554" s="517"/>
      <c r="J554" s="517"/>
      <c r="K554" s="564"/>
    </row>
    <row r="555" spans="1:11" x14ac:dyDescent="0.2">
      <c r="A555" s="517"/>
      <c r="B555" s="517"/>
      <c r="C555" s="517"/>
      <c r="D555" s="517"/>
      <c r="E555" s="517"/>
      <c r="F555" s="517"/>
      <c r="G555" s="517"/>
      <c r="H555" s="517"/>
      <c r="I555" s="517"/>
      <c r="J555" s="517"/>
      <c r="K555" s="564"/>
    </row>
    <row r="556" spans="1:11" x14ac:dyDescent="0.2">
      <c r="A556" s="517"/>
      <c r="B556" s="517"/>
      <c r="C556" s="517"/>
      <c r="D556" s="517"/>
      <c r="E556" s="517"/>
      <c r="F556" s="517"/>
      <c r="G556" s="517"/>
      <c r="H556" s="517"/>
      <c r="I556" s="517"/>
      <c r="J556" s="517"/>
      <c r="K556" s="564"/>
    </row>
    <row r="557" spans="1:11" x14ac:dyDescent="0.2">
      <c r="A557" s="517"/>
      <c r="B557" s="517"/>
      <c r="C557" s="517"/>
      <c r="D557" s="517"/>
      <c r="E557" s="517"/>
      <c r="F557" s="517"/>
      <c r="G557" s="517"/>
      <c r="H557" s="517"/>
      <c r="I557" s="517"/>
      <c r="J557" s="517"/>
      <c r="K557" s="564"/>
    </row>
    <row r="558" spans="1:11" x14ac:dyDescent="0.2">
      <c r="A558" s="517"/>
      <c r="B558" s="517"/>
      <c r="C558" s="517"/>
      <c r="D558" s="517"/>
      <c r="E558" s="517"/>
      <c r="F558" s="517"/>
      <c r="G558" s="517"/>
      <c r="H558" s="517"/>
      <c r="I558" s="517"/>
      <c r="J558" s="517"/>
      <c r="K558" s="564"/>
    </row>
    <row r="559" spans="1:11" x14ac:dyDescent="0.2">
      <c r="A559" s="517"/>
      <c r="B559" s="517"/>
      <c r="C559" s="517"/>
      <c r="D559" s="517"/>
      <c r="E559" s="517"/>
      <c r="F559" s="517"/>
      <c r="G559" s="517"/>
      <c r="H559" s="517"/>
      <c r="I559" s="517"/>
      <c r="J559" s="517"/>
      <c r="K559" s="564"/>
    </row>
    <row r="560" spans="1:11" x14ac:dyDescent="0.2">
      <c r="A560" s="517"/>
      <c r="B560" s="517"/>
      <c r="C560" s="517"/>
      <c r="D560" s="517"/>
      <c r="E560" s="517"/>
      <c r="F560" s="517"/>
      <c r="G560" s="517"/>
      <c r="H560" s="517"/>
      <c r="I560" s="517"/>
      <c r="J560" s="517"/>
      <c r="K560" s="564"/>
    </row>
    <row r="561" spans="1:11" x14ac:dyDescent="0.2">
      <c r="A561" s="517"/>
      <c r="B561" s="517"/>
      <c r="C561" s="517"/>
      <c r="D561" s="517"/>
      <c r="E561" s="517"/>
      <c r="F561" s="517"/>
      <c r="G561" s="517"/>
      <c r="H561" s="517"/>
      <c r="I561" s="517"/>
      <c r="J561" s="517"/>
      <c r="K561" s="564"/>
    </row>
    <row r="562" spans="1:11" x14ac:dyDescent="0.2">
      <c r="A562" s="517"/>
      <c r="B562" s="517"/>
      <c r="C562" s="517"/>
      <c r="D562" s="517"/>
      <c r="E562" s="517"/>
      <c r="F562" s="517"/>
      <c r="G562" s="517"/>
      <c r="H562" s="517"/>
      <c r="I562" s="517"/>
      <c r="J562" s="517"/>
      <c r="K562" s="564"/>
    </row>
    <row r="563" spans="1:11" x14ac:dyDescent="0.2">
      <c r="A563" s="517"/>
      <c r="B563" s="517"/>
      <c r="C563" s="517"/>
      <c r="D563" s="517"/>
      <c r="E563" s="517"/>
      <c r="F563" s="517"/>
      <c r="G563" s="517"/>
      <c r="H563" s="517"/>
      <c r="I563" s="517"/>
      <c r="J563" s="517"/>
      <c r="K563" s="564"/>
    </row>
    <row r="564" spans="1:11" x14ac:dyDescent="0.2">
      <c r="A564" s="517"/>
      <c r="B564" s="517"/>
      <c r="C564" s="517"/>
      <c r="D564" s="517"/>
      <c r="E564" s="517"/>
      <c r="F564" s="517"/>
      <c r="G564" s="517"/>
      <c r="H564" s="517"/>
      <c r="I564" s="517"/>
      <c r="J564" s="517"/>
      <c r="K564" s="564"/>
    </row>
    <row r="565" spans="1:11" x14ac:dyDescent="0.2">
      <c r="A565" s="517"/>
      <c r="B565" s="517"/>
      <c r="C565" s="517"/>
      <c r="D565" s="517"/>
      <c r="E565" s="517"/>
      <c r="F565" s="517"/>
      <c r="G565" s="517"/>
      <c r="H565" s="517"/>
      <c r="I565" s="517"/>
      <c r="J565" s="517"/>
      <c r="K565" s="564"/>
    </row>
    <row r="566" spans="1:11" x14ac:dyDescent="0.2">
      <c r="A566" s="517"/>
      <c r="B566" s="517"/>
      <c r="C566" s="517"/>
      <c r="D566" s="517"/>
      <c r="E566" s="517"/>
      <c r="F566" s="517"/>
      <c r="G566" s="517"/>
      <c r="H566" s="517"/>
      <c r="I566" s="517"/>
      <c r="J566" s="517"/>
      <c r="K566" s="564"/>
    </row>
    <row r="567" spans="1:11" x14ac:dyDescent="0.2">
      <c r="A567" s="517"/>
      <c r="B567" s="517"/>
      <c r="C567" s="517"/>
      <c r="D567" s="517"/>
      <c r="E567" s="517"/>
      <c r="F567" s="517"/>
      <c r="G567" s="517"/>
      <c r="H567" s="517"/>
      <c r="I567" s="517"/>
      <c r="J567" s="517"/>
      <c r="K567" s="564"/>
    </row>
    <row r="568" spans="1:11" x14ac:dyDescent="0.2">
      <c r="A568" s="517"/>
      <c r="B568" s="517"/>
      <c r="C568" s="517"/>
      <c r="D568" s="517"/>
      <c r="E568" s="517"/>
      <c r="F568" s="517"/>
      <c r="G568" s="517"/>
      <c r="H568" s="517"/>
      <c r="I568" s="517"/>
      <c r="J568" s="517"/>
      <c r="K568" s="564"/>
    </row>
    <row r="569" spans="1:11" x14ac:dyDescent="0.2">
      <c r="A569" s="517"/>
      <c r="B569" s="517"/>
      <c r="C569" s="517"/>
      <c r="D569" s="517"/>
      <c r="E569" s="517"/>
      <c r="F569" s="517"/>
      <c r="G569" s="517"/>
      <c r="H569" s="517"/>
      <c r="I569" s="517"/>
      <c r="J569" s="517"/>
      <c r="K569" s="564"/>
    </row>
    <row r="570" spans="1:11" x14ac:dyDescent="0.2">
      <c r="A570" s="517"/>
      <c r="B570" s="517"/>
      <c r="C570" s="517"/>
      <c r="D570" s="517"/>
      <c r="E570" s="517"/>
      <c r="F570" s="517"/>
      <c r="G570" s="517"/>
      <c r="H570" s="517"/>
      <c r="I570" s="517"/>
      <c r="J570" s="517"/>
      <c r="K570" s="564"/>
    </row>
    <row r="571" spans="1:11" x14ac:dyDescent="0.2">
      <c r="A571" s="517"/>
      <c r="B571" s="517"/>
      <c r="C571" s="517"/>
      <c r="D571" s="517"/>
      <c r="E571" s="517"/>
      <c r="F571" s="517"/>
      <c r="G571" s="517"/>
      <c r="H571" s="517"/>
      <c r="I571" s="517"/>
      <c r="J571" s="517"/>
      <c r="K571" s="564"/>
    </row>
    <row r="572" spans="1:11" x14ac:dyDescent="0.2">
      <c r="A572" s="517"/>
      <c r="B572" s="517"/>
      <c r="C572" s="517"/>
      <c r="D572" s="517"/>
      <c r="E572" s="517"/>
      <c r="F572" s="517"/>
      <c r="G572" s="517"/>
      <c r="H572" s="517"/>
      <c r="I572" s="517"/>
      <c r="J572" s="517"/>
      <c r="K572" s="564"/>
    </row>
    <row r="573" spans="1:11" x14ac:dyDescent="0.2">
      <c r="A573" s="517"/>
      <c r="B573" s="517"/>
      <c r="C573" s="517"/>
      <c r="D573" s="517"/>
      <c r="E573" s="517"/>
      <c r="F573" s="517"/>
      <c r="G573" s="517"/>
      <c r="H573" s="517"/>
      <c r="I573" s="517"/>
      <c r="J573" s="517"/>
      <c r="K573" s="564"/>
    </row>
    <row r="574" spans="1:11" x14ac:dyDescent="0.2">
      <c r="A574" s="517"/>
      <c r="B574" s="517"/>
      <c r="C574" s="517"/>
      <c r="D574" s="517"/>
      <c r="E574" s="517"/>
      <c r="F574" s="517"/>
      <c r="G574" s="517"/>
      <c r="H574" s="517"/>
      <c r="I574" s="517"/>
      <c r="J574" s="517"/>
      <c r="K574" s="564"/>
    </row>
    <row r="575" spans="1:11" x14ac:dyDescent="0.2">
      <c r="A575" s="517"/>
      <c r="B575" s="517"/>
      <c r="C575" s="517"/>
      <c r="D575" s="517"/>
      <c r="E575" s="517"/>
      <c r="F575" s="517"/>
      <c r="G575" s="517"/>
      <c r="H575" s="517"/>
      <c r="I575" s="517"/>
      <c r="J575" s="517"/>
      <c r="K575" s="564"/>
    </row>
    <row r="576" spans="1:11" x14ac:dyDescent="0.2">
      <c r="A576" s="517"/>
      <c r="B576" s="517"/>
      <c r="C576" s="517"/>
      <c r="D576" s="517"/>
      <c r="E576" s="517"/>
      <c r="F576" s="517"/>
      <c r="G576" s="517"/>
      <c r="H576" s="517"/>
      <c r="I576" s="517"/>
      <c r="J576" s="517"/>
      <c r="K576" s="564"/>
    </row>
    <row r="577" spans="1:11" x14ac:dyDescent="0.2">
      <c r="A577" s="517"/>
      <c r="B577" s="517"/>
      <c r="C577" s="517"/>
      <c r="D577" s="517"/>
      <c r="E577" s="517"/>
      <c r="F577" s="517"/>
      <c r="G577" s="517"/>
      <c r="H577" s="517"/>
      <c r="I577" s="517"/>
      <c r="J577" s="517"/>
      <c r="K577" s="564"/>
    </row>
    <row r="578" spans="1:11" x14ac:dyDescent="0.2">
      <c r="A578" s="517"/>
      <c r="B578" s="517"/>
      <c r="C578" s="517"/>
      <c r="D578" s="517"/>
      <c r="E578" s="517"/>
      <c r="F578" s="517"/>
      <c r="G578" s="517"/>
      <c r="H578" s="517"/>
      <c r="I578" s="517"/>
      <c r="J578" s="517"/>
      <c r="K578" s="564"/>
    </row>
    <row r="579" spans="1:11" x14ac:dyDescent="0.2">
      <c r="A579" s="517"/>
      <c r="B579" s="517"/>
      <c r="C579" s="517"/>
      <c r="D579" s="517"/>
      <c r="E579" s="517"/>
      <c r="F579" s="517"/>
      <c r="G579" s="517"/>
      <c r="H579" s="517"/>
      <c r="I579" s="517"/>
      <c r="J579" s="517"/>
      <c r="K579" s="564"/>
    </row>
    <row r="580" spans="1:11" x14ac:dyDescent="0.2">
      <c r="A580" s="517"/>
      <c r="B580" s="517"/>
      <c r="C580" s="517"/>
      <c r="D580" s="517"/>
      <c r="E580" s="517"/>
      <c r="F580" s="517"/>
      <c r="G580" s="517"/>
      <c r="H580" s="517"/>
      <c r="I580" s="517"/>
      <c r="J580" s="517"/>
      <c r="K580" s="564"/>
    </row>
    <row r="581" spans="1:11" x14ac:dyDescent="0.2">
      <c r="A581" s="517"/>
      <c r="B581" s="517"/>
      <c r="C581" s="517"/>
      <c r="D581" s="517"/>
      <c r="E581" s="517"/>
      <c r="F581" s="517"/>
      <c r="G581" s="517"/>
      <c r="H581" s="517"/>
      <c r="I581" s="517"/>
      <c r="J581" s="517"/>
      <c r="K581" s="564"/>
    </row>
    <row r="582" spans="1:11" x14ac:dyDescent="0.2">
      <c r="A582" s="517"/>
      <c r="B582" s="517"/>
      <c r="C582" s="517"/>
      <c r="D582" s="517"/>
      <c r="E582" s="517"/>
      <c r="F582" s="517"/>
      <c r="G582" s="517"/>
      <c r="H582" s="517"/>
      <c r="I582" s="517"/>
      <c r="J582" s="517"/>
      <c r="K582" s="564"/>
    </row>
    <row r="583" spans="1:11" x14ac:dyDescent="0.2">
      <c r="A583" s="517"/>
      <c r="B583" s="517"/>
      <c r="C583" s="517"/>
      <c r="D583" s="517"/>
      <c r="E583" s="517"/>
      <c r="F583" s="517"/>
      <c r="G583" s="517"/>
      <c r="H583" s="517"/>
      <c r="I583" s="517"/>
      <c r="J583" s="517"/>
      <c r="K583" s="564"/>
    </row>
    <row r="584" spans="1:11" x14ac:dyDescent="0.2">
      <c r="A584" s="517"/>
      <c r="B584" s="517"/>
      <c r="C584" s="517"/>
      <c r="D584" s="517"/>
      <c r="E584" s="517"/>
      <c r="F584" s="517"/>
      <c r="G584" s="517"/>
      <c r="H584" s="517"/>
      <c r="I584" s="517"/>
      <c r="J584" s="517"/>
      <c r="K584" s="564"/>
    </row>
    <row r="585" spans="1:11" x14ac:dyDescent="0.2">
      <c r="A585" s="517"/>
      <c r="B585" s="517"/>
      <c r="C585" s="517"/>
      <c r="D585" s="517"/>
      <c r="E585" s="517"/>
      <c r="F585" s="517"/>
      <c r="G585" s="517"/>
      <c r="H585" s="517"/>
      <c r="I585" s="517"/>
      <c r="J585" s="517"/>
      <c r="K585" s="564"/>
    </row>
    <row r="586" spans="1:11" x14ac:dyDescent="0.2">
      <c r="A586" s="517"/>
      <c r="B586" s="517"/>
      <c r="C586" s="517"/>
      <c r="D586" s="517"/>
      <c r="E586" s="517"/>
      <c r="F586" s="517"/>
      <c r="G586" s="517"/>
      <c r="H586" s="517"/>
      <c r="I586" s="517"/>
      <c r="J586" s="517"/>
      <c r="K586" s="564"/>
    </row>
    <row r="587" spans="1:11" x14ac:dyDescent="0.2">
      <c r="A587" s="517"/>
      <c r="B587" s="517"/>
      <c r="C587" s="517"/>
      <c r="D587" s="517"/>
      <c r="E587" s="517"/>
      <c r="F587" s="517"/>
      <c r="G587" s="517"/>
      <c r="H587" s="517"/>
      <c r="I587" s="517"/>
      <c r="J587" s="517"/>
      <c r="K587" s="564"/>
    </row>
    <row r="588" spans="1:11" x14ac:dyDescent="0.2">
      <c r="A588" s="517"/>
      <c r="B588" s="517"/>
      <c r="C588" s="517"/>
      <c r="D588" s="517"/>
      <c r="E588" s="517"/>
      <c r="F588" s="517"/>
      <c r="G588" s="517"/>
      <c r="H588" s="517"/>
      <c r="I588" s="517"/>
      <c r="J588" s="517"/>
      <c r="K588" s="564"/>
    </row>
    <row r="589" spans="1:11" x14ac:dyDescent="0.2">
      <c r="A589" s="517"/>
      <c r="B589" s="517"/>
      <c r="C589" s="517"/>
      <c r="D589" s="517"/>
      <c r="E589" s="517"/>
      <c r="F589" s="517"/>
      <c r="G589" s="517"/>
      <c r="H589" s="517"/>
      <c r="I589" s="517"/>
      <c r="J589" s="517"/>
      <c r="K589" s="564"/>
    </row>
    <row r="590" spans="1:11" x14ac:dyDescent="0.2">
      <c r="A590" s="517"/>
      <c r="B590" s="517"/>
      <c r="C590" s="517"/>
      <c r="D590" s="517"/>
      <c r="E590" s="517"/>
      <c r="F590" s="517"/>
      <c r="G590" s="517"/>
      <c r="H590" s="517"/>
      <c r="I590" s="517"/>
      <c r="J590" s="517"/>
      <c r="K590" s="564"/>
    </row>
    <row r="591" spans="1:11" x14ac:dyDescent="0.2">
      <c r="A591" s="517"/>
      <c r="B591" s="517"/>
      <c r="C591" s="517"/>
      <c r="D591" s="517"/>
      <c r="E591" s="517"/>
      <c r="F591" s="517"/>
      <c r="G591" s="517"/>
      <c r="H591" s="517"/>
      <c r="I591" s="517"/>
      <c r="J591" s="517"/>
      <c r="K591" s="564"/>
    </row>
    <row r="592" spans="1:11" x14ac:dyDescent="0.2">
      <c r="A592" s="517"/>
      <c r="B592" s="517"/>
      <c r="C592" s="517"/>
      <c r="D592" s="517"/>
      <c r="E592" s="517"/>
      <c r="F592" s="517"/>
      <c r="G592" s="517"/>
      <c r="H592" s="517"/>
      <c r="I592" s="517"/>
      <c r="J592" s="517"/>
      <c r="K592" s="564"/>
    </row>
    <row r="593" spans="1:11" x14ac:dyDescent="0.2">
      <c r="A593" s="517"/>
      <c r="B593" s="517"/>
      <c r="C593" s="517"/>
      <c r="D593" s="517"/>
      <c r="E593" s="517"/>
      <c r="F593" s="517"/>
      <c r="G593" s="517"/>
      <c r="H593" s="517"/>
      <c r="I593" s="517"/>
      <c r="J593" s="517"/>
      <c r="K593" s="564"/>
    </row>
    <row r="594" spans="1:11" x14ac:dyDescent="0.2">
      <c r="A594" s="517"/>
      <c r="B594" s="517"/>
      <c r="C594" s="517"/>
      <c r="D594" s="517"/>
      <c r="E594" s="517"/>
      <c r="F594" s="517"/>
      <c r="G594" s="517"/>
      <c r="H594" s="517"/>
      <c r="I594" s="517"/>
      <c r="J594" s="517"/>
      <c r="K594" s="564"/>
    </row>
    <row r="595" spans="1:11" x14ac:dyDescent="0.2">
      <c r="A595" s="517"/>
      <c r="B595" s="517"/>
      <c r="C595" s="517"/>
      <c r="D595" s="517"/>
      <c r="E595" s="517"/>
      <c r="F595" s="517"/>
      <c r="G595" s="517"/>
      <c r="H595" s="517"/>
      <c r="I595" s="517"/>
      <c r="J595" s="517"/>
      <c r="K595" s="564"/>
    </row>
    <row r="596" spans="1:11" x14ac:dyDescent="0.2">
      <c r="A596" s="517"/>
      <c r="B596" s="517"/>
      <c r="C596" s="517"/>
      <c r="D596" s="517"/>
      <c r="E596" s="517"/>
      <c r="F596" s="517"/>
      <c r="G596" s="517"/>
      <c r="H596" s="517"/>
      <c r="I596" s="517"/>
      <c r="J596" s="517"/>
      <c r="K596" s="564"/>
    </row>
    <row r="597" spans="1:11" x14ac:dyDescent="0.2">
      <c r="A597" s="517"/>
      <c r="B597" s="517"/>
      <c r="C597" s="517"/>
      <c r="D597" s="517"/>
      <c r="E597" s="517"/>
      <c r="F597" s="517"/>
      <c r="G597" s="517"/>
      <c r="H597" s="517"/>
      <c r="I597" s="517"/>
      <c r="J597" s="517"/>
      <c r="K597" s="564"/>
    </row>
    <row r="598" spans="1:11" x14ac:dyDescent="0.2">
      <c r="A598" s="517"/>
      <c r="B598" s="517"/>
      <c r="C598" s="517"/>
      <c r="D598" s="517"/>
      <c r="E598" s="517"/>
      <c r="F598" s="517"/>
      <c r="G598" s="517"/>
      <c r="H598" s="517"/>
      <c r="I598" s="517"/>
      <c r="J598" s="517"/>
      <c r="K598" s="564"/>
    </row>
    <row r="599" spans="1:11" x14ac:dyDescent="0.2">
      <c r="A599" s="517"/>
      <c r="B599" s="517"/>
      <c r="C599" s="517"/>
      <c r="D599" s="517"/>
      <c r="E599" s="517"/>
      <c r="F599" s="517"/>
      <c r="G599" s="517"/>
      <c r="H599" s="517"/>
      <c r="I599" s="517"/>
      <c r="J599" s="517"/>
      <c r="K599" s="564"/>
    </row>
    <row r="600" spans="1:11" x14ac:dyDescent="0.2">
      <c r="A600" s="517"/>
      <c r="B600" s="517"/>
      <c r="C600" s="517"/>
      <c r="D600" s="517"/>
      <c r="E600" s="517"/>
      <c r="F600" s="517"/>
      <c r="G600" s="517"/>
      <c r="H600" s="517"/>
      <c r="I600" s="517"/>
      <c r="J600" s="517"/>
      <c r="K600" s="564"/>
    </row>
    <row r="601" spans="1:11" x14ac:dyDescent="0.2">
      <c r="A601" s="517"/>
      <c r="B601" s="517"/>
      <c r="C601" s="517"/>
      <c r="D601" s="517"/>
      <c r="E601" s="517"/>
      <c r="F601" s="517"/>
      <c r="G601" s="517"/>
      <c r="H601" s="517"/>
      <c r="I601" s="517"/>
      <c r="J601" s="517"/>
      <c r="K601" s="564"/>
    </row>
    <row r="602" spans="1:11" x14ac:dyDescent="0.2">
      <c r="A602" s="517"/>
      <c r="B602" s="517"/>
      <c r="C602" s="517"/>
      <c r="D602" s="517"/>
      <c r="E602" s="517"/>
      <c r="F602" s="517"/>
      <c r="G602" s="517"/>
      <c r="H602" s="517"/>
      <c r="I602" s="517"/>
      <c r="J602" s="517"/>
      <c r="K602" s="564"/>
    </row>
    <row r="603" spans="1:11" x14ac:dyDescent="0.2">
      <c r="A603" s="517"/>
      <c r="B603" s="517"/>
      <c r="C603" s="517"/>
      <c r="D603" s="517"/>
      <c r="E603" s="517"/>
      <c r="F603" s="517"/>
      <c r="G603" s="517"/>
      <c r="H603" s="517"/>
      <c r="I603" s="517"/>
      <c r="J603" s="517"/>
      <c r="K603" s="564"/>
    </row>
    <row r="604" spans="1:11" x14ac:dyDescent="0.2">
      <c r="A604" s="517"/>
      <c r="B604" s="517"/>
      <c r="C604" s="517"/>
      <c r="D604" s="517"/>
      <c r="E604" s="517"/>
      <c r="F604" s="517"/>
      <c r="G604" s="517"/>
      <c r="H604" s="517"/>
      <c r="I604" s="517"/>
      <c r="J604" s="517"/>
      <c r="K604" s="564"/>
    </row>
    <row r="605" spans="1:11" x14ac:dyDescent="0.2">
      <c r="A605" s="517"/>
      <c r="B605" s="517"/>
      <c r="C605" s="517"/>
      <c r="D605" s="517"/>
      <c r="E605" s="517"/>
      <c r="F605" s="517"/>
      <c r="G605" s="517"/>
      <c r="H605" s="517"/>
      <c r="I605" s="517"/>
      <c r="J605" s="517"/>
      <c r="K605" s="564"/>
    </row>
    <row r="606" spans="1:11" x14ac:dyDescent="0.2">
      <c r="A606" s="517"/>
      <c r="B606" s="517"/>
      <c r="C606" s="517"/>
      <c r="D606" s="517"/>
      <c r="E606" s="517"/>
      <c r="F606" s="517"/>
      <c r="G606" s="517"/>
      <c r="H606" s="517"/>
      <c r="I606" s="517"/>
      <c r="J606" s="517"/>
      <c r="K606" s="564"/>
    </row>
    <row r="607" spans="1:11" x14ac:dyDescent="0.2">
      <c r="A607" s="517"/>
      <c r="B607" s="517"/>
      <c r="C607" s="517"/>
      <c r="D607" s="517"/>
      <c r="E607" s="517"/>
      <c r="F607" s="517"/>
      <c r="G607" s="517"/>
      <c r="H607" s="517"/>
      <c r="I607" s="517"/>
      <c r="J607" s="517"/>
      <c r="K607" s="564"/>
    </row>
    <row r="608" spans="1:11" x14ac:dyDescent="0.2">
      <c r="A608" s="517"/>
      <c r="B608" s="517"/>
      <c r="C608" s="517"/>
      <c r="D608" s="517"/>
      <c r="E608" s="517"/>
      <c r="F608" s="517"/>
      <c r="G608" s="517"/>
      <c r="H608" s="517"/>
      <c r="I608" s="517"/>
      <c r="J608" s="517"/>
      <c r="K608" s="564"/>
    </row>
    <row r="609" spans="1:11" x14ac:dyDescent="0.2">
      <c r="A609" s="517"/>
      <c r="B609" s="517"/>
      <c r="C609" s="517"/>
      <c r="D609" s="517"/>
      <c r="E609" s="517"/>
      <c r="F609" s="517"/>
      <c r="G609" s="517"/>
      <c r="H609" s="517"/>
      <c r="I609" s="517"/>
      <c r="J609" s="517"/>
      <c r="K609" s="564"/>
    </row>
    <row r="610" spans="1:11" x14ac:dyDescent="0.2">
      <c r="A610" s="517"/>
      <c r="B610" s="517"/>
      <c r="C610" s="517"/>
      <c r="D610" s="517"/>
      <c r="E610" s="517"/>
      <c r="F610" s="517"/>
      <c r="G610" s="517"/>
      <c r="H610" s="517"/>
      <c r="I610" s="517"/>
      <c r="J610" s="517"/>
      <c r="K610" s="564"/>
    </row>
    <row r="611" spans="1:11" x14ac:dyDescent="0.2">
      <c r="A611" s="517"/>
      <c r="B611" s="517"/>
      <c r="C611" s="517"/>
      <c r="D611" s="517"/>
      <c r="E611" s="517"/>
      <c r="F611" s="517"/>
      <c r="G611" s="517"/>
      <c r="H611" s="517"/>
      <c r="I611" s="517"/>
      <c r="J611" s="517"/>
      <c r="K611" s="564"/>
    </row>
    <row r="612" spans="1:11" x14ac:dyDescent="0.2">
      <c r="A612" s="517"/>
      <c r="B612" s="517"/>
      <c r="C612" s="517"/>
      <c r="D612" s="517"/>
      <c r="E612" s="517"/>
      <c r="F612" s="517"/>
      <c r="G612" s="517"/>
      <c r="H612" s="517"/>
      <c r="I612" s="517"/>
      <c r="J612" s="517"/>
      <c r="K612" s="564"/>
    </row>
    <row r="613" spans="1:11" x14ac:dyDescent="0.2">
      <c r="A613" s="517"/>
      <c r="B613" s="517"/>
      <c r="C613" s="517"/>
      <c r="D613" s="517"/>
      <c r="E613" s="517"/>
      <c r="F613" s="517"/>
      <c r="G613" s="517"/>
      <c r="H613" s="517"/>
      <c r="I613" s="517"/>
      <c r="J613" s="517"/>
      <c r="K613" s="564"/>
    </row>
    <row r="614" spans="1:11" x14ac:dyDescent="0.2">
      <c r="A614" s="517"/>
      <c r="B614" s="517"/>
      <c r="C614" s="517"/>
      <c r="D614" s="517"/>
      <c r="E614" s="517"/>
      <c r="F614" s="517"/>
      <c r="G614" s="517"/>
      <c r="H614" s="517"/>
      <c r="I614" s="517"/>
      <c r="J614" s="517"/>
      <c r="K614" s="564"/>
    </row>
    <row r="615" spans="1:11" x14ac:dyDescent="0.2">
      <c r="A615" s="517"/>
      <c r="B615" s="517"/>
      <c r="C615" s="517"/>
      <c r="D615" s="517"/>
      <c r="E615" s="517"/>
      <c r="F615" s="517"/>
      <c r="G615" s="517"/>
      <c r="H615" s="517"/>
      <c r="I615" s="517"/>
      <c r="J615" s="517"/>
      <c r="K615" s="564"/>
    </row>
    <row r="616" spans="1:11" x14ac:dyDescent="0.2">
      <c r="A616" s="517"/>
      <c r="B616" s="517"/>
      <c r="C616" s="517"/>
      <c r="D616" s="517"/>
      <c r="E616" s="517"/>
      <c r="F616" s="517"/>
      <c r="G616" s="517"/>
      <c r="H616" s="517"/>
      <c r="I616" s="517"/>
      <c r="J616" s="517"/>
      <c r="K616" s="564"/>
    </row>
    <row r="617" spans="1:11" x14ac:dyDescent="0.2">
      <c r="A617" s="517"/>
      <c r="B617" s="517"/>
      <c r="C617" s="517"/>
      <c r="D617" s="517"/>
      <c r="E617" s="517"/>
      <c r="F617" s="517"/>
      <c r="G617" s="517"/>
      <c r="H617" s="517"/>
      <c r="I617" s="517"/>
      <c r="J617" s="517"/>
      <c r="K617" s="564"/>
    </row>
    <row r="618" spans="1:11" x14ac:dyDescent="0.2">
      <c r="A618" s="517"/>
      <c r="B618" s="517"/>
      <c r="C618" s="517"/>
      <c r="D618" s="517"/>
      <c r="E618" s="517"/>
      <c r="F618" s="517"/>
      <c r="G618" s="517"/>
      <c r="H618" s="517"/>
      <c r="I618" s="517"/>
      <c r="J618" s="517"/>
      <c r="K618" s="564"/>
    </row>
    <row r="619" spans="1:11" x14ac:dyDescent="0.2">
      <c r="A619" s="517"/>
      <c r="B619" s="517"/>
      <c r="C619" s="517"/>
      <c r="D619" s="517"/>
      <c r="E619" s="517"/>
      <c r="F619" s="517"/>
      <c r="G619" s="517"/>
      <c r="H619" s="517"/>
      <c r="I619" s="517"/>
      <c r="J619" s="517"/>
      <c r="K619" s="564"/>
    </row>
    <row r="620" spans="1:11" x14ac:dyDescent="0.2">
      <c r="A620" s="517"/>
      <c r="B620" s="517"/>
      <c r="C620" s="517"/>
      <c r="D620" s="517"/>
      <c r="E620" s="517"/>
      <c r="F620" s="517"/>
      <c r="G620" s="517"/>
      <c r="H620" s="517"/>
      <c r="I620" s="517"/>
      <c r="J620" s="517"/>
      <c r="K620" s="564"/>
    </row>
    <row r="621" spans="1:11" x14ac:dyDescent="0.2">
      <c r="A621" s="517"/>
      <c r="B621" s="517"/>
      <c r="C621" s="517"/>
      <c r="D621" s="517"/>
      <c r="E621" s="517"/>
      <c r="F621" s="517"/>
      <c r="G621" s="517"/>
      <c r="H621" s="517"/>
      <c r="I621" s="517"/>
      <c r="J621" s="517"/>
      <c r="K621" s="564"/>
    </row>
    <row r="622" spans="1:11" x14ac:dyDescent="0.2">
      <c r="A622" s="517"/>
      <c r="B622" s="517"/>
      <c r="C622" s="517"/>
      <c r="D622" s="517"/>
      <c r="E622" s="517"/>
      <c r="F622" s="517"/>
      <c r="G622" s="517"/>
      <c r="H622" s="517"/>
      <c r="I622" s="517"/>
      <c r="J622" s="517"/>
      <c r="K622" s="564"/>
    </row>
    <row r="623" spans="1:11" x14ac:dyDescent="0.2">
      <c r="A623" s="517"/>
      <c r="B623" s="517"/>
      <c r="C623" s="517"/>
      <c r="D623" s="517"/>
      <c r="E623" s="517"/>
      <c r="F623" s="517"/>
      <c r="G623" s="517"/>
      <c r="H623" s="517"/>
      <c r="I623" s="517"/>
      <c r="J623" s="517"/>
      <c r="K623" s="564"/>
    </row>
    <row r="624" spans="1:11" x14ac:dyDescent="0.2">
      <c r="A624" s="517"/>
      <c r="B624" s="517"/>
      <c r="C624" s="517"/>
      <c r="D624" s="517"/>
      <c r="E624" s="517"/>
      <c r="F624" s="517"/>
      <c r="G624" s="517"/>
      <c r="H624" s="517"/>
      <c r="I624" s="517"/>
      <c r="J624" s="517"/>
      <c r="K624" s="564"/>
    </row>
    <row r="625" spans="1:11" x14ac:dyDescent="0.2">
      <c r="A625" s="517"/>
      <c r="B625" s="517"/>
      <c r="C625" s="517"/>
      <c r="D625" s="517"/>
      <c r="E625" s="517"/>
      <c r="F625" s="517"/>
      <c r="G625" s="517"/>
      <c r="H625" s="517"/>
      <c r="I625" s="517"/>
      <c r="J625" s="517"/>
      <c r="K625" s="564"/>
    </row>
    <row r="626" spans="1:11" x14ac:dyDescent="0.2">
      <c r="A626" s="517"/>
      <c r="B626" s="517"/>
      <c r="C626" s="517"/>
      <c r="D626" s="517"/>
      <c r="E626" s="517"/>
      <c r="F626" s="517"/>
      <c r="G626" s="517"/>
      <c r="H626" s="517"/>
      <c r="I626" s="517"/>
      <c r="J626" s="517"/>
      <c r="K626" s="564"/>
    </row>
    <row r="627" spans="1:11" x14ac:dyDescent="0.2">
      <c r="A627" s="517"/>
      <c r="B627" s="517"/>
      <c r="C627" s="517"/>
      <c r="D627" s="517"/>
      <c r="E627" s="517"/>
      <c r="F627" s="517"/>
      <c r="G627" s="517"/>
      <c r="H627" s="517"/>
      <c r="I627" s="517"/>
      <c r="J627" s="517"/>
      <c r="K627" s="564"/>
    </row>
    <row r="628" spans="1:11" x14ac:dyDescent="0.2">
      <c r="A628" s="517"/>
      <c r="B628" s="517"/>
      <c r="C628" s="517"/>
      <c r="D628" s="517"/>
      <c r="E628" s="517"/>
      <c r="F628" s="517"/>
      <c r="G628" s="517"/>
      <c r="H628" s="517"/>
      <c r="I628" s="517"/>
      <c r="J628" s="517"/>
      <c r="K628" s="564"/>
    </row>
    <row r="629" spans="1:11" x14ac:dyDescent="0.2">
      <c r="A629" s="517"/>
      <c r="B629" s="517"/>
      <c r="C629" s="517"/>
      <c r="D629" s="517"/>
      <c r="E629" s="517"/>
      <c r="F629" s="517"/>
      <c r="G629" s="517"/>
      <c r="H629" s="517"/>
      <c r="I629" s="517"/>
      <c r="J629" s="517"/>
      <c r="K629" s="564"/>
    </row>
    <row r="630" spans="1:11" x14ac:dyDescent="0.2">
      <c r="A630" s="517"/>
      <c r="B630" s="517"/>
      <c r="C630" s="517"/>
      <c r="D630" s="517"/>
      <c r="E630" s="517"/>
      <c r="F630" s="517"/>
      <c r="G630" s="517"/>
      <c r="H630" s="517"/>
      <c r="I630" s="517"/>
      <c r="J630" s="517"/>
      <c r="K630" s="564"/>
    </row>
    <row r="631" spans="1:11" x14ac:dyDescent="0.2">
      <c r="A631" s="517"/>
      <c r="B631" s="517"/>
      <c r="C631" s="517"/>
      <c r="D631" s="517"/>
      <c r="E631" s="517"/>
      <c r="F631" s="517"/>
      <c r="G631" s="517"/>
      <c r="H631" s="517"/>
      <c r="I631" s="517"/>
      <c r="J631" s="517"/>
      <c r="K631" s="564"/>
    </row>
    <row r="632" spans="1:11" x14ac:dyDescent="0.2">
      <c r="A632" s="517"/>
      <c r="B632" s="517"/>
      <c r="C632" s="517"/>
      <c r="D632" s="517"/>
      <c r="E632" s="517"/>
      <c r="F632" s="517"/>
      <c r="G632" s="517"/>
      <c r="H632" s="517"/>
      <c r="I632" s="517"/>
      <c r="J632" s="517"/>
      <c r="K632" s="564"/>
    </row>
    <row r="633" spans="1:11" x14ac:dyDescent="0.2">
      <c r="A633" s="517"/>
      <c r="B633" s="517"/>
      <c r="C633" s="517"/>
      <c r="D633" s="517"/>
      <c r="E633" s="517"/>
      <c r="F633" s="517"/>
      <c r="G633" s="517"/>
      <c r="H633" s="517"/>
      <c r="I633" s="517"/>
      <c r="J633" s="517"/>
      <c r="K633" s="564"/>
    </row>
    <row r="634" spans="1:11" x14ac:dyDescent="0.2">
      <c r="A634" s="517"/>
      <c r="B634" s="517"/>
      <c r="C634" s="517"/>
      <c r="D634" s="517"/>
      <c r="E634" s="517"/>
      <c r="F634" s="517"/>
      <c r="G634" s="517"/>
      <c r="H634" s="517"/>
      <c r="I634" s="517"/>
      <c r="J634" s="517"/>
      <c r="K634" s="564"/>
    </row>
    <row r="635" spans="1:11" x14ac:dyDescent="0.2">
      <c r="A635" s="517"/>
      <c r="B635" s="517"/>
      <c r="C635" s="517"/>
      <c r="D635" s="517"/>
      <c r="E635" s="517"/>
      <c r="F635" s="517"/>
      <c r="G635" s="517"/>
      <c r="H635" s="517"/>
      <c r="I635" s="517"/>
      <c r="J635" s="517"/>
      <c r="K635" s="564"/>
    </row>
    <row r="636" spans="1:11" x14ac:dyDescent="0.2">
      <c r="A636" s="517"/>
      <c r="B636" s="517"/>
      <c r="C636" s="517"/>
      <c r="D636" s="517"/>
      <c r="E636" s="517"/>
      <c r="F636" s="517"/>
      <c r="G636" s="517"/>
      <c r="H636" s="517"/>
      <c r="I636" s="517"/>
      <c r="J636" s="517"/>
      <c r="K636" s="564"/>
    </row>
    <row r="637" spans="1:11" x14ac:dyDescent="0.2">
      <c r="A637" s="517"/>
      <c r="B637" s="517"/>
      <c r="C637" s="517"/>
      <c r="D637" s="517"/>
      <c r="E637" s="517"/>
      <c r="F637" s="517"/>
      <c r="G637" s="517"/>
      <c r="H637" s="517"/>
      <c r="I637" s="517"/>
      <c r="J637" s="517"/>
      <c r="K637" s="564"/>
    </row>
    <row r="638" spans="1:11" x14ac:dyDescent="0.2">
      <c r="A638" s="517"/>
      <c r="B638" s="517"/>
      <c r="C638" s="517"/>
      <c r="D638" s="517"/>
      <c r="E638" s="517"/>
      <c r="F638" s="517"/>
      <c r="G638" s="517"/>
      <c r="H638" s="517"/>
      <c r="I638" s="517"/>
      <c r="J638" s="517"/>
      <c r="K638" s="564"/>
    </row>
    <row r="639" spans="1:11" x14ac:dyDescent="0.2">
      <c r="A639" s="517"/>
      <c r="B639" s="517"/>
      <c r="C639" s="517"/>
      <c r="D639" s="517"/>
      <c r="E639" s="517"/>
      <c r="F639" s="517"/>
      <c r="G639" s="517"/>
      <c r="H639" s="517"/>
      <c r="I639" s="517"/>
      <c r="J639" s="517"/>
      <c r="K639" s="564"/>
    </row>
    <row r="640" spans="1:11" x14ac:dyDescent="0.2">
      <c r="A640" s="517"/>
      <c r="B640" s="517"/>
      <c r="C640" s="517"/>
      <c r="D640" s="517"/>
      <c r="E640" s="517"/>
      <c r="F640" s="517"/>
      <c r="G640" s="517"/>
      <c r="H640" s="517"/>
      <c r="I640" s="517"/>
      <c r="J640" s="517"/>
      <c r="K640" s="564"/>
    </row>
    <row r="641" spans="1:11" x14ac:dyDescent="0.2">
      <c r="A641" s="517"/>
      <c r="B641" s="517"/>
      <c r="C641" s="517"/>
      <c r="D641" s="517"/>
      <c r="E641" s="517"/>
      <c r="F641" s="517"/>
      <c r="G641" s="517"/>
      <c r="H641" s="517"/>
      <c r="I641" s="517"/>
      <c r="J641" s="517"/>
      <c r="K641" s="564"/>
    </row>
    <row r="642" spans="1:11" x14ac:dyDescent="0.2">
      <c r="A642" s="517"/>
      <c r="B642" s="517"/>
      <c r="C642" s="517"/>
      <c r="D642" s="517"/>
      <c r="E642" s="517"/>
      <c r="F642" s="517"/>
      <c r="G642" s="517"/>
      <c r="H642" s="517"/>
      <c r="I642" s="517"/>
      <c r="J642" s="517"/>
      <c r="K642" s="564"/>
    </row>
    <row r="643" spans="1:11" x14ac:dyDescent="0.2">
      <c r="A643" s="517"/>
      <c r="B643" s="517"/>
      <c r="C643" s="517"/>
      <c r="D643" s="517"/>
      <c r="E643" s="517"/>
      <c r="F643" s="517"/>
      <c r="G643" s="517"/>
      <c r="H643" s="517"/>
      <c r="I643" s="517"/>
      <c r="J643" s="517"/>
      <c r="K643" s="564"/>
    </row>
    <row r="644" spans="1:11" x14ac:dyDescent="0.2">
      <c r="A644" s="517"/>
      <c r="B644" s="517"/>
      <c r="C644" s="517"/>
      <c r="D644" s="517"/>
      <c r="E644" s="517"/>
      <c r="F644" s="517"/>
      <c r="G644" s="517"/>
      <c r="H644" s="517"/>
      <c r="I644" s="517"/>
      <c r="J644" s="517"/>
      <c r="K644" s="564"/>
    </row>
    <row r="645" spans="1:11" x14ac:dyDescent="0.2">
      <c r="A645" s="517"/>
      <c r="B645" s="517"/>
      <c r="C645" s="517"/>
      <c r="D645" s="517"/>
      <c r="E645" s="517"/>
      <c r="F645" s="517"/>
      <c r="G645" s="517"/>
      <c r="H645" s="517"/>
      <c r="I645" s="517"/>
      <c r="J645" s="517"/>
      <c r="K645" s="564"/>
    </row>
    <row r="646" spans="1:11" x14ac:dyDescent="0.2">
      <c r="A646" s="517"/>
      <c r="B646" s="517"/>
      <c r="C646" s="517"/>
      <c r="D646" s="517"/>
      <c r="E646" s="517"/>
      <c r="F646" s="517"/>
      <c r="G646" s="517"/>
      <c r="H646" s="517"/>
      <c r="I646" s="517"/>
      <c r="J646" s="517"/>
      <c r="K646" s="564"/>
    </row>
    <row r="647" spans="1:11" x14ac:dyDescent="0.2">
      <c r="A647" s="517"/>
      <c r="B647" s="517"/>
      <c r="C647" s="517"/>
      <c r="D647" s="517"/>
      <c r="E647" s="517"/>
      <c r="F647" s="517"/>
      <c r="G647" s="517"/>
      <c r="H647" s="517"/>
      <c r="I647" s="517"/>
      <c r="J647" s="517"/>
      <c r="K647" s="564"/>
    </row>
    <row r="648" spans="1:11" x14ac:dyDescent="0.2">
      <c r="A648" s="517"/>
      <c r="B648" s="517"/>
      <c r="C648" s="517"/>
      <c r="D648" s="517"/>
      <c r="E648" s="517"/>
      <c r="F648" s="517"/>
      <c r="G648" s="517"/>
      <c r="H648" s="517"/>
      <c r="I648" s="517"/>
      <c r="J648" s="517"/>
      <c r="K648" s="564"/>
    </row>
    <row r="649" spans="1:11" x14ac:dyDescent="0.2">
      <c r="A649" s="517"/>
      <c r="B649" s="517"/>
      <c r="C649" s="517"/>
      <c r="D649" s="517"/>
      <c r="E649" s="517"/>
      <c r="F649" s="517"/>
      <c r="G649" s="517"/>
      <c r="H649" s="517"/>
      <c r="I649" s="517"/>
      <c r="J649" s="517"/>
      <c r="K649" s="564"/>
    </row>
    <row r="650" spans="1:11" x14ac:dyDescent="0.2">
      <c r="A650" s="517"/>
      <c r="B650" s="517"/>
      <c r="C650" s="517"/>
      <c r="D650" s="517"/>
      <c r="E650" s="517"/>
      <c r="F650" s="517"/>
      <c r="G650" s="517"/>
      <c r="H650" s="517"/>
      <c r="I650" s="517"/>
      <c r="J650" s="517"/>
      <c r="K650" s="564"/>
    </row>
    <row r="651" spans="1:11" x14ac:dyDescent="0.2">
      <c r="A651" s="517"/>
      <c r="B651" s="517"/>
      <c r="C651" s="517"/>
      <c r="D651" s="517"/>
      <c r="E651" s="517"/>
      <c r="F651" s="517"/>
      <c r="G651" s="517"/>
      <c r="H651" s="517"/>
      <c r="I651" s="517"/>
      <c r="J651" s="517"/>
      <c r="K651" s="564"/>
    </row>
    <row r="652" spans="1:11" x14ac:dyDescent="0.2">
      <c r="A652" s="517"/>
      <c r="B652" s="517"/>
      <c r="C652" s="517"/>
      <c r="D652" s="517"/>
      <c r="E652" s="517"/>
      <c r="F652" s="517"/>
      <c r="G652" s="517"/>
      <c r="H652" s="517"/>
      <c r="I652" s="517"/>
      <c r="J652" s="517"/>
      <c r="K652" s="564"/>
    </row>
    <row r="653" spans="1:11" x14ac:dyDescent="0.2">
      <c r="A653" s="517"/>
      <c r="B653" s="517"/>
      <c r="C653" s="517"/>
      <c r="D653" s="517"/>
      <c r="E653" s="517"/>
      <c r="F653" s="517"/>
      <c r="G653" s="517"/>
      <c r="H653" s="517"/>
      <c r="I653" s="517"/>
      <c r="J653" s="517"/>
      <c r="K653" s="564"/>
    </row>
    <row r="654" spans="1:11" x14ac:dyDescent="0.2">
      <c r="A654" s="517"/>
      <c r="B654" s="517"/>
      <c r="C654" s="517"/>
      <c r="D654" s="517"/>
      <c r="E654" s="517"/>
      <c r="F654" s="517"/>
      <c r="G654" s="517"/>
      <c r="H654" s="517"/>
      <c r="I654" s="517"/>
      <c r="J654" s="517"/>
      <c r="K654" s="564"/>
    </row>
    <row r="655" spans="1:11" x14ac:dyDescent="0.2">
      <c r="A655" s="517"/>
      <c r="B655" s="517"/>
      <c r="C655" s="517"/>
      <c r="D655" s="517"/>
      <c r="E655" s="517"/>
      <c r="F655" s="517"/>
      <c r="G655" s="517"/>
      <c r="H655" s="517"/>
      <c r="I655" s="517"/>
      <c r="J655" s="517"/>
      <c r="K655" s="564"/>
    </row>
    <row r="656" spans="1:11" x14ac:dyDescent="0.2">
      <c r="A656" s="517"/>
      <c r="B656" s="517"/>
      <c r="C656" s="517"/>
      <c r="D656" s="517"/>
      <c r="E656" s="517"/>
      <c r="F656" s="517"/>
      <c r="G656" s="517"/>
      <c r="H656" s="517"/>
      <c r="I656" s="517"/>
      <c r="J656" s="517"/>
      <c r="K656" s="564"/>
    </row>
    <row r="657" spans="1:11" x14ac:dyDescent="0.2">
      <c r="A657" s="517"/>
      <c r="B657" s="517"/>
      <c r="C657" s="517"/>
      <c r="D657" s="517"/>
      <c r="E657" s="517"/>
      <c r="F657" s="517"/>
      <c r="G657" s="517"/>
      <c r="H657" s="517"/>
      <c r="I657" s="517"/>
      <c r="J657" s="517"/>
      <c r="K657" s="564"/>
    </row>
    <row r="658" spans="1:11" x14ac:dyDescent="0.2">
      <c r="A658" s="517"/>
      <c r="B658" s="517"/>
      <c r="C658" s="517"/>
      <c r="D658" s="517"/>
      <c r="E658" s="517"/>
      <c r="F658" s="517"/>
      <c r="G658" s="517"/>
      <c r="H658" s="517"/>
      <c r="I658" s="517"/>
      <c r="J658" s="517"/>
      <c r="K658" s="564"/>
    </row>
    <row r="659" spans="1:11" x14ac:dyDescent="0.2">
      <c r="A659" s="517"/>
      <c r="B659" s="517"/>
      <c r="C659" s="517"/>
      <c r="D659" s="517"/>
      <c r="E659" s="517"/>
      <c r="F659" s="517"/>
      <c r="G659" s="517"/>
      <c r="H659" s="517"/>
      <c r="I659" s="517"/>
      <c r="J659" s="517"/>
      <c r="K659" s="564"/>
    </row>
    <row r="660" spans="1:11" x14ac:dyDescent="0.2">
      <c r="A660" s="517"/>
      <c r="B660" s="517"/>
      <c r="C660" s="517"/>
      <c r="D660" s="517"/>
      <c r="E660" s="517"/>
      <c r="F660" s="517"/>
      <c r="G660" s="517"/>
      <c r="H660" s="517"/>
      <c r="I660" s="517"/>
      <c r="J660" s="517"/>
      <c r="K660" s="564"/>
    </row>
    <row r="661" spans="1:11" x14ac:dyDescent="0.2">
      <c r="A661" s="517"/>
      <c r="B661" s="517"/>
      <c r="C661" s="517"/>
      <c r="D661" s="517"/>
      <c r="E661" s="517"/>
      <c r="F661" s="517"/>
      <c r="G661" s="517"/>
      <c r="H661" s="517"/>
      <c r="I661" s="517"/>
      <c r="J661" s="517"/>
      <c r="K661" s="564"/>
    </row>
    <row r="662" spans="1:11" x14ac:dyDescent="0.2">
      <c r="A662" s="517"/>
      <c r="B662" s="517"/>
      <c r="C662" s="517"/>
      <c r="D662" s="517"/>
      <c r="E662" s="517"/>
      <c r="F662" s="517"/>
      <c r="G662" s="517"/>
      <c r="H662" s="517"/>
      <c r="I662" s="517"/>
      <c r="J662" s="517"/>
      <c r="K662" s="564"/>
    </row>
    <row r="663" spans="1:11" x14ac:dyDescent="0.2">
      <c r="A663" s="517"/>
      <c r="B663" s="517"/>
      <c r="C663" s="517"/>
      <c r="D663" s="517"/>
      <c r="E663" s="517"/>
      <c r="F663" s="517"/>
      <c r="G663" s="517"/>
      <c r="H663" s="517"/>
      <c r="I663" s="517"/>
      <c r="J663" s="517"/>
      <c r="K663" s="564"/>
    </row>
    <row r="664" spans="1:11" x14ac:dyDescent="0.2">
      <c r="A664" s="517"/>
      <c r="B664" s="517"/>
      <c r="C664" s="517"/>
      <c r="D664" s="517"/>
      <c r="E664" s="517"/>
      <c r="F664" s="517"/>
      <c r="G664" s="517"/>
      <c r="H664" s="517"/>
      <c r="I664" s="517"/>
      <c r="J664" s="517"/>
      <c r="K664" s="564"/>
    </row>
    <row r="665" spans="1:11" x14ac:dyDescent="0.2">
      <c r="A665" s="517"/>
      <c r="B665" s="517"/>
      <c r="C665" s="517"/>
      <c r="D665" s="517"/>
      <c r="E665" s="517"/>
      <c r="F665" s="517"/>
      <c r="G665" s="517"/>
      <c r="H665" s="517"/>
      <c r="I665" s="517"/>
      <c r="J665" s="517"/>
      <c r="K665" s="564"/>
    </row>
    <row r="666" spans="1:11" x14ac:dyDescent="0.2">
      <c r="A666" s="517"/>
      <c r="B666" s="517"/>
      <c r="C666" s="517"/>
      <c r="D666" s="517"/>
      <c r="E666" s="517"/>
      <c r="F666" s="517"/>
      <c r="G666" s="517"/>
      <c r="H666" s="517"/>
      <c r="I666" s="517"/>
      <c r="J666" s="517"/>
      <c r="K666" s="564"/>
    </row>
    <row r="667" spans="1:11" x14ac:dyDescent="0.2">
      <c r="A667" s="517"/>
      <c r="B667" s="517"/>
      <c r="C667" s="517"/>
      <c r="D667" s="517"/>
      <c r="E667" s="517"/>
      <c r="F667" s="517"/>
      <c r="G667" s="517"/>
      <c r="H667" s="517"/>
      <c r="I667" s="517"/>
      <c r="J667" s="517"/>
      <c r="K667" s="564"/>
    </row>
    <row r="668" spans="1:11" x14ac:dyDescent="0.2">
      <c r="A668" s="517"/>
      <c r="B668" s="517"/>
      <c r="C668" s="517"/>
      <c r="D668" s="517"/>
      <c r="E668" s="517"/>
      <c r="F668" s="517"/>
      <c r="G668" s="517"/>
      <c r="H668" s="517"/>
      <c r="I668" s="517"/>
      <c r="J668" s="517"/>
      <c r="K668" s="564"/>
    </row>
    <row r="669" spans="1:11" x14ac:dyDescent="0.2">
      <c r="A669" s="517"/>
      <c r="B669" s="517"/>
      <c r="C669" s="517"/>
      <c r="D669" s="517"/>
      <c r="E669" s="517"/>
      <c r="F669" s="517"/>
      <c r="G669" s="517"/>
      <c r="H669" s="517"/>
      <c r="I669" s="517"/>
      <c r="J669" s="517"/>
      <c r="K669" s="564"/>
    </row>
    <row r="670" spans="1:11" x14ac:dyDescent="0.2">
      <c r="A670" s="517"/>
      <c r="B670" s="517"/>
      <c r="C670" s="517"/>
      <c r="D670" s="517"/>
      <c r="E670" s="517"/>
      <c r="F670" s="517"/>
      <c r="G670" s="517"/>
      <c r="H670" s="517"/>
      <c r="I670" s="517"/>
      <c r="J670" s="517"/>
      <c r="K670" s="564"/>
    </row>
    <row r="671" spans="1:11" x14ac:dyDescent="0.2">
      <c r="A671" s="517"/>
      <c r="B671" s="517"/>
      <c r="C671" s="517"/>
      <c r="D671" s="517"/>
      <c r="E671" s="517"/>
      <c r="F671" s="517"/>
      <c r="G671" s="517"/>
      <c r="H671" s="517"/>
      <c r="I671" s="517"/>
      <c r="J671" s="517"/>
      <c r="K671" s="564"/>
    </row>
    <row r="672" spans="1:11" x14ac:dyDescent="0.2">
      <c r="A672" s="517"/>
      <c r="B672" s="517"/>
      <c r="C672" s="517"/>
      <c r="D672" s="517"/>
      <c r="E672" s="517"/>
      <c r="F672" s="517"/>
      <c r="G672" s="517"/>
      <c r="H672" s="517"/>
      <c r="I672" s="517"/>
      <c r="J672" s="517"/>
      <c r="K672" s="564"/>
    </row>
    <row r="673" spans="1:11" x14ac:dyDescent="0.2">
      <c r="A673" s="517"/>
      <c r="B673" s="517"/>
      <c r="C673" s="517"/>
      <c r="D673" s="517"/>
      <c r="E673" s="517"/>
      <c r="F673" s="517"/>
      <c r="G673" s="517"/>
      <c r="H673" s="517"/>
      <c r="I673" s="517"/>
      <c r="J673" s="517"/>
      <c r="K673" s="564"/>
    </row>
    <row r="674" spans="1:11" x14ac:dyDescent="0.2">
      <c r="A674" s="517"/>
      <c r="B674" s="517"/>
      <c r="C674" s="517"/>
      <c r="D674" s="517"/>
      <c r="E674" s="517"/>
      <c r="F674" s="517"/>
      <c r="G674" s="517"/>
      <c r="H674" s="517"/>
      <c r="I674" s="517"/>
      <c r="J674" s="517"/>
      <c r="K674" s="564"/>
    </row>
    <row r="675" spans="1:11" x14ac:dyDescent="0.2">
      <c r="A675" s="517"/>
      <c r="B675" s="517"/>
      <c r="C675" s="517"/>
      <c r="D675" s="517"/>
      <c r="E675" s="517"/>
      <c r="F675" s="517"/>
      <c r="G675" s="517"/>
      <c r="H675" s="517"/>
      <c r="I675" s="517"/>
      <c r="J675" s="517"/>
      <c r="K675" s="564"/>
    </row>
    <row r="676" spans="1:11" x14ac:dyDescent="0.2">
      <c r="A676" s="517"/>
      <c r="B676" s="517"/>
      <c r="C676" s="517"/>
      <c r="D676" s="517"/>
      <c r="E676" s="517"/>
      <c r="F676" s="517"/>
      <c r="G676" s="517"/>
      <c r="H676" s="517"/>
      <c r="I676" s="517"/>
      <c r="J676" s="517"/>
      <c r="K676" s="564"/>
    </row>
    <row r="677" spans="1:11" x14ac:dyDescent="0.2">
      <c r="A677" s="517"/>
      <c r="B677" s="517"/>
      <c r="C677" s="517"/>
      <c r="D677" s="517"/>
      <c r="E677" s="517"/>
      <c r="F677" s="517"/>
      <c r="G677" s="517"/>
      <c r="H677" s="517"/>
      <c r="I677" s="517"/>
      <c r="J677" s="517"/>
      <c r="K677" s="564"/>
    </row>
    <row r="678" spans="1:11" x14ac:dyDescent="0.2">
      <c r="A678" s="517"/>
      <c r="B678" s="517"/>
      <c r="C678" s="517"/>
      <c r="D678" s="517"/>
      <c r="E678" s="517"/>
      <c r="F678" s="517"/>
      <c r="G678" s="517"/>
      <c r="H678" s="517"/>
      <c r="I678" s="517"/>
      <c r="J678" s="517"/>
      <c r="K678" s="564"/>
    </row>
    <row r="679" spans="1:11" x14ac:dyDescent="0.2">
      <c r="A679" s="517"/>
      <c r="B679" s="517"/>
      <c r="F679" s="517"/>
      <c r="G679" s="517"/>
      <c r="H679" s="517"/>
      <c r="I679" s="517"/>
      <c r="J679" s="517"/>
      <c r="K679" s="564"/>
    </row>
    <row r="680" spans="1:11" x14ac:dyDescent="0.2">
      <c r="A680" s="517"/>
      <c r="B680" s="517"/>
      <c r="F680" s="517"/>
      <c r="G680" s="517"/>
      <c r="H680" s="517"/>
      <c r="I680" s="517"/>
      <c r="J680" s="517"/>
      <c r="K680" s="564"/>
    </row>
    <row r="681" spans="1:11" x14ac:dyDescent="0.2">
      <c r="A681" s="517"/>
      <c r="B681" s="517"/>
      <c r="F681" s="517"/>
      <c r="G681" s="517"/>
      <c r="H681" s="517"/>
      <c r="I681" s="517"/>
      <c r="J681" s="517"/>
      <c r="K681" s="564"/>
    </row>
    <row r="682" spans="1:11" x14ac:dyDescent="0.2">
      <c r="A682" s="517"/>
      <c r="B682" s="517"/>
      <c r="F682" s="517"/>
      <c r="G682" s="517"/>
      <c r="H682" s="517"/>
      <c r="I682" s="517"/>
      <c r="J682" s="517"/>
      <c r="K682" s="564"/>
    </row>
    <row r="683" spans="1:11" x14ac:dyDescent="0.2">
      <c r="A683" s="517"/>
      <c r="B683" s="517"/>
      <c r="F683" s="517"/>
      <c r="G683" s="517"/>
      <c r="H683" s="517"/>
      <c r="I683" s="517"/>
      <c r="J683" s="517"/>
      <c r="K683" s="564"/>
    </row>
    <row r="684" spans="1:11" x14ac:dyDescent="0.2">
      <c r="A684" s="517"/>
      <c r="B684" s="517"/>
      <c r="F684" s="517"/>
      <c r="G684" s="517"/>
      <c r="H684" s="517"/>
      <c r="I684" s="517"/>
      <c r="J684" s="517"/>
      <c r="K684" s="564"/>
    </row>
    <row r="685" spans="1:11" x14ac:dyDescent="0.2">
      <c r="A685" s="517"/>
      <c r="B685" s="517"/>
      <c r="F685" s="517"/>
      <c r="G685" s="517"/>
      <c r="H685" s="517"/>
      <c r="I685" s="517"/>
      <c r="J685" s="517"/>
      <c r="K685" s="564"/>
    </row>
    <row r="686" spans="1:11" x14ac:dyDescent="0.2">
      <c r="A686" s="517"/>
      <c r="B686" s="517"/>
      <c r="F686" s="517"/>
      <c r="G686" s="517"/>
      <c r="H686" s="517"/>
      <c r="I686" s="517"/>
      <c r="J686" s="517"/>
      <c r="K686" s="564"/>
    </row>
    <row r="687" spans="1:11" x14ac:dyDescent="0.2">
      <c r="A687" s="517"/>
      <c r="B687" s="517"/>
      <c r="F687" s="517"/>
      <c r="G687" s="517"/>
      <c r="H687" s="517"/>
      <c r="I687" s="517"/>
      <c r="J687" s="517"/>
      <c r="K687" s="564"/>
    </row>
  </sheetData>
  <mergeCells count="6">
    <mergeCell ref="A46:B46"/>
    <mergeCell ref="A1:E1"/>
    <mergeCell ref="A5:A7"/>
    <mergeCell ref="B5:D5"/>
    <mergeCell ref="E5:E6"/>
    <mergeCell ref="E7:E14"/>
  </mergeCells>
  <printOptions horizontalCentered="1" verticalCentered="1"/>
  <pageMargins left="0.39370078740157483" right="0.39370078740157483" top="0" bottom="0.27559055118110237" header="0" footer="0.15748031496062992"/>
  <pageSetup paperSize="9" scale="75" firstPageNumber="0" orientation="portrait" r:id="rId1"/>
  <headerFooter alignWithMargins="0">
    <oddHeader>&amp;C2023. évi költségvetés
&amp;R&amp;A</oddHeader>
    <oddFooter>&amp;C&amp;9&amp;P/&amp;N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X107"/>
  <sheetViews>
    <sheetView view="pageBreakPreview" zoomScaleNormal="100" zoomScaleSheetLayoutView="100" workbookViewId="0">
      <pane xSplit="2" ySplit="2" topLeftCell="C3" activePane="bottomRight" state="frozen"/>
      <selection activeCell="G30" sqref="G30"/>
      <selection pane="topRight" activeCell="G30" sqref="G30"/>
      <selection pane="bottomLeft" activeCell="G30" sqref="G30"/>
      <selection pane="bottomRight" activeCell="C38" sqref="C38"/>
    </sheetView>
  </sheetViews>
  <sheetFormatPr defaultRowHeight="12.75" x14ac:dyDescent="0.2"/>
  <cols>
    <col min="1" max="1" width="5.5703125" customWidth="1"/>
    <col min="2" max="2" width="66.140625" customWidth="1"/>
    <col min="3" max="3" width="16.5703125" customWidth="1"/>
    <col min="4" max="21" width="14.85546875" customWidth="1"/>
    <col min="22" max="22" width="15" customWidth="1"/>
    <col min="23" max="23" width="12.28515625" bestFit="1" customWidth="1"/>
  </cols>
  <sheetData>
    <row r="1" spans="1:21" ht="36.6" customHeight="1" x14ac:dyDescent="0.2">
      <c r="A1" s="890"/>
      <c r="B1" s="891"/>
      <c r="C1" s="2026" t="s">
        <v>1278</v>
      </c>
      <c r="D1" s="2026"/>
      <c r="E1" s="2026"/>
      <c r="F1" s="2026"/>
      <c r="G1" s="2026"/>
      <c r="H1" s="2026"/>
      <c r="I1" s="2026"/>
      <c r="J1" s="2026"/>
      <c r="K1" s="2026" t="s">
        <v>1278</v>
      </c>
      <c r="L1" s="2026"/>
      <c r="M1" s="2026"/>
      <c r="N1" s="2026"/>
      <c r="O1" s="2026"/>
      <c r="P1" s="2026"/>
      <c r="Q1" s="2026"/>
      <c r="R1" s="2026"/>
      <c r="S1" s="2026"/>
      <c r="T1" s="892"/>
    </row>
    <row r="2" spans="1:21" s="129" customFormat="1" ht="28.5" customHeight="1" x14ac:dyDescent="0.2">
      <c r="A2" s="1498" t="s">
        <v>37</v>
      </c>
      <c r="B2" s="893" t="s">
        <v>2</v>
      </c>
      <c r="C2" s="1498" t="s">
        <v>1000</v>
      </c>
      <c r="D2" s="1498" t="s">
        <v>1025</v>
      </c>
      <c r="E2" s="1498" t="s">
        <v>1103</v>
      </c>
      <c r="F2" s="1498" t="s">
        <v>1104</v>
      </c>
      <c r="G2" s="1498" t="s">
        <v>1105</v>
      </c>
      <c r="H2" s="1498" t="s">
        <v>1106</v>
      </c>
      <c r="I2" s="1498" t="s">
        <v>1107</v>
      </c>
      <c r="J2" s="1498" t="s">
        <v>1108</v>
      </c>
      <c r="K2" s="1498" t="s">
        <v>1109</v>
      </c>
      <c r="L2" s="1498" t="s">
        <v>1110</v>
      </c>
      <c r="M2" s="1498" t="s">
        <v>1111</v>
      </c>
      <c r="N2" s="1498" t="s">
        <v>1112</v>
      </c>
      <c r="O2" s="1498" t="s">
        <v>1113</v>
      </c>
      <c r="P2" s="1498" t="s">
        <v>1114</v>
      </c>
      <c r="Q2" s="1498" t="s">
        <v>1115</v>
      </c>
      <c r="R2" s="1498" t="s">
        <v>1116</v>
      </c>
      <c r="S2" s="1498" t="s">
        <v>119</v>
      </c>
    </row>
    <row r="3" spans="1:21" s="500" customFormat="1" ht="21" customHeight="1" x14ac:dyDescent="0.2">
      <c r="A3" s="894" t="s">
        <v>188</v>
      </c>
      <c r="B3" s="894" t="s">
        <v>1117</v>
      </c>
      <c r="C3" s="895">
        <f>+C56</f>
        <v>4795497756</v>
      </c>
      <c r="D3" s="895">
        <f t="shared" ref="D3:Q3" si="0">+C3*1.001</f>
        <v>4800293253.7559996</v>
      </c>
      <c r="E3" s="895">
        <f t="shared" si="0"/>
        <v>4805093547.0097551</v>
      </c>
      <c r="F3" s="895">
        <f t="shared" si="0"/>
        <v>4809898640.5567646</v>
      </c>
      <c r="G3" s="895">
        <f t="shared" si="0"/>
        <v>4814708539.1973209</v>
      </c>
      <c r="H3" s="895">
        <f t="shared" si="0"/>
        <v>4819523247.7365179</v>
      </c>
      <c r="I3" s="895">
        <f t="shared" si="0"/>
        <v>4824342770.9842539</v>
      </c>
      <c r="J3" s="895">
        <f t="shared" si="0"/>
        <v>4829167113.7552376</v>
      </c>
      <c r="K3" s="895">
        <f t="shared" si="0"/>
        <v>4833996280.8689919</v>
      </c>
      <c r="L3" s="895">
        <f t="shared" si="0"/>
        <v>4838830277.1498604</v>
      </c>
      <c r="M3" s="895">
        <f t="shared" si="0"/>
        <v>4843669107.4270096</v>
      </c>
      <c r="N3" s="895">
        <f t="shared" si="0"/>
        <v>4848512776.5344362</v>
      </c>
      <c r="O3" s="895">
        <f t="shared" si="0"/>
        <v>4853361289.3109703</v>
      </c>
      <c r="P3" s="895">
        <f t="shared" si="0"/>
        <v>4858214650.6002808</v>
      </c>
      <c r="Q3" s="895">
        <f t="shared" si="0"/>
        <v>4863072865.2508802</v>
      </c>
      <c r="R3" s="895">
        <f>+Q3*1.001</f>
        <v>4867935938.1161308</v>
      </c>
      <c r="S3" s="896">
        <f t="shared" ref="S3:S17" si="1">SUM(C3:R3)</f>
        <v>77306118054.25441</v>
      </c>
    </row>
    <row r="4" spans="1:21" s="500" customFormat="1" ht="21" customHeight="1" x14ac:dyDescent="0.2">
      <c r="A4" s="894" t="s">
        <v>189</v>
      </c>
      <c r="B4" s="894" t="s">
        <v>1503</v>
      </c>
      <c r="C4" s="895">
        <f>+C73</f>
        <v>292730661</v>
      </c>
      <c r="D4" s="895">
        <f t="shared" ref="D4:R4" si="2">+C4*1.02</f>
        <v>298585274.22000003</v>
      </c>
      <c r="E4" s="895">
        <f t="shared" si="2"/>
        <v>304556979.70440006</v>
      </c>
      <c r="F4" s="895">
        <f t="shared" si="2"/>
        <v>310648119.29848808</v>
      </c>
      <c r="G4" s="895">
        <f t="shared" si="2"/>
        <v>316861081.68445784</v>
      </c>
      <c r="H4" s="895">
        <f t="shared" si="2"/>
        <v>323198303.318147</v>
      </c>
      <c r="I4" s="895">
        <f t="shared" si="2"/>
        <v>329662269.38450992</v>
      </c>
      <c r="J4" s="895">
        <f t="shared" si="2"/>
        <v>336255514.77220011</v>
      </c>
      <c r="K4" s="895">
        <f t="shared" si="2"/>
        <v>342980625.06764412</v>
      </c>
      <c r="L4" s="895">
        <f t="shared" si="2"/>
        <v>349840237.56899703</v>
      </c>
      <c r="M4" s="895">
        <f t="shared" si="2"/>
        <v>356837042.32037699</v>
      </c>
      <c r="N4" s="895">
        <f t="shared" si="2"/>
        <v>363973783.16678452</v>
      </c>
      <c r="O4" s="895">
        <f t="shared" si="2"/>
        <v>371253258.83012021</v>
      </c>
      <c r="P4" s="895">
        <f t="shared" si="2"/>
        <v>378678324.00672263</v>
      </c>
      <c r="Q4" s="895">
        <f t="shared" si="2"/>
        <v>386251890.48685712</v>
      </c>
      <c r="R4" s="895">
        <f t="shared" si="2"/>
        <v>393976928.29659426</v>
      </c>
      <c r="S4" s="896">
        <f t="shared" si="1"/>
        <v>5456290293.1262999</v>
      </c>
    </row>
    <row r="5" spans="1:21" s="500" customFormat="1" ht="21" customHeight="1" x14ac:dyDescent="0.2">
      <c r="A5" s="894" t="s">
        <v>190</v>
      </c>
      <c r="B5" s="894" t="s">
        <v>1504</v>
      </c>
      <c r="C5" s="895">
        <f>+C63</f>
        <v>4130000</v>
      </c>
      <c r="D5" s="895">
        <v>4000000</v>
      </c>
      <c r="E5" s="895">
        <v>4000000</v>
      </c>
      <c r="F5" s="895">
        <v>4000000</v>
      </c>
      <c r="G5" s="895">
        <v>4000000</v>
      </c>
      <c r="H5" s="895">
        <v>4000000</v>
      </c>
      <c r="I5" s="895">
        <v>4000000</v>
      </c>
      <c r="J5" s="895">
        <v>4000000</v>
      </c>
      <c r="K5" s="895">
        <v>4000000</v>
      </c>
      <c r="L5" s="895">
        <v>4000000</v>
      </c>
      <c r="M5" s="895">
        <v>4000000</v>
      </c>
      <c r="N5" s="895">
        <v>4000000</v>
      </c>
      <c r="O5" s="895">
        <v>4000000</v>
      </c>
      <c r="P5" s="895">
        <v>4000000</v>
      </c>
      <c r="Q5" s="895">
        <v>4000000</v>
      </c>
      <c r="R5" s="895">
        <v>4000000</v>
      </c>
      <c r="S5" s="896">
        <f t="shared" si="1"/>
        <v>64130000</v>
      </c>
    </row>
    <row r="6" spans="1:21" s="500" customFormat="1" ht="21" customHeight="1" x14ac:dyDescent="0.2">
      <c r="A6" s="894" t="s">
        <v>191</v>
      </c>
      <c r="B6" s="894" t="s">
        <v>1505</v>
      </c>
      <c r="C6" s="895">
        <f>+C65</f>
        <v>51854877</v>
      </c>
      <c r="D6" s="895">
        <v>30000000</v>
      </c>
      <c r="E6" s="895">
        <v>30000000</v>
      </c>
      <c r="F6" s="895">
        <v>30000000</v>
      </c>
      <c r="G6" s="895">
        <v>30000000</v>
      </c>
      <c r="H6" s="895">
        <v>30000000</v>
      </c>
      <c r="I6" s="895">
        <v>30000000</v>
      </c>
      <c r="J6" s="895">
        <v>30000000</v>
      </c>
      <c r="K6" s="895">
        <v>30000000</v>
      </c>
      <c r="L6" s="895">
        <v>30000000</v>
      </c>
      <c r="M6" s="895">
        <v>30000000</v>
      </c>
      <c r="N6" s="895">
        <v>30000000</v>
      </c>
      <c r="O6" s="895">
        <v>30000000</v>
      </c>
      <c r="P6" s="895">
        <v>30000000</v>
      </c>
      <c r="Q6" s="895">
        <v>30000000</v>
      </c>
      <c r="R6" s="895">
        <v>30000000</v>
      </c>
      <c r="S6" s="896">
        <f t="shared" si="1"/>
        <v>501854877</v>
      </c>
    </row>
    <row r="7" spans="1:21" s="500" customFormat="1" ht="21" customHeight="1" x14ac:dyDescent="0.2">
      <c r="A7" s="894" t="s">
        <v>192</v>
      </c>
      <c r="B7" s="894" t="s">
        <v>1506</v>
      </c>
      <c r="C7" s="895">
        <v>0</v>
      </c>
      <c r="D7" s="895">
        <v>0</v>
      </c>
      <c r="E7" s="895">
        <v>0</v>
      </c>
      <c r="F7" s="895">
        <v>0</v>
      </c>
      <c r="G7" s="895">
        <v>0</v>
      </c>
      <c r="H7" s="895">
        <v>0</v>
      </c>
      <c r="I7" s="895">
        <v>0</v>
      </c>
      <c r="J7" s="895">
        <v>0</v>
      </c>
      <c r="K7" s="895">
        <v>0</v>
      </c>
      <c r="L7" s="895">
        <v>0</v>
      </c>
      <c r="M7" s="895">
        <v>0</v>
      </c>
      <c r="N7" s="895">
        <v>0</v>
      </c>
      <c r="O7" s="895">
        <v>0</v>
      </c>
      <c r="P7" s="895">
        <v>0</v>
      </c>
      <c r="Q7" s="895">
        <v>0</v>
      </c>
      <c r="R7" s="895">
        <v>0</v>
      </c>
      <c r="S7" s="896">
        <f t="shared" si="1"/>
        <v>0</v>
      </c>
    </row>
    <row r="8" spans="1:21" s="500" customFormat="1" ht="21" customHeight="1" x14ac:dyDescent="0.2">
      <c r="A8" s="894" t="s">
        <v>193</v>
      </c>
      <c r="B8" s="894" t="s">
        <v>1507</v>
      </c>
      <c r="C8" s="895">
        <v>0</v>
      </c>
      <c r="D8" s="895">
        <v>0</v>
      </c>
      <c r="E8" s="895">
        <v>0</v>
      </c>
      <c r="F8" s="895">
        <v>0</v>
      </c>
      <c r="G8" s="895">
        <v>0</v>
      </c>
      <c r="H8" s="895">
        <v>0</v>
      </c>
      <c r="I8" s="895">
        <v>0</v>
      </c>
      <c r="J8" s="895">
        <v>0</v>
      </c>
      <c r="K8" s="895">
        <v>0</v>
      </c>
      <c r="L8" s="895">
        <v>0</v>
      </c>
      <c r="M8" s="895">
        <v>0</v>
      </c>
      <c r="N8" s="895">
        <v>0</v>
      </c>
      <c r="O8" s="895">
        <v>0</v>
      </c>
      <c r="P8" s="895">
        <v>0</v>
      </c>
      <c r="Q8" s="895">
        <v>0</v>
      </c>
      <c r="R8" s="895">
        <v>0</v>
      </c>
      <c r="S8" s="896">
        <f t="shared" si="1"/>
        <v>0</v>
      </c>
    </row>
    <row r="9" spans="1:21" s="500" customFormat="1" ht="21" customHeight="1" x14ac:dyDescent="0.2">
      <c r="A9" s="894" t="s">
        <v>194</v>
      </c>
      <c r="B9" s="894" t="s">
        <v>1508</v>
      </c>
      <c r="C9" s="895">
        <v>0</v>
      </c>
      <c r="D9" s="895">
        <v>0</v>
      </c>
      <c r="E9" s="895">
        <v>0</v>
      </c>
      <c r="F9" s="895">
        <v>0</v>
      </c>
      <c r="G9" s="895">
        <v>0</v>
      </c>
      <c r="H9" s="895">
        <v>0</v>
      </c>
      <c r="I9" s="895">
        <v>0</v>
      </c>
      <c r="J9" s="895">
        <v>0</v>
      </c>
      <c r="K9" s="895">
        <v>0</v>
      </c>
      <c r="L9" s="895">
        <v>0</v>
      </c>
      <c r="M9" s="895">
        <v>0</v>
      </c>
      <c r="N9" s="895">
        <v>0</v>
      </c>
      <c r="O9" s="895">
        <v>0</v>
      </c>
      <c r="P9" s="895">
        <v>0</v>
      </c>
      <c r="Q9" s="895">
        <v>0</v>
      </c>
      <c r="R9" s="895">
        <v>0</v>
      </c>
      <c r="S9" s="896">
        <f t="shared" si="1"/>
        <v>0</v>
      </c>
    </row>
    <row r="10" spans="1:21" s="500" customFormat="1" ht="21" customHeight="1" x14ac:dyDescent="0.2">
      <c r="A10" s="894" t="s">
        <v>195</v>
      </c>
      <c r="B10" s="893" t="s">
        <v>1124</v>
      </c>
      <c r="C10" s="896">
        <f>SUM(C3:C9)</f>
        <v>5144213294</v>
      </c>
      <c r="D10" s="896">
        <f t="shared" ref="D10:R10" si="3">SUM(D3:D9)</f>
        <v>5132878527.9759998</v>
      </c>
      <c r="E10" s="896">
        <f t="shared" si="3"/>
        <v>5143650526.7141552</v>
      </c>
      <c r="F10" s="896">
        <f t="shared" si="3"/>
        <v>5154546759.8552523</v>
      </c>
      <c r="G10" s="896">
        <f t="shared" si="3"/>
        <v>5165569620.8817787</v>
      </c>
      <c r="H10" s="896">
        <f t="shared" si="3"/>
        <v>5176721551.0546646</v>
      </c>
      <c r="I10" s="896">
        <f t="shared" si="3"/>
        <v>5188005040.3687639</v>
      </c>
      <c r="J10" s="896">
        <f t="shared" si="3"/>
        <v>5199422628.5274372</v>
      </c>
      <c r="K10" s="896">
        <f t="shared" si="3"/>
        <v>5210976905.936636</v>
      </c>
      <c r="L10" s="896">
        <f t="shared" si="3"/>
        <v>5222670514.7188578</v>
      </c>
      <c r="M10" s="896">
        <f t="shared" si="3"/>
        <v>5234506149.7473869</v>
      </c>
      <c r="N10" s="896">
        <f t="shared" si="3"/>
        <v>5246486559.7012205</v>
      </c>
      <c r="O10" s="896">
        <f t="shared" si="3"/>
        <v>5258614548.1410904</v>
      </c>
      <c r="P10" s="896">
        <f t="shared" si="3"/>
        <v>5270892974.6070032</v>
      </c>
      <c r="Q10" s="896">
        <f t="shared" si="3"/>
        <v>5283324755.7377377</v>
      </c>
      <c r="R10" s="896">
        <f t="shared" si="3"/>
        <v>5295912866.4127254</v>
      </c>
      <c r="S10" s="896">
        <f t="shared" si="1"/>
        <v>83328393224.380692</v>
      </c>
    </row>
    <row r="11" spans="1:21" s="500" customFormat="1" ht="21" customHeight="1" x14ac:dyDescent="0.2">
      <c r="A11" s="894" t="s">
        <v>196</v>
      </c>
      <c r="B11" s="893" t="s">
        <v>1125</v>
      </c>
      <c r="C11" s="896">
        <f t="shared" ref="C11:R11" si="4">C10*0.5</f>
        <v>2572106647</v>
      </c>
      <c r="D11" s="896">
        <f t="shared" si="4"/>
        <v>2566439263.9879999</v>
      </c>
      <c r="E11" s="896">
        <f t="shared" si="4"/>
        <v>2571825263.3570776</v>
      </c>
      <c r="F11" s="896">
        <f t="shared" si="4"/>
        <v>2577273379.9276261</v>
      </c>
      <c r="G11" s="896">
        <f t="shared" si="4"/>
        <v>2582784810.4408894</v>
      </c>
      <c r="H11" s="896">
        <f t="shared" si="4"/>
        <v>2588360775.5273323</v>
      </c>
      <c r="I11" s="896">
        <f t="shared" si="4"/>
        <v>2594002520.184382</v>
      </c>
      <c r="J11" s="896">
        <f t="shared" si="4"/>
        <v>2599711314.2637186</v>
      </c>
      <c r="K11" s="896">
        <f t="shared" si="4"/>
        <v>2605488452.968318</v>
      </c>
      <c r="L11" s="896">
        <f t="shared" si="4"/>
        <v>2611335257.3594289</v>
      </c>
      <c r="M11" s="896">
        <f t="shared" si="4"/>
        <v>2617253074.8736935</v>
      </c>
      <c r="N11" s="896">
        <f t="shared" si="4"/>
        <v>2623243279.8506103</v>
      </c>
      <c r="O11" s="896">
        <f t="shared" si="4"/>
        <v>2629307274.0705452</v>
      </c>
      <c r="P11" s="896">
        <f t="shared" si="4"/>
        <v>2635446487.3035016</v>
      </c>
      <c r="Q11" s="896">
        <f t="shared" si="4"/>
        <v>2641662377.8688688</v>
      </c>
      <c r="R11" s="896">
        <f t="shared" si="4"/>
        <v>2647956433.2063627</v>
      </c>
      <c r="S11" s="896">
        <f t="shared" si="1"/>
        <v>41664196612.190346</v>
      </c>
    </row>
    <row r="12" spans="1:21" s="500" customFormat="1" ht="27.75" customHeight="1" x14ac:dyDescent="0.2">
      <c r="A12" s="894" t="s">
        <v>197</v>
      </c>
      <c r="B12" s="893" t="s">
        <v>1126</v>
      </c>
      <c r="C12" s="896">
        <f t="shared" ref="C12:R12" si="5">C13+C22+C23+C24+C25+C26+C27+C28</f>
        <v>93174727</v>
      </c>
      <c r="D12" s="896">
        <f t="shared" si="5"/>
        <v>88947334</v>
      </c>
      <c r="E12" s="896">
        <f t="shared" si="5"/>
        <v>84719940</v>
      </c>
      <c r="F12" s="896">
        <f>F13+F22+F23+F24+F25+F26+F27+F28</f>
        <v>80492546</v>
      </c>
      <c r="G12" s="896">
        <f t="shared" si="5"/>
        <v>76265152</v>
      </c>
      <c r="H12" s="896">
        <f t="shared" si="5"/>
        <v>72037759</v>
      </c>
      <c r="I12" s="896">
        <f t="shared" si="5"/>
        <v>67810366</v>
      </c>
      <c r="J12" s="896">
        <f t="shared" si="5"/>
        <v>63582972</v>
      </c>
      <c r="K12" s="896">
        <f t="shared" si="5"/>
        <v>59355578</v>
      </c>
      <c r="L12" s="896">
        <f t="shared" si="5"/>
        <v>55128184</v>
      </c>
      <c r="M12" s="896">
        <f t="shared" si="5"/>
        <v>50900791</v>
      </c>
      <c r="N12" s="896">
        <f t="shared" si="5"/>
        <v>46673398</v>
      </c>
      <c r="O12" s="896">
        <f t="shared" si="5"/>
        <v>42446004</v>
      </c>
      <c r="P12" s="896">
        <f t="shared" si="5"/>
        <v>38218610</v>
      </c>
      <c r="Q12" s="896">
        <f t="shared" si="5"/>
        <v>33991216</v>
      </c>
      <c r="R12" s="896">
        <f t="shared" si="5"/>
        <v>22822846</v>
      </c>
      <c r="S12" s="896">
        <f t="shared" si="1"/>
        <v>976567423</v>
      </c>
    </row>
    <row r="13" spans="1:21" ht="21" customHeight="1" x14ac:dyDescent="0.2">
      <c r="A13" s="894" t="s">
        <v>198</v>
      </c>
      <c r="B13" s="894" t="s">
        <v>1127</v>
      </c>
      <c r="C13" s="895">
        <f t="shared" ref="C13:R13" si="6">+C14+C18</f>
        <v>93174727</v>
      </c>
      <c r="D13" s="895">
        <f t="shared" si="6"/>
        <v>88947334</v>
      </c>
      <c r="E13" s="895">
        <f t="shared" si="6"/>
        <v>84719940</v>
      </c>
      <c r="F13" s="895">
        <f t="shared" si="6"/>
        <v>80492546</v>
      </c>
      <c r="G13" s="895">
        <f t="shared" si="6"/>
        <v>76265152</v>
      </c>
      <c r="H13" s="895">
        <f t="shared" si="6"/>
        <v>72037759</v>
      </c>
      <c r="I13" s="895">
        <f t="shared" si="6"/>
        <v>67810366</v>
      </c>
      <c r="J13" s="895">
        <f t="shared" si="6"/>
        <v>63582972</v>
      </c>
      <c r="K13" s="895">
        <f t="shared" si="6"/>
        <v>59355578</v>
      </c>
      <c r="L13" s="895">
        <f t="shared" si="6"/>
        <v>55128184</v>
      </c>
      <c r="M13" s="895">
        <f t="shared" si="6"/>
        <v>50900791</v>
      </c>
      <c r="N13" s="895">
        <f t="shared" si="6"/>
        <v>46673398</v>
      </c>
      <c r="O13" s="895">
        <f t="shared" si="6"/>
        <v>42446004</v>
      </c>
      <c r="P13" s="895">
        <f t="shared" si="6"/>
        <v>38218610</v>
      </c>
      <c r="Q13" s="895">
        <f t="shared" si="6"/>
        <v>33991216</v>
      </c>
      <c r="R13" s="895">
        <f t="shared" si="6"/>
        <v>22822846</v>
      </c>
      <c r="S13" s="896">
        <f t="shared" si="1"/>
        <v>976567423</v>
      </c>
    </row>
    <row r="14" spans="1:21" ht="21" customHeight="1" x14ac:dyDescent="0.2">
      <c r="A14" s="894" t="s">
        <v>225</v>
      </c>
      <c r="B14" s="894" t="s">
        <v>1128</v>
      </c>
      <c r="C14" s="895">
        <f t="shared" ref="C14:R14" si="7">+C15+C16+C17</f>
        <v>28182624</v>
      </c>
      <c r="D14" s="895">
        <f t="shared" si="7"/>
        <v>28182624</v>
      </c>
      <c r="E14" s="895">
        <f t="shared" si="7"/>
        <v>28182624</v>
      </c>
      <c r="F14" s="895">
        <f t="shared" si="7"/>
        <v>28182624</v>
      </c>
      <c r="G14" s="895">
        <f t="shared" si="7"/>
        <v>28182624</v>
      </c>
      <c r="H14" s="895">
        <f t="shared" si="7"/>
        <v>28182624</v>
      </c>
      <c r="I14" s="895">
        <f t="shared" si="7"/>
        <v>28182624</v>
      </c>
      <c r="J14" s="895">
        <f t="shared" si="7"/>
        <v>28182624</v>
      </c>
      <c r="K14" s="895">
        <f t="shared" si="7"/>
        <v>28182624</v>
      </c>
      <c r="L14" s="895">
        <f t="shared" si="7"/>
        <v>28182624</v>
      </c>
      <c r="M14" s="895">
        <f t="shared" si="7"/>
        <v>28182624</v>
      </c>
      <c r="N14" s="895">
        <f t="shared" si="7"/>
        <v>28182624</v>
      </c>
      <c r="O14" s="895">
        <f t="shared" si="7"/>
        <v>28182624</v>
      </c>
      <c r="P14" s="895">
        <f t="shared" si="7"/>
        <v>28182624</v>
      </c>
      <c r="Q14" s="895">
        <f t="shared" si="7"/>
        <v>28182624</v>
      </c>
      <c r="R14" s="895">
        <f t="shared" si="7"/>
        <v>21109809</v>
      </c>
      <c r="S14" s="896">
        <f t="shared" si="1"/>
        <v>443849169</v>
      </c>
    </row>
    <row r="15" spans="1:21" ht="15.75" customHeight="1" x14ac:dyDescent="0.2">
      <c r="A15" s="894" t="s">
        <v>1129</v>
      </c>
      <c r="B15" s="894" t="s">
        <v>1130</v>
      </c>
      <c r="C15" s="895">
        <v>9743592</v>
      </c>
      <c r="D15" s="895">
        <v>9743592</v>
      </c>
      <c r="E15" s="895">
        <v>9743592</v>
      </c>
      <c r="F15" s="895">
        <v>9743592</v>
      </c>
      <c r="G15" s="895">
        <v>9743592</v>
      </c>
      <c r="H15" s="895">
        <v>9743592</v>
      </c>
      <c r="I15" s="895">
        <v>9743592</v>
      </c>
      <c r="J15" s="895">
        <v>9743592</v>
      </c>
      <c r="K15" s="895">
        <v>9743592</v>
      </c>
      <c r="L15" s="895">
        <v>9743592</v>
      </c>
      <c r="M15" s="895">
        <v>9743592</v>
      </c>
      <c r="N15" s="895">
        <v>9743592</v>
      </c>
      <c r="O15" s="895">
        <v>9743592</v>
      </c>
      <c r="P15" s="895">
        <v>9743592</v>
      </c>
      <c r="Q15" s="895">
        <v>9743592</v>
      </c>
      <c r="R15" s="895">
        <v>9743629</v>
      </c>
      <c r="S15" s="896">
        <f t="shared" si="1"/>
        <v>155897509</v>
      </c>
      <c r="T15" s="679">
        <f>+'5.sz.tájék.táb Adósságszolg'!C42</f>
        <v>155897509</v>
      </c>
      <c r="U15" s="574">
        <f t="shared" ref="U15:U21" si="8">SUM(C15:R15)</f>
        <v>155897509</v>
      </c>
    </row>
    <row r="16" spans="1:21" ht="30" x14ac:dyDescent="0.2">
      <c r="A16" s="894" t="s">
        <v>1131</v>
      </c>
      <c r="B16" s="894" t="s">
        <v>1132</v>
      </c>
      <c r="C16" s="895">
        <v>4376000</v>
      </c>
      <c r="D16" s="895">
        <v>4376000</v>
      </c>
      <c r="E16" s="895">
        <v>4376000</v>
      </c>
      <c r="F16" s="895">
        <v>4376000</v>
      </c>
      <c r="G16" s="895">
        <v>4376000</v>
      </c>
      <c r="H16" s="895">
        <v>4376000</v>
      </c>
      <c r="I16" s="895">
        <v>4376000</v>
      </c>
      <c r="J16" s="895">
        <v>4376000</v>
      </c>
      <c r="K16" s="895">
        <v>4376000</v>
      </c>
      <c r="L16" s="895">
        <v>4376000</v>
      </c>
      <c r="M16" s="895">
        <v>4376000</v>
      </c>
      <c r="N16" s="895">
        <v>4376000</v>
      </c>
      <c r="O16" s="895">
        <v>4376000</v>
      </c>
      <c r="P16" s="895">
        <v>4376000</v>
      </c>
      <c r="Q16" s="895">
        <v>4376000</v>
      </c>
      <c r="R16" s="895">
        <v>4334633</v>
      </c>
      <c r="S16" s="896">
        <f t="shared" si="1"/>
        <v>69974633</v>
      </c>
      <c r="T16" s="679">
        <f>+'5.sz.tájék.táb Adósságszolg'!D42</f>
        <v>69974633</v>
      </c>
      <c r="U16" s="574">
        <f t="shared" si="8"/>
        <v>69974633</v>
      </c>
    </row>
    <row r="17" spans="1:21" ht="17.25" customHeight="1" x14ac:dyDescent="0.2">
      <c r="A17" s="894" t="s">
        <v>1133</v>
      </c>
      <c r="B17" s="894" t="s">
        <v>1134</v>
      </c>
      <c r="C17" s="895">
        <v>14063032</v>
      </c>
      <c r="D17" s="895">
        <v>14063032</v>
      </c>
      <c r="E17" s="895">
        <v>14063032</v>
      </c>
      <c r="F17" s="895">
        <v>14063032</v>
      </c>
      <c r="G17" s="895">
        <v>14063032</v>
      </c>
      <c r="H17" s="895">
        <v>14063032</v>
      </c>
      <c r="I17" s="895">
        <v>14063032</v>
      </c>
      <c r="J17" s="895">
        <v>14063032</v>
      </c>
      <c r="K17" s="895">
        <v>14063032</v>
      </c>
      <c r="L17" s="895">
        <v>14063032</v>
      </c>
      <c r="M17" s="895">
        <v>14063032</v>
      </c>
      <c r="N17" s="895">
        <v>14063032</v>
      </c>
      <c r="O17" s="895">
        <v>14063032</v>
      </c>
      <c r="P17" s="895">
        <v>14063032</v>
      </c>
      <c r="Q17" s="895">
        <v>14063032</v>
      </c>
      <c r="R17" s="895">
        <v>7031547</v>
      </c>
      <c r="S17" s="896">
        <f t="shared" si="1"/>
        <v>217977027</v>
      </c>
      <c r="T17" s="679">
        <f>+'5.sz.tájék.táb Adósságszolg'!B42</f>
        <v>217977027</v>
      </c>
      <c r="U17" s="574">
        <f t="shared" si="8"/>
        <v>217977027</v>
      </c>
    </row>
    <row r="18" spans="1:21" ht="15.75" customHeight="1" x14ac:dyDescent="0.2">
      <c r="A18" s="894" t="s">
        <v>226</v>
      </c>
      <c r="B18" s="894" t="s">
        <v>1135</v>
      </c>
      <c r="C18" s="895">
        <f t="shared" ref="C18:S18" si="9">SUM(C19:C21)</f>
        <v>64992103</v>
      </c>
      <c r="D18" s="895">
        <f t="shared" si="9"/>
        <v>60764710</v>
      </c>
      <c r="E18" s="895">
        <f t="shared" si="9"/>
        <v>56537316</v>
      </c>
      <c r="F18" s="895">
        <f t="shared" si="9"/>
        <v>52309922</v>
      </c>
      <c r="G18" s="895">
        <f t="shared" si="9"/>
        <v>48082528</v>
      </c>
      <c r="H18" s="895">
        <f t="shared" si="9"/>
        <v>43855135</v>
      </c>
      <c r="I18" s="895">
        <f>SUM(I19:I21)</f>
        <v>39627742</v>
      </c>
      <c r="J18" s="895">
        <f t="shared" si="9"/>
        <v>35400348</v>
      </c>
      <c r="K18" s="895">
        <f t="shared" si="9"/>
        <v>31172954</v>
      </c>
      <c r="L18" s="895">
        <f t="shared" si="9"/>
        <v>26945560</v>
      </c>
      <c r="M18" s="895">
        <f t="shared" si="9"/>
        <v>22718167</v>
      </c>
      <c r="N18" s="895">
        <f t="shared" si="9"/>
        <v>18490774</v>
      </c>
      <c r="O18" s="895">
        <f t="shared" si="9"/>
        <v>14263380</v>
      </c>
      <c r="P18" s="895">
        <f t="shared" si="9"/>
        <v>10035986</v>
      </c>
      <c r="Q18" s="895">
        <f t="shared" si="9"/>
        <v>5808592</v>
      </c>
      <c r="R18" s="895">
        <f t="shared" si="9"/>
        <v>1713037</v>
      </c>
      <c r="S18" s="896">
        <f t="shared" si="9"/>
        <v>532718254</v>
      </c>
      <c r="U18" s="574">
        <f t="shared" si="8"/>
        <v>532718254</v>
      </c>
    </row>
    <row r="19" spans="1:21" ht="17.25" customHeight="1" x14ac:dyDescent="0.2">
      <c r="A19" s="894" t="s">
        <v>1136</v>
      </c>
      <c r="B19" s="894" t="s">
        <v>1130</v>
      </c>
      <c r="C19" s="895">
        <v>22836549</v>
      </c>
      <c r="D19" s="895">
        <v>21375011</v>
      </c>
      <c r="E19" s="895">
        <v>19913472</v>
      </c>
      <c r="F19" s="895">
        <v>18451933</v>
      </c>
      <c r="G19" s="895">
        <v>16990394</v>
      </c>
      <c r="H19" s="895">
        <v>15528855</v>
      </c>
      <c r="I19" s="895">
        <v>14067317</v>
      </c>
      <c r="J19" s="895">
        <v>12605778</v>
      </c>
      <c r="K19" s="895">
        <v>11144239</v>
      </c>
      <c r="L19" s="895">
        <v>9682700</v>
      </c>
      <c r="M19" s="895">
        <v>8221161</v>
      </c>
      <c r="N19" s="895">
        <v>6759623</v>
      </c>
      <c r="O19" s="895">
        <v>5298084</v>
      </c>
      <c r="P19" s="895">
        <v>3836545</v>
      </c>
      <c r="Q19" s="895">
        <v>2375006</v>
      </c>
      <c r="R19" s="895">
        <v>913467</v>
      </c>
      <c r="S19" s="896">
        <f t="shared" ref="S19:S31" si="10">SUM(C19:R19)</f>
        <v>190000134</v>
      </c>
      <c r="U19" s="574">
        <f t="shared" si="8"/>
        <v>190000134</v>
      </c>
    </row>
    <row r="20" spans="1:21" ht="30" x14ac:dyDescent="0.2">
      <c r="A20" s="894" t="s">
        <v>1137</v>
      </c>
      <c r="B20" s="894" t="s">
        <v>1132</v>
      </c>
      <c r="C20" s="895">
        <v>10250045</v>
      </c>
      <c r="D20" s="895">
        <v>9593645</v>
      </c>
      <c r="E20" s="895">
        <v>8937245</v>
      </c>
      <c r="F20" s="895">
        <v>8280845</v>
      </c>
      <c r="G20" s="895">
        <v>7624445</v>
      </c>
      <c r="H20" s="895">
        <v>6968045</v>
      </c>
      <c r="I20" s="895">
        <v>6311645</v>
      </c>
      <c r="J20" s="895">
        <v>5655245</v>
      </c>
      <c r="K20" s="895">
        <v>4998845</v>
      </c>
      <c r="L20" s="895">
        <v>4342445</v>
      </c>
      <c r="M20" s="895">
        <v>3686045</v>
      </c>
      <c r="N20" s="895">
        <v>3029645</v>
      </c>
      <c r="O20" s="895">
        <v>2373245</v>
      </c>
      <c r="P20" s="895">
        <v>1716845</v>
      </c>
      <c r="Q20" s="895">
        <v>1060445</v>
      </c>
      <c r="R20">
        <v>404045</v>
      </c>
      <c r="S20" s="896">
        <f t="shared" si="10"/>
        <v>85232720</v>
      </c>
      <c r="U20" s="574">
        <f t="shared" si="8"/>
        <v>85232720</v>
      </c>
    </row>
    <row r="21" spans="1:21" ht="15" x14ac:dyDescent="0.2">
      <c r="A21" s="894" t="s">
        <v>1138</v>
      </c>
      <c r="B21" s="894" t="s">
        <v>1134</v>
      </c>
      <c r="C21" s="895">
        <v>31905509</v>
      </c>
      <c r="D21" s="895">
        <v>29796054</v>
      </c>
      <c r="E21" s="895">
        <v>27686599</v>
      </c>
      <c r="F21" s="895">
        <v>25577144</v>
      </c>
      <c r="G21" s="895">
        <v>23467689</v>
      </c>
      <c r="H21" s="895">
        <v>21358235</v>
      </c>
      <c r="I21" s="895">
        <v>19248780</v>
      </c>
      <c r="J21" s="895">
        <v>17139325</v>
      </c>
      <c r="K21" s="895">
        <v>15029870</v>
      </c>
      <c r="L21" s="895">
        <v>12920415</v>
      </c>
      <c r="M21" s="895">
        <v>10810961</v>
      </c>
      <c r="N21" s="895">
        <v>8701506</v>
      </c>
      <c r="O21" s="895">
        <v>6592051</v>
      </c>
      <c r="P21" s="895">
        <v>4482596</v>
      </c>
      <c r="Q21" s="895">
        <v>2373141</v>
      </c>
      <c r="R21" s="895">
        <v>395525</v>
      </c>
      <c r="S21" s="896">
        <f t="shared" si="10"/>
        <v>257485400</v>
      </c>
      <c r="U21" s="574">
        <f t="shared" si="8"/>
        <v>257485400</v>
      </c>
    </row>
    <row r="22" spans="1:21" ht="20.25" customHeight="1" x14ac:dyDescent="0.2">
      <c r="A22" s="894" t="s">
        <v>227</v>
      </c>
      <c r="B22" s="894" t="s">
        <v>1139</v>
      </c>
      <c r="C22" s="895"/>
      <c r="D22" s="895"/>
      <c r="E22" s="895"/>
      <c r="F22" s="895"/>
      <c r="G22" s="895"/>
      <c r="H22" s="895"/>
      <c r="I22" s="895"/>
      <c r="J22" s="895"/>
      <c r="K22" s="895"/>
      <c r="L22" s="895"/>
      <c r="M22" s="895"/>
      <c r="N22" s="895"/>
      <c r="O22" s="895"/>
      <c r="P22" s="895"/>
      <c r="Q22" s="895"/>
      <c r="R22" s="895"/>
      <c r="S22" s="896">
        <f t="shared" si="10"/>
        <v>0</v>
      </c>
    </row>
    <row r="23" spans="1:21" ht="21" customHeight="1" x14ac:dyDescent="0.2">
      <c r="A23" s="894" t="s">
        <v>228</v>
      </c>
      <c r="B23" s="894" t="s">
        <v>1140</v>
      </c>
      <c r="C23" s="895"/>
      <c r="D23" s="895"/>
      <c r="E23" s="895"/>
      <c r="F23" s="895"/>
      <c r="G23" s="895"/>
      <c r="H23" s="895"/>
      <c r="I23" s="895"/>
      <c r="J23" s="895"/>
      <c r="K23" s="895"/>
      <c r="L23" s="895"/>
      <c r="M23" s="895"/>
      <c r="N23" s="895"/>
      <c r="O23" s="895"/>
      <c r="P23" s="895"/>
      <c r="Q23" s="895"/>
      <c r="R23" s="895"/>
      <c r="S23" s="896">
        <f t="shared" si="10"/>
        <v>0</v>
      </c>
    </row>
    <row r="24" spans="1:21" ht="21" customHeight="1" x14ac:dyDescent="0.2">
      <c r="A24" s="894" t="s">
        <v>229</v>
      </c>
      <c r="B24" s="894" t="s">
        <v>1141</v>
      </c>
      <c r="C24" s="895"/>
      <c r="D24" s="895"/>
      <c r="E24" s="895"/>
      <c r="F24" s="895"/>
      <c r="G24" s="895"/>
      <c r="H24" s="895"/>
      <c r="I24" s="895"/>
      <c r="J24" s="895"/>
      <c r="K24" s="895"/>
      <c r="L24" s="895"/>
      <c r="M24" s="895"/>
      <c r="N24" s="895"/>
      <c r="O24" s="895"/>
      <c r="P24" s="895"/>
      <c r="Q24" s="895"/>
      <c r="R24" s="895"/>
      <c r="S24" s="896">
        <f t="shared" si="10"/>
        <v>0</v>
      </c>
    </row>
    <row r="25" spans="1:21" ht="20.25" customHeight="1" x14ac:dyDescent="0.2">
      <c r="A25" s="894" t="s">
        <v>230</v>
      </c>
      <c r="B25" s="894" t="s">
        <v>1142</v>
      </c>
      <c r="C25" s="895"/>
      <c r="D25" s="895"/>
      <c r="E25" s="895"/>
      <c r="F25" s="895"/>
      <c r="G25" s="895"/>
      <c r="H25" s="895"/>
      <c r="I25" s="895"/>
      <c r="J25" s="895"/>
      <c r="K25" s="895"/>
      <c r="L25" s="895"/>
      <c r="M25" s="895"/>
      <c r="N25" s="895"/>
      <c r="O25" s="895"/>
      <c r="P25" s="895"/>
      <c r="Q25" s="895"/>
      <c r="R25" s="895"/>
      <c r="S25" s="896">
        <f t="shared" si="10"/>
        <v>0</v>
      </c>
    </row>
    <row r="26" spans="1:21" ht="20.25" customHeight="1" x14ac:dyDescent="0.2">
      <c r="A26" s="894" t="s">
        <v>231</v>
      </c>
      <c r="B26" s="894" t="s">
        <v>1143</v>
      </c>
      <c r="C26" s="895"/>
      <c r="D26" s="895"/>
      <c r="E26" s="895"/>
      <c r="F26" s="895"/>
      <c r="G26" s="895"/>
      <c r="H26" s="895"/>
      <c r="I26" s="895"/>
      <c r="J26" s="895"/>
      <c r="K26" s="895"/>
      <c r="L26" s="895"/>
      <c r="M26" s="895"/>
      <c r="N26" s="895"/>
      <c r="O26" s="895"/>
      <c r="P26" s="895"/>
      <c r="Q26" s="895"/>
      <c r="R26" s="895"/>
      <c r="S26" s="896">
        <f t="shared" si="10"/>
        <v>0</v>
      </c>
    </row>
    <row r="27" spans="1:21" ht="22.5" customHeight="1" x14ac:dyDescent="0.2">
      <c r="A27" s="894" t="s">
        <v>232</v>
      </c>
      <c r="B27" s="894" t="s">
        <v>1144</v>
      </c>
      <c r="C27" s="895"/>
      <c r="D27" s="895"/>
      <c r="E27" s="895"/>
      <c r="F27" s="895"/>
      <c r="G27" s="895"/>
      <c r="H27" s="895"/>
      <c r="I27" s="895"/>
      <c r="J27" s="895"/>
      <c r="K27" s="895"/>
      <c r="L27" s="895"/>
      <c r="M27" s="895"/>
      <c r="N27" s="895"/>
      <c r="O27" s="895"/>
      <c r="P27" s="895"/>
      <c r="Q27" s="895"/>
      <c r="R27" s="895"/>
      <c r="S27" s="896">
        <f t="shared" si="10"/>
        <v>0</v>
      </c>
    </row>
    <row r="28" spans="1:21" ht="22.5" customHeight="1" x14ac:dyDescent="0.2">
      <c r="A28" s="894" t="s">
        <v>233</v>
      </c>
      <c r="B28" s="894" t="s">
        <v>1145</v>
      </c>
      <c r="C28" s="895"/>
      <c r="D28" s="895"/>
      <c r="E28" s="895"/>
      <c r="F28" s="895"/>
      <c r="G28" s="895"/>
      <c r="H28" s="895"/>
      <c r="I28" s="895"/>
      <c r="J28" s="895"/>
      <c r="K28" s="895"/>
      <c r="L28" s="895"/>
      <c r="M28" s="895"/>
      <c r="N28" s="895"/>
      <c r="O28" s="895"/>
      <c r="P28" s="895"/>
      <c r="Q28" s="895"/>
      <c r="R28" s="895"/>
      <c r="S28" s="896">
        <f t="shared" si="10"/>
        <v>0</v>
      </c>
    </row>
    <row r="29" spans="1:21" ht="30" x14ac:dyDescent="0.2">
      <c r="A29" s="894" t="s">
        <v>260</v>
      </c>
      <c r="B29" s="893" t="s">
        <v>1146</v>
      </c>
      <c r="C29" s="896">
        <f t="shared" ref="C29:R29" si="11">C30+C39+C40+C41+C42+C43+C44+C45</f>
        <v>0</v>
      </c>
      <c r="D29" s="896">
        <f t="shared" si="11"/>
        <v>0</v>
      </c>
      <c r="E29" s="896">
        <f t="shared" si="11"/>
        <v>0</v>
      </c>
      <c r="F29" s="896">
        <f t="shared" si="11"/>
        <v>0</v>
      </c>
      <c r="G29" s="896">
        <f t="shared" si="11"/>
        <v>0</v>
      </c>
      <c r="H29" s="896">
        <f t="shared" si="11"/>
        <v>0</v>
      </c>
      <c r="I29" s="896">
        <f t="shared" si="11"/>
        <v>0</v>
      </c>
      <c r="J29" s="896">
        <f t="shared" si="11"/>
        <v>0</v>
      </c>
      <c r="K29" s="896">
        <f t="shared" si="11"/>
        <v>0</v>
      </c>
      <c r="L29" s="896">
        <f t="shared" si="11"/>
        <v>0</v>
      </c>
      <c r="M29" s="896">
        <f t="shared" si="11"/>
        <v>0</v>
      </c>
      <c r="N29" s="896">
        <f t="shared" si="11"/>
        <v>0</v>
      </c>
      <c r="O29" s="896">
        <f t="shared" si="11"/>
        <v>0</v>
      </c>
      <c r="P29" s="896">
        <f t="shared" si="11"/>
        <v>0</v>
      </c>
      <c r="Q29" s="896">
        <f t="shared" si="11"/>
        <v>0</v>
      </c>
      <c r="R29" s="896">
        <f t="shared" si="11"/>
        <v>0</v>
      </c>
      <c r="S29" s="896">
        <f t="shared" si="10"/>
        <v>0</v>
      </c>
    </row>
    <row r="30" spans="1:21" ht="18.75" customHeight="1" x14ac:dyDescent="0.2">
      <c r="A30" s="894" t="s">
        <v>261</v>
      </c>
      <c r="B30" s="894" t="s">
        <v>1147</v>
      </c>
      <c r="C30" s="895">
        <f t="shared" ref="C30:R30" si="12">SUM(C31:C35)</f>
        <v>0</v>
      </c>
      <c r="D30" s="895">
        <f t="shared" si="12"/>
        <v>0</v>
      </c>
      <c r="E30" s="895">
        <f t="shared" si="12"/>
        <v>0</v>
      </c>
      <c r="F30" s="895">
        <f t="shared" si="12"/>
        <v>0</v>
      </c>
      <c r="G30" s="895">
        <f t="shared" si="12"/>
        <v>0</v>
      </c>
      <c r="H30" s="895">
        <f t="shared" si="12"/>
        <v>0</v>
      </c>
      <c r="I30" s="895">
        <f t="shared" si="12"/>
        <v>0</v>
      </c>
      <c r="J30" s="895">
        <f t="shared" si="12"/>
        <v>0</v>
      </c>
      <c r="K30" s="895">
        <f t="shared" si="12"/>
        <v>0</v>
      </c>
      <c r="L30" s="895">
        <f t="shared" si="12"/>
        <v>0</v>
      </c>
      <c r="M30" s="895">
        <f t="shared" si="12"/>
        <v>0</v>
      </c>
      <c r="N30" s="895">
        <f t="shared" si="12"/>
        <v>0</v>
      </c>
      <c r="O30" s="895">
        <f t="shared" si="12"/>
        <v>0</v>
      </c>
      <c r="P30" s="895">
        <f t="shared" si="12"/>
        <v>0</v>
      </c>
      <c r="Q30" s="895">
        <f t="shared" si="12"/>
        <v>0</v>
      </c>
      <c r="R30" s="895">
        <f t="shared" si="12"/>
        <v>0</v>
      </c>
      <c r="S30" s="896">
        <f t="shared" si="10"/>
        <v>0</v>
      </c>
    </row>
    <row r="31" spans="1:21" ht="18.75" customHeight="1" x14ac:dyDescent="0.2">
      <c r="A31" s="894" t="s">
        <v>262</v>
      </c>
      <c r="B31" s="894" t="s">
        <v>1148</v>
      </c>
      <c r="C31" s="895">
        <f t="shared" ref="C31:R31" si="13">+C32+C33+C34</f>
        <v>0</v>
      </c>
      <c r="D31" s="895">
        <f t="shared" si="13"/>
        <v>0</v>
      </c>
      <c r="E31" s="895">
        <f t="shared" si="13"/>
        <v>0</v>
      </c>
      <c r="F31" s="895">
        <f t="shared" si="13"/>
        <v>0</v>
      </c>
      <c r="G31" s="895">
        <f t="shared" si="13"/>
        <v>0</v>
      </c>
      <c r="H31" s="895">
        <f t="shared" si="13"/>
        <v>0</v>
      </c>
      <c r="I31" s="895">
        <f t="shared" si="13"/>
        <v>0</v>
      </c>
      <c r="J31" s="895">
        <f t="shared" si="13"/>
        <v>0</v>
      </c>
      <c r="K31" s="895">
        <f t="shared" si="13"/>
        <v>0</v>
      </c>
      <c r="L31" s="895">
        <f t="shared" si="13"/>
        <v>0</v>
      </c>
      <c r="M31" s="895">
        <f t="shared" si="13"/>
        <v>0</v>
      </c>
      <c r="N31" s="895">
        <f t="shared" si="13"/>
        <v>0</v>
      </c>
      <c r="O31" s="895">
        <f t="shared" si="13"/>
        <v>0</v>
      </c>
      <c r="P31" s="895">
        <f t="shared" si="13"/>
        <v>0</v>
      </c>
      <c r="Q31" s="895">
        <f t="shared" si="13"/>
        <v>0</v>
      </c>
      <c r="R31" s="895">
        <f t="shared" si="13"/>
        <v>0</v>
      </c>
      <c r="S31" s="896">
        <f t="shared" si="10"/>
        <v>0</v>
      </c>
    </row>
    <row r="32" spans="1:21" ht="19.5" customHeight="1" x14ac:dyDescent="0.2">
      <c r="A32" s="894" t="s">
        <v>1149</v>
      </c>
      <c r="B32" s="894" t="s">
        <v>1130</v>
      </c>
      <c r="C32" s="895"/>
      <c r="D32" s="895"/>
      <c r="E32" s="895"/>
      <c r="F32" s="895"/>
      <c r="G32" s="895"/>
      <c r="H32" s="895"/>
      <c r="I32" s="895"/>
      <c r="J32" s="895"/>
      <c r="K32" s="895"/>
      <c r="L32" s="895"/>
      <c r="M32" s="895"/>
      <c r="N32" s="895"/>
      <c r="O32" s="895"/>
      <c r="P32" s="895"/>
      <c r="Q32" s="895"/>
      <c r="R32" s="895"/>
      <c r="S32" s="896"/>
    </row>
    <row r="33" spans="1:22" ht="30" x14ac:dyDescent="0.2">
      <c r="A33" s="894" t="s">
        <v>1150</v>
      </c>
      <c r="B33" s="894" t="s">
        <v>1132</v>
      </c>
      <c r="C33" s="895"/>
      <c r="D33" s="895"/>
      <c r="E33" s="895"/>
      <c r="F33" s="895"/>
      <c r="G33" s="895"/>
      <c r="H33" s="895"/>
      <c r="I33" s="895"/>
      <c r="J33" s="895"/>
      <c r="K33" s="895"/>
      <c r="L33" s="895"/>
      <c r="M33" s="895"/>
      <c r="N33" s="895"/>
      <c r="O33" s="895"/>
      <c r="P33" s="895"/>
      <c r="Q33" s="895"/>
      <c r="R33" s="895"/>
      <c r="S33" s="896"/>
    </row>
    <row r="34" spans="1:22" ht="18" customHeight="1" x14ac:dyDescent="0.2">
      <c r="A34" s="894" t="s">
        <v>1151</v>
      </c>
      <c r="B34" s="894" t="s">
        <v>1134</v>
      </c>
      <c r="C34" s="895"/>
      <c r="D34" s="895"/>
      <c r="E34" s="895"/>
      <c r="F34" s="895"/>
      <c r="G34" s="895"/>
      <c r="H34" s="895"/>
      <c r="I34" s="895"/>
      <c r="J34" s="895"/>
      <c r="K34" s="895"/>
      <c r="L34" s="895"/>
      <c r="M34" s="895"/>
      <c r="N34" s="895"/>
      <c r="O34" s="895"/>
      <c r="P34" s="895"/>
      <c r="Q34" s="895"/>
      <c r="R34" s="895"/>
      <c r="S34" s="896"/>
    </row>
    <row r="35" spans="1:22" ht="18" customHeight="1" x14ac:dyDescent="0.2">
      <c r="A35" s="894" t="s">
        <v>263</v>
      </c>
      <c r="B35" s="894" t="s">
        <v>1152</v>
      </c>
      <c r="C35" s="895">
        <f t="shared" ref="C35:R35" si="14">+C36+C37+C38</f>
        <v>0</v>
      </c>
      <c r="D35" s="895">
        <f t="shared" si="14"/>
        <v>0</v>
      </c>
      <c r="E35" s="895">
        <f t="shared" si="14"/>
        <v>0</v>
      </c>
      <c r="F35" s="895">
        <f t="shared" si="14"/>
        <v>0</v>
      </c>
      <c r="G35" s="895">
        <f t="shared" si="14"/>
        <v>0</v>
      </c>
      <c r="H35" s="895">
        <f t="shared" si="14"/>
        <v>0</v>
      </c>
      <c r="I35" s="895">
        <f t="shared" si="14"/>
        <v>0</v>
      </c>
      <c r="J35" s="895">
        <f t="shared" si="14"/>
        <v>0</v>
      </c>
      <c r="K35" s="895">
        <f t="shared" si="14"/>
        <v>0</v>
      </c>
      <c r="L35" s="895">
        <f t="shared" si="14"/>
        <v>0</v>
      </c>
      <c r="M35" s="895">
        <f t="shared" si="14"/>
        <v>0</v>
      </c>
      <c r="N35" s="895">
        <f t="shared" si="14"/>
        <v>0</v>
      </c>
      <c r="O35" s="895">
        <f t="shared" si="14"/>
        <v>0</v>
      </c>
      <c r="P35" s="895">
        <f t="shared" si="14"/>
        <v>0</v>
      </c>
      <c r="Q35" s="895">
        <f t="shared" si="14"/>
        <v>0</v>
      </c>
      <c r="R35" s="895">
        <f t="shared" si="14"/>
        <v>0</v>
      </c>
      <c r="S35" s="896">
        <f>SUM(C35:R35)</f>
        <v>0</v>
      </c>
    </row>
    <row r="36" spans="1:22" ht="18" customHeight="1" x14ac:dyDescent="0.2">
      <c r="A36" s="894" t="s">
        <v>1153</v>
      </c>
      <c r="B36" s="894" t="s">
        <v>1130</v>
      </c>
      <c r="C36" s="895"/>
      <c r="D36" s="895"/>
      <c r="E36" s="895"/>
      <c r="F36" s="895"/>
      <c r="G36" s="895"/>
      <c r="H36" s="895"/>
      <c r="I36" s="895"/>
      <c r="J36" s="895"/>
      <c r="K36" s="895"/>
      <c r="L36" s="895"/>
      <c r="M36" s="895"/>
      <c r="N36" s="895"/>
      <c r="O36" s="895"/>
      <c r="P36" s="895"/>
      <c r="Q36" s="895"/>
      <c r="R36" s="895"/>
      <c r="S36" s="896"/>
    </row>
    <row r="37" spans="1:22" ht="26.25" customHeight="1" x14ac:dyDescent="0.2">
      <c r="A37" s="894" t="s">
        <v>1154</v>
      </c>
      <c r="B37" s="894" t="s">
        <v>1132</v>
      </c>
      <c r="C37" s="895"/>
      <c r="D37" s="895"/>
      <c r="E37" s="895"/>
      <c r="F37" s="895"/>
      <c r="G37" s="895"/>
      <c r="H37" s="895"/>
      <c r="I37" s="895"/>
      <c r="J37" s="895"/>
      <c r="K37" s="895"/>
      <c r="L37" s="895"/>
      <c r="M37" s="895"/>
      <c r="N37" s="895"/>
      <c r="O37" s="895"/>
      <c r="P37" s="895"/>
      <c r="Q37" s="895"/>
      <c r="R37" s="895"/>
      <c r="S37" s="896"/>
    </row>
    <row r="38" spans="1:22" ht="17.25" customHeight="1" x14ac:dyDescent="0.2">
      <c r="A38" s="894" t="s">
        <v>1155</v>
      </c>
      <c r="B38" s="894" t="s">
        <v>1134</v>
      </c>
      <c r="C38" s="895"/>
      <c r="D38" s="895"/>
      <c r="E38" s="895"/>
      <c r="F38" s="895"/>
      <c r="G38" s="895"/>
      <c r="H38" s="895"/>
      <c r="I38" s="895"/>
      <c r="J38" s="895"/>
      <c r="K38" s="895"/>
      <c r="L38" s="895"/>
      <c r="M38" s="895"/>
      <c r="N38" s="895"/>
      <c r="O38" s="895"/>
      <c r="P38" s="895"/>
      <c r="Q38" s="895"/>
      <c r="R38" s="895"/>
      <c r="S38" s="896"/>
    </row>
    <row r="39" spans="1:22" ht="17.25" customHeight="1" x14ac:dyDescent="0.2">
      <c r="A39" s="894" t="s">
        <v>264</v>
      </c>
      <c r="B39" s="894" t="s">
        <v>1139</v>
      </c>
      <c r="C39" s="895"/>
      <c r="D39" s="895"/>
      <c r="E39" s="895"/>
      <c r="F39" s="895"/>
      <c r="G39" s="895"/>
      <c r="H39" s="895"/>
      <c r="I39" s="895"/>
      <c r="J39" s="895"/>
      <c r="K39" s="895"/>
      <c r="L39" s="895"/>
      <c r="M39" s="895"/>
      <c r="N39" s="895"/>
      <c r="O39" s="895"/>
      <c r="P39" s="895"/>
      <c r="Q39" s="895"/>
      <c r="R39" s="895"/>
      <c r="S39" s="896">
        <f t="shared" ref="S39:S47" si="15">SUM(C39:R39)</f>
        <v>0</v>
      </c>
    </row>
    <row r="40" spans="1:22" ht="17.25" customHeight="1" x14ac:dyDescent="0.2">
      <c r="A40" s="894" t="s">
        <v>265</v>
      </c>
      <c r="B40" s="894" t="s">
        <v>1140</v>
      </c>
      <c r="C40" s="895"/>
      <c r="D40" s="895"/>
      <c r="E40" s="895"/>
      <c r="F40" s="895"/>
      <c r="G40" s="895"/>
      <c r="H40" s="895"/>
      <c r="I40" s="895"/>
      <c r="J40" s="895"/>
      <c r="K40" s="895"/>
      <c r="L40" s="895"/>
      <c r="M40" s="895"/>
      <c r="N40" s="895"/>
      <c r="O40" s="895"/>
      <c r="P40" s="895"/>
      <c r="Q40" s="895"/>
      <c r="R40" s="895"/>
      <c r="S40" s="896">
        <f t="shared" si="15"/>
        <v>0</v>
      </c>
    </row>
    <row r="41" spans="1:22" ht="20.25" customHeight="1" x14ac:dyDescent="0.2">
      <c r="A41" s="894" t="s">
        <v>266</v>
      </c>
      <c r="B41" s="894" t="s">
        <v>1141</v>
      </c>
      <c r="C41" s="895"/>
      <c r="D41" s="895"/>
      <c r="E41" s="895"/>
      <c r="F41" s="895"/>
      <c r="G41" s="895"/>
      <c r="H41" s="895"/>
      <c r="I41" s="895"/>
      <c r="J41" s="895"/>
      <c r="K41" s="895"/>
      <c r="L41" s="895"/>
      <c r="M41" s="895"/>
      <c r="N41" s="895"/>
      <c r="O41" s="895"/>
      <c r="P41" s="895"/>
      <c r="Q41" s="895"/>
      <c r="R41" s="895"/>
      <c r="S41" s="896">
        <f t="shared" si="15"/>
        <v>0</v>
      </c>
    </row>
    <row r="42" spans="1:22" ht="20.25" customHeight="1" x14ac:dyDescent="0.2">
      <c r="A42" s="894" t="s">
        <v>267</v>
      </c>
      <c r="B42" s="894" t="s">
        <v>1142</v>
      </c>
      <c r="C42" s="895"/>
      <c r="D42" s="895"/>
      <c r="E42" s="895"/>
      <c r="F42" s="895"/>
      <c r="G42" s="895"/>
      <c r="H42" s="895"/>
      <c r="I42" s="895"/>
      <c r="J42" s="895"/>
      <c r="K42" s="895"/>
      <c r="L42" s="895"/>
      <c r="M42" s="895"/>
      <c r="N42" s="895"/>
      <c r="O42" s="895"/>
      <c r="P42" s="895"/>
      <c r="Q42" s="895"/>
      <c r="R42" s="895"/>
      <c r="S42" s="896">
        <f t="shared" si="15"/>
        <v>0</v>
      </c>
    </row>
    <row r="43" spans="1:22" ht="20.25" customHeight="1" x14ac:dyDescent="0.2">
      <c r="A43" s="894" t="s">
        <v>268</v>
      </c>
      <c r="B43" s="894" t="s">
        <v>1143</v>
      </c>
      <c r="C43" s="895"/>
      <c r="D43" s="895"/>
      <c r="E43" s="895"/>
      <c r="F43" s="895"/>
      <c r="G43" s="895"/>
      <c r="H43" s="895"/>
      <c r="I43" s="895"/>
      <c r="J43" s="895"/>
      <c r="K43" s="895"/>
      <c r="L43" s="895"/>
      <c r="M43" s="895"/>
      <c r="N43" s="895"/>
      <c r="O43" s="895"/>
      <c r="P43" s="895"/>
      <c r="Q43" s="895"/>
      <c r="R43" s="895"/>
      <c r="S43" s="896">
        <f t="shared" si="15"/>
        <v>0</v>
      </c>
    </row>
    <row r="44" spans="1:22" ht="20.25" customHeight="1" x14ac:dyDescent="0.2">
      <c r="A44" s="894" t="s">
        <v>269</v>
      </c>
      <c r="B44" s="894" t="s">
        <v>1144</v>
      </c>
      <c r="C44" s="895"/>
      <c r="D44" s="895"/>
      <c r="E44" s="895"/>
      <c r="F44" s="895"/>
      <c r="G44" s="895"/>
      <c r="H44" s="895"/>
      <c r="I44" s="895"/>
      <c r="J44" s="895"/>
      <c r="K44" s="895"/>
      <c r="L44" s="895"/>
      <c r="M44" s="895"/>
      <c r="N44" s="895"/>
      <c r="O44" s="895"/>
      <c r="P44" s="895"/>
      <c r="Q44" s="895"/>
      <c r="R44" s="895"/>
      <c r="S44" s="896">
        <f t="shared" si="15"/>
        <v>0</v>
      </c>
    </row>
    <row r="45" spans="1:22" ht="20.25" customHeight="1" x14ac:dyDescent="0.2">
      <c r="A45" s="894" t="s">
        <v>270</v>
      </c>
      <c r="B45" s="894" t="s">
        <v>1145</v>
      </c>
      <c r="C45" s="895"/>
      <c r="D45" s="895"/>
      <c r="E45" s="895"/>
      <c r="F45" s="895"/>
      <c r="G45" s="895"/>
      <c r="H45" s="895"/>
      <c r="I45" s="895"/>
      <c r="J45" s="895"/>
      <c r="K45" s="895"/>
      <c r="L45" s="895"/>
      <c r="M45" s="895"/>
      <c r="N45" s="895"/>
      <c r="O45" s="895"/>
      <c r="P45" s="895"/>
      <c r="Q45" s="895"/>
      <c r="R45" s="895"/>
      <c r="S45" s="896">
        <f t="shared" si="15"/>
        <v>0</v>
      </c>
    </row>
    <row r="46" spans="1:22" ht="20.25" customHeight="1" x14ac:dyDescent="0.2">
      <c r="A46" s="894" t="s">
        <v>271</v>
      </c>
      <c r="B46" s="893" t="s">
        <v>1156</v>
      </c>
      <c r="C46" s="896">
        <f t="shared" ref="C46:R46" si="16">SUM(C12+C29)</f>
        <v>93174727</v>
      </c>
      <c r="D46" s="896">
        <f t="shared" si="16"/>
        <v>88947334</v>
      </c>
      <c r="E46" s="896">
        <f t="shared" si="16"/>
        <v>84719940</v>
      </c>
      <c r="F46" s="896">
        <f t="shared" si="16"/>
        <v>80492546</v>
      </c>
      <c r="G46" s="896">
        <f t="shared" si="16"/>
        <v>76265152</v>
      </c>
      <c r="H46" s="896">
        <f t="shared" si="16"/>
        <v>72037759</v>
      </c>
      <c r="I46" s="896">
        <f t="shared" si="16"/>
        <v>67810366</v>
      </c>
      <c r="J46" s="896">
        <f t="shared" si="16"/>
        <v>63582972</v>
      </c>
      <c r="K46" s="896">
        <f t="shared" si="16"/>
        <v>59355578</v>
      </c>
      <c r="L46" s="896">
        <f t="shared" si="16"/>
        <v>55128184</v>
      </c>
      <c r="M46" s="896">
        <f t="shared" si="16"/>
        <v>50900791</v>
      </c>
      <c r="N46" s="896">
        <f t="shared" si="16"/>
        <v>46673398</v>
      </c>
      <c r="O46" s="896">
        <f t="shared" si="16"/>
        <v>42446004</v>
      </c>
      <c r="P46" s="896">
        <f t="shared" si="16"/>
        <v>38218610</v>
      </c>
      <c r="Q46" s="896">
        <f t="shared" si="16"/>
        <v>33991216</v>
      </c>
      <c r="R46" s="896">
        <f t="shared" si="16"/>
        <v>22822846</v>
      </c>
      <c r="S46" s="896">
        <f t="shared" si="15"/>
        <v>976567423</v>
      </c>
    </row>
    <row r="47" spans="1:22" ht="21" customHeight="1" x14ac:dyDescent="0.2">
      <c r="A47" s="894" t="s">
        <v>272</v>
      </c>
      <c r="B47" s="893" t="s">
        <v>1157</v>
      </c>
      <c r="C47" s="896">
        <f>C11-C46</f>
        <v>2478931920</v>
      </c>
      <c r="D47" s="896">
        <f t="shared" ref="D47:R47" si="17">D11-D46</f>
        <v>2477491929.9879999</v>
      </c>
      <c r="E47" s="896">
        <f t="shared" si="17"/>
        <v>2487105323.3570776</v>
      </c>
      <c r="F47" s="896">
        <f t="shared" si="17"/>
        <v>2496780833.9276261</v>
      </c>
      <c r="G47" s="896">
        <f t="shared" si="17"/>
        <v>2506519658.4408894</v>
      </c>
      <c r="H47" s="896">
        <f t="shared" si="17"/>
        <v>2516323016.5273323</v>
      </c>
      <c r="I47" s="896">
        <f t="shared" si="17"/>
        <v>2526192154.184382</v>
      </c>
      <c r="J47" s="896">
        <f t="shared" si="17"/>
        <v>2536128342.2637186</v>
      </c>
      <c r="K47" s="896">
        <f t="shared" si="17"/>
        <v>2546132874.968318</v>
      </c>
      <c r="L47" s="896">
        <f t="shared" si="17"/>
        <v>2556207073.3594289</v>
      </c>
      <c r="M47" s="896">
        <f t="shared" si="17"/>
        <v>2566352283.8736935</v>
      </c>
      <c r="N47" s="896">
        <f t="shared" si="17"/>
        <v>2576569881.8506103</v>
      </c>
      <c r="O47" s="896">
        <f t="shared" si="17"/>
        <v>2586861270.0705452</v>
      </c>
      <c r="P47" s="896">
        <f t="shared" si="17"/>
        <v>2597227877.3035016</v>
      </c>
      <c r="Q47" s="896">
        <f t="shared" si="17"/>
        <v>2607671161.8688688</v>
      </c>
      <c r="R47" s="896">
        <f t="shared" si="17"/>
        <v>2625133587.2063627</v>
      </c>
      <c r="S47" s="896">
        <f t="shared" si="15"/>
        <v>40687629189.190346</v>
      </c>
    </row>
    <row r="48" spans="1:22" ht="15" x14ac:dyDescent="0.2">
      <c r="A48" s="897"/>
      <c r="B48" s="897" t="s">
        <v>1158</v>
      </c>
      <c r="C48" s="898"/>
      <c r="D48" s="898"/>
      <c r="E48" s="898"/>
      <c r="F48" s="898"/>
      <c r="G48" s="898"/>
      <c r="H48" s="898"/>
      <c r="I48" s="898"/>
      <c r="J48" s="898"/>
      <c r="K48" s="898"/>
      <c r="L48" s="898"/>
      <c r="M48" s="898"/>
      <c r="N48" s="898"/>
      <c r="O48" s="898"/>
      <c r="P48" s="898"/>
      <c r="Q48" s="898"/>
      <c r="R48" s="898"/>
      <c r="S48" s="898"/>
      <c r="T48" s="898"/>
      <c r="U48" s="898"/>
      <c r="V48" s="899"/>
    </row>
    <row r="49" spans="1:24" ht="30" x14ac:dyDescent="0.2">
      <c r="A49" s="2027"/>
      <c r="B49" s="2029" t="s">
        <v>1509</v>
      </c>
      <c r="C49" s="2032">
        <f>+'1.b sz. Önkormányzat  '!BP46</f>
        <v>4740160000</v>
      </c>
      <c r="D49" s="572" t="s">
        <v>1159</v>
      </c>
      <c r="E49" s="572"/>
      <c r="F49" s="571"/>
      <c r="G49" s="575"/>
      <c r="H49" s="576"/>
      <c r="I49" s="576"/>
      <c r="J49" s="579" t="s">
        <v>1160</v>
      </c>
      <c r="K49" s="580"/>
      <c r="L49" s="898"/>
      <c r="M49" s="898"/>
      <c r="N49" s="898"/>
      <c r="O49" s="898"/>
      <c r="P49" s="898"/>
      <c r="Q49" s="898"/>
      <c r="R49" s="898"/>
      <c r="S49" s="898"/>
      <c r="T49" s="898"/>
      <c r="U49" s="898"/>
      <c r="V49" s="899"/>
    </row>
    <row r="50" spans="1:24" ht="43.15" customHeight="1" x14ac:dyDescent="0.2">
      <c r="A50" s="2028"/>
      <c r="B50" s="2030"/>
      <c r="C50" s="2033"/>
      <c r="D50" s="572" t="s">
        <v>1162</v>
      </c>
      <c r="E50" s="572"/>
      <c r="F50" s="572"/>
      <c r="G50" s="576"/>
      <c r="H50" s="576"/>
      <c r="I50" s="576"/>
      <c r="J50" s="581" t="s">
        <v>1163</v>
      </c>
      <c r="K50" s="582"/>
      <c r="L50" s="898"/>
      <c r="M50" s="898"/>
      <c r="N50" s="898"/>
      <c r="O50" s="898"/>
      <c r="P50" s="898"/>
      <c r="Q50" s="898"/>
      <c r="R50" s="898"/>
      <c r="S50" s="898"/>
      <c r="T50" s="898"/>
      <c r="U50" s="898"/>
      <c r="V50" s="899"/>
      <c r="W50" s="898"/>
      <c r="X50" s="898"/>
    </row>
    <row r="51" spans="1:24" ht="15" x14ac:dyDescent="0.2">
      <c r="A51" s="2028"/>
      <c r="B51" s="2030"/>
      <c r="C51" s="2033"/>
      <c r="D51" s="572" t="s">
        <v>1165</v>
      </c>
      <c r="E51" s="572"/>
      <c r="F51" s="572"/>
      <c r="G51" s="576"/>
      <c r="H51" s="576"/>
      <c r="I51" s="576"/>
      <c r="J51" s="581" t="s">
        <v>1166</v>
      </c>
      <c r="K51" s="582"/>
      <c r="L51" s="898"/>
      <c r="M51" s="898"/>
      <c r="N51" s="898"/>
      <c r="O51" s="898"/>
      <c r="P51" s="898"/>
      <c r="Q51" s="898"/>
      <c r="R51" s="898"/>
      <c r="S51" s="898"/>
      <c r="T51" s="898"/>
      <c r="U51" s="898"/>
      <c r="V51" s="899"/>
      <c r="W51" s="898"/>
      <c r="X51" s="898"/>
    </row>
    <row r="52" spans="1:24" ht="15" x14ac:dyDescent="0.2">
      <c r="A52" s="2028"/>
      <c r="B52" s="2030"/>
      <c r="C52" s="2033"/>
      <c r="D52" s="572" t="s">
        <v>1168</v>
      </c>
      <c r="E52" s="572"/>
      <c r="F52" s="572"/>
      <c r="G52" s="576"/>
      <c r="H52" s="576"/>
      <c r="I52" s="576"/>
      <c r="J52" s="581"/>
      <c r="K52" s="582"/>
      <c r="L52" s="898"/>
      <c r="M52" s="898"/>
      <c r="N52" s="898"/>
      <c r="O52" s="898"/>
      <c r="P52" s="898"/>
      <c r="Q52" s="898"/>
      <c r="R52" s="898"/>
      <c r="S52" s="898"/>
      <c r="T52" s="898"/>
      <c r="U52" s="898"/>
      <c r="V52" s="899"/>
      <c r="W52" s="898"/>
      <c r="X52" s="898"/>
    </row>
    <row r="53" spans="1:24" ht="45" x14ac:dyDescent="0.2">
      <c r="A53" s="2028"/>
      <c r="B53" s="2031"/>
      <c r="C53" s="2034"/>
      <c r="D53" s="572" t="s">
        <v>1169</v>
      </c>
      <c r="E53" s="572"/>
      <c r="F53" s="572" t="s">
        <v>1170</v>
      </c>
      <c r="G53" s="576" t="s">
        <v>1171</v>
      </c>
      <c r="H53" s="576">
        <v>112472000</v>
      </c>
      <c r="I53" s="576"/>
      <c r="J53" s="581"/>
      <c r="K53" s="582"/>
      <c r="L53" s="898"/>
      <c r="M53" s="898"/>
      <c r="N53" s="898"/>
      <c r="O53" s="898"/>
      <c r="P53" s="898"/>
      <c r="Q53" s="898"/>
      <c r="R53" s="898"/>
      <c r="S53" s="898"/>
      <c r="T53" s="898"/>
      <c r="U53" s="898"/>
      <c r="V53" s="899"/>
    </row>
    <row r="54" spans="1:24" ht="30" x14ac:dyDescent="0.2">
      <c r="A54" s="2028"/>
      <c r="B54" s="571" t="s">
        <v>1172</v>
      </c>
      <c r="C54" s="578">
        <f>+'1.b sz. Önkormányzat  '!BT32</f>
        <v>55337756</v>
      </c>
      <c r="D54" s="572" t="s">
        <v>1173</v>
      </c>
      <c r="E54" s="572"/>
      <c r="F54" s="572"/>
      <c r="G54" s="576"/>
      <c r="H54" s="576"/>
      <c r="I54" s="576"/>
      <c r="J54" s="581" t="s">
        <v>1174</v>
      </c>
      <c r="K54" s="582"/>
      <c r="L54" s="898"/>
      <c r="M54" s="898"/>
      <c r="N54" s="898"/>
      <c r="O54" s="898"/>
      <c r="P54" s="898"/>
      <c r="Q54" s="898"/>
      <c r="R54" s="898"/>
      <c r="S54" s="898"/>
      <c r="T54" s="898"/>
      <c r="U54" s="898"/>
      <c r="V54" s="899"/>
    </row>
    <row r="55" spans="1:24" ht="15" x14ac:dyDescent="0.2">
      <c r="A55" s="2028"/>
      <c r="B55" s="571"/>
      <c r="C55" s="578"/>
      <c r="D55" s="572"/>
      <c r="E55" s="572"/>
      <c r="F55" s="572"/>
      <c r="G55" s="576"/>
      <c r="H55" s="576"/>
      <c r="I55" s="576"/>
      <c r="J55" s="581"/>
      <c r="K55" s="582"/>
      <c r="L55" s="898"/>
      <c r="M55" s="898"/>
      <c r="N55" s="898"/>
      <c r="O55" s="898"/>
      <c r="P55" s="898"/>
      <c r="Q55" s="898"/>
      <c r="R55" s="898"/>
      <c r="S55" s="898"/>
      <c r="T55" s="898"/>
      <c r="U55" s="898"/>
      <c r="V55" s="899"/>
    </row>
    <row r="56" spans="1:24" ht="30" x14ac:dyDescent="0.2">
      <c r="A56" s="2028"/>
      <c r="B56" s="570" t="s">
        <v>119</v>
      </c>
      <c r="C56" s="583">
        <f>SUM(C49:C55)</f>
        <v>4795497756</v>
      </c>
      <c r="D56" s="572" t="s">
        <v>1175</v>
      </c>
      <c r="E56" s="572"/>
      <c r="F56" s="572"/>
      <c r="G56" s="576"/>
      <c r="H56" s="576"/>
      <c r="I56" s="576"/>
      <c r="J56" s="581" t="s">
        <v>1176</v>
      </c>
      <c r="K56" s="582"/>
      <c r="L56" s="898"/>
      <c r="M56" s="898"/>
      <c r="N56" s="898"/>
      <c r="O56" s="898"/>
      <c r="P56" s="898"/>
      <c r="Q56" s="898"/>
      <c r="R56" s="898"/>
      <c r="S56" s="898"/>
      <c r="T56" s="898"/>
      <c r="U56" s="898"/>
      <c r="V56" s="899"/>
    </row>
    <row r="57" spans="1:24" ht="15" x14ac:dyDescent="0.2">
      <c r="A57" s="584"/>
      <c r="B57" s="571" t="s">
        <v>1177</v>
      </c>
      <c r="C57" s="578"/>
      <c r="D57" s="572" t="s">
        <v>1178</v>
      </c>
      <c r="E57" s="572"/>
      <c r="F57" s="572"/>
      <c r="G57" s="576"/>
      <c r="H57" s="576"/>
      <c r="I57" s="576"/>
      <c r="J57" s="581" t="s">
        <v>1179</v>
      </c>
      <c r="K57" s="582"/>
      <c r="L57" s="898"/>
      <c r="M57" s="898"/>
      <c r="N57" s="898"/>
      <c r="O57" s="898"/>
      <c r="P57" s="898"/>
      <c r="Q57" s="898"/>
      <c r="R57" s="898"/>
      <c r="S57" s="898"/>
      <c r="T57" s="898"/>
      <c r="U57" s="898"/>
      <c r="V57" s="899"/>
    </row>
    <row r="58" spans="1:24" ht="15" x14ac:dyDescent="0.2">
      <c r="A58" s="584"/>
      <c r="B58" s="571" t="s">
        <v>1180</v>
      </c>
      <c r="C58" s="578"/>
      <c r="D58" s="572" t="s">
        <v>1181</v>
      </c>
      <c r="E58" s="572"/>
      <c r="F58" s="572"/>
      <c r="G58" s="576"/>
      <c r="H58" s="576"/>
      <c r="I58" s="576"/>
      <c r="J58" s="581"/>
      <c r="K58" s="582"/>
      <c r="L58" s="898"/>
      <c r="M58" s="898"/>
      <c r="N58" s="898"/>
      <c r="O58" s="898"/>
      <c r="P58" s="898"/>
      <c r="Q58" s="898"/>
      <c r="R58" s="898"/>
      <c r="S58" s="898"/>
      <c r="T58" s="898"/>
      <c r="U58" s="898"/>
      <c r="V58" s="899"/>
    </row>
    <row r="59" spans="1:24" ht="15" x14ac:dyDescent="0.2">
      <c r="A59" s="584"/>
      <c r="B59" s="571" t="s">
        <v>1182</v>
      </c>
      <c r="C59" s="578"/>
      <c r="D59" s="572"/>
      <c r="E59" s="572"/>
      <c r="F59" s="572"/>
      <c r="G59" s="576"/>
      <c r="H59" s="576"/>
      <c r="I59" s="576"/>
      <c r="J59" s="581"/>
      <c r="K59" s="582"/>
      <c r="L59" s="898"/>
      <c r="M59" s="898"/>
      <c r="N59" s="898"/>
      <c r="O59" s="898"/>
      <c r="P59" s="898"/>
      <c r="Q59" s="898"/>
      <c r="R59" s="898"/>
      <c r="S59" s="898"/>
      <c r="T59" s="898"/>
      <c r="U59" s="898"/>
      <c r="V59" s="899"/>
    </row>
    <row r="60" spans="1:24" ht="15" x14ac:dyDescent="0.2">
      <c r="A60" s="584"/>
      <c r="B60" s="571" t="s">
        <v>1183</v>
      </c>
      <c r="C60" s="578">
        <f>+'2.1. sz. PMH'!V33</f>
        <v>4130000</v>
      </c>
      <c r="D60" s="572" t="s">
        <v>119</v>
      </c>
      <c r="E60" s="572"/>
      <c r="F60" s="572"/>
      <c r="G60" s="576"/>
      <c r="H60" s="576"/>
      <c r="I60" s="576"/>
      <c r="J60" s="585" t="s">
        <v>1184</v>
      </c>
      <c r="K60" s="586"/>
      <c r="L60" s="898"/>
      <c r="M60" s="898"/>
      <c r="N60" s="898"/>
      <c r="O60" s="898"/>
      <c r="P60" s="898"/>
      <c r="Q60" s="898"/>
      <c r="R60" s="898"/>
      <c r="S60" s="898"/>
      <c r="T60" s="898"/>
      <c r="U60" s="898"/>
      <c r="V60" s="899"/>
    </row>
    <row r="61" spans="1:24" ht="15" x14ac:dyDescent="0.2">
      <c r="A61" s="584"/>
      <c r="B61" s="571" t="s">
        <v>1185</v>
      </c>
      <c r="C61" s="578"/>
      <c r="D61" s="572"/>
      <c r="E61" s="572"/>
      <c r="F61" s="572"/>
      <c r="G61" s="576"/>
      <c r="H61" s="576"/>
      <c r="I61" s="576"/>
      <c r="J61" s="576"/>
      <c r="K61" s="576"/>
      <c r="L61" s="898"/>
      <c r="M61" s="898"/>
      <c r="N61" s="898"/>
      <c r="O61" s="898"/>
      <c r="P61" s="898"/>
      <c r="Q61" s="898"/>
      <c r="R61" s="898"/>
      <c r="S61" s="898"/>
      <c r="T61" s="898"/>
      <c r="U61" s="898"/>
      <c r="V61" s="899"/>
    </row>
    <row r="62" spans="1:24" ht="15" x14ac:dyDescent="0.2">
      <c r="A62" s="584"/>
      <c r="B62" s="571"/>
      <c r="C62" s="578"/>
      <c r="D62" s="572"/>
      <c r="E62" s="572"/>
      <c r="F62" s="572"/>
      <c r="G62" s="576"/>
      <c r="H62" s="576"/>
      <c r="I62" s="576"/>
      <c r="J62" s="576"/>
      <c r="K62" s="576"/>
      <c r="L62" s="898"/>
      <c r="M62" s="898"/>
      <c r="N62" s="898"/>
      <c r="O62" s="898"/>
      <c r="P62" s="898"/>
      <c r="Q62" s="898"/>
      <c r="R62" s="898"/>
      <c r="S62" s="898"/>
      <c r="T62" s="898"/>
      <c r="U62" s="898"/>
      <c r="V62" s="899"/>
    </row>
    <row r="63" spans="1:24" ht="15" x14ac:dyDescent="0.2">
      <c r="A63" s="587"/>
      <c r="B63" s="570" t="s">
        <v>119</v>
      </c>
      <c r="C63" s="583">
        <f>SUM(C58:C62)</f>
        <v>4130000</v>
      </c>
      <c r="D63" s="572"/>
      <c r="E63" s="572"/>
      <c r="F63" s="572"/>
      <c r="G63" s="576"/>
      <c r="H63" s="576"/>
      <c r="I63" s="576"/>
      <c r="J63" s="576"/>
      <c r="K63" s="576"/>
      <c r="L63" s="898"/>
      <c r="M63" s="898"/>
      <c r="N63" s="898"/>
      <c r="O63" s="898"/>
      <c r="P63" s="898"/>
      <c r="Q63" s="898"/>
      <c r="R63" s="898"/>
      <c r="S63" s="898"/>
      <c r="T63" s="898"/>
      <c r="U63" s="898"/>
      <c r="V63" s="899"/>
    </row>
    <row r="64" spans="1:24" ht="30" x14ac:dyDescent="0.2">
      <c r="A64" s="584"/>
      <c r="B64" s="570" t="s">
        <v>1186</v>
      </c>
      <c r="C64" s="578"/>
      <c r="D64" s="572" t="s">
        <v>1172</v>
      </c>
      <c r="E64" s="572"/>
      <c r="F64" s="572" t="s">
        <v>1187</v>
      </c>
      <c r="G64" s="576"/>
      <c r="H64" s="576"/>
      <c r="I64" s="576"/>
      <c r="J64" s="576"/>
      <c r="K64" s="576"/>
      <c r="L64" s="898"/>
      <c r="M64" s="898"/>
      <c r="N64" s="898"/>
      <c r="O64" s="898"/>
      <c r="P64" s="898"/>
      <c r="Q64" s="898"/>
      <c r="R64" s="898"/>
      <c r="S64" s="898"/>
      <c r="T64" s="898"/>
      <c r="U64" s="898"/>
      <c r="V64" s="899"/>
    </row>
    <row r="65" spans="1:22" ht="15" x14ac:dyDescent="0.2">
      <c r="A65" s="584"/>
      <c r="B65" s="571" t="s">
        <v>1188</v>
      </c>
      <c r="C65" s="583">
        <f>+'1.a sz. Önkormányzat  '!Z34</f>
        <v>51854877</v>
      </c>
      <c r="D65" s="572"/>
      <c r="E65" s="572"/>
      <c r="F65" s="572"/>
      <c r="G65" s="576"/>
      <c r="H65" s="576"/>
      <c r="I65" s="576"/>
      <c r="J65" s="576"/>
      <c r="K65" s="576"/>
      <c r="L65" s="898"/>
      <c r="M65" s="898"/>
      <c r="N65" s="898"/>
      <c r="O65" s="898"/>
      <c r="P65" s="898"/>
      <c r="Q65" s="898"/>
      <c r="R65" s="898"/>
      <c r="S65" s="898"/>
      <c r="T65" s="898"/>
      <c r="U65" s="898"/>
      <c r="V65" s="899"/>
    </row>
    <row r="66" spans="1:22" ht="15" x14ac:dyDescent="0.2">
      <c r="A66" s="584"/>
      <c r="B66" s="570" t="s">
        <v>1510</v>
      </c>
      <c r="C66" s="578"/>
      <c r="D66" s="572"/>
      <c r="E66" s="572"/>
      <c r="F66" s="572"/>
      <c r="G66" s="576"/>
      <c r="H66" s="576"/>
      <c r="I66" s="576"/>
      <c r="J66" s="576"/>
      <c r="K66" s="576"/>
      <c r="L66" s="898"/>
      <c r="M66" s="898"/>
      <c r="N66" s="898"/>
      <c r="O66" s="898"/>
      <c r="P66" s="898"/>
      <c r="Q66" s="898"/>
      <c r="R66" s="898"/>
      <c r="S66" s="898"/>
      <c r="T66" s="898"/>
      <c r="U66" s="898"/>
      <c r="V66" s="899"/>
    </row>
    <row r="67" spans="1:22" ht="15" x14ac:dyDescent="0.2">
      <c r="A67" s="584"/>
      <c r="B67" s="571" t="s">
        <v>1264</v>
      </c>
      <c r="C67" s="578">
        <f>+'1.a sz. Önkormányzat  '!CB33</f>
        <v>2034400</v>
      </c>
      <c r="D67" s="572"/>
      <c r="E67" s="572"/>
      <c r="F67" s="572"/>
      <c r="G67" s="576"/>
      <c r="H67" s="576"/>
      <c r="I67" s="576"/>
      <c r="J67" s="576"/>
      <c r="K67" s="576"/>
      <c r="L67" s="898"/>
      <c r="M67" s="898"/>
      <c r="N67" s="898"/>
      <c r="O67" s="898"/>
      <c r="P67" s="898"/>
      <c r="Q67" s="898"/>
      <c r="R67" s="898"/>
      <c r="S67" s="898"/>
      <c r="T67" s="898"/>
      <c r="U67" s="898"/>
      <c r="V67" s="899"/>
    </row>
    <row r="68" spans="1:22" ht="15" x14ac:dyDescent="0.2">
      <c r="A68" s="584"/>
      <c r="B68" s="571" t="s">
        <v>1511</v>
      </c>
      <c r="C68" s="578">
        <f>+'1.a sz. Önkormányzat  '!CT33</f>
        <v>14738681</v>
      </c>
      <c r="D68" s="572"/>
      <c r="E68" s="572"/>
      <c r="F68" s="572"/>
      <c r="G68" s="576"/>
      <c r="H68" s="576"/>
      <c r="I68" s="576"/>
      <c r="J68" s="576"/>
      <c r="K68" s="576"/>
      <c r="L68" s="898"/>
      <c r="M68" s="898"/>
      <c r="N68" s="898"/>
      <c r="O68" s="898"/>
      <c r="P68" s="898"/>
      <c r="Q68" s="898"/>
      <c r="R68" s="898"/>
      <c r="S68" s="898"/>
      <c r="T68" s="898"/>
      <c r="U68" s="898"/>
      <c r="V68" s="899"/>
    </row>
    <row r="69" spans="1:22" ht="15" x14ac:dyDescent="0.2">
      <c r="A69" s="584"/>
      <c r="B69" s="571" t="s">
        <v>1162</v>
      </c>
      <c r="C69" s="578">
        <f>+'1.a sz. Önkormányzat  '!CV33</f>
        <v>677580</v>
      </c>
      <c r="D69" s="572"/>
      <c r="E69" s="572"/>
      <c r="F69" s="572"/>
      <c r="G69" s="576"/>
      <c r="H69" s="576"/>
      <c r="I69" s="576"/>
      <c r="J69" s="576"/>
      <c r="K69" s="576"/>
      <c r="L69" s="898"/>
      <c r="M69" s="898"/>
      <c r="N69" s="898"/>
      <c r="O69" s="898"/>
      <c r="P69" s="898"/>
      <c r="Q69" s="898"/>
      <c r="R69" s="898"/>
      <c r="S69" s="898"/>
      <c r="T69" s="898"/>
      <c r="U69" s="898"/>
      <c r="V69" s="899"/>
    </row>
    <row r="70" spans="1:22" ht="15" x14ac:dyDescent="0.2">
      <c r="A70" s="584"/>
      <c r="B70" s="571" t="s">
        <v>1512</v>
      </c>
      <c r="C70" s="578">
        <f>+'1.a sz. Önkormányzat  '!CZ33</f>
        <v>5280000</v>
      </c>
      <c r="D70" s="572"/>
      <c r="E70" s="572"/>
      <c r="F70" s="572"/>
      <c r="G70" s="576"/>
      <c r="H70" s="576"/>
      <c r="I70" s="576"/>
      <c r="J70" s="576"/>
      <c r="K70" s="576"/>
      <c r="L70" s="898"/>
      <c r="M70" s="898"/>
      <c r="N70" s="898"/>
      <c r="O70" s="898"/>
      <c r="P70" s="898"/>
      <c r="Q70" s="898"/>
      <c r="R70" s="898"/>
      <c r="S70" s="898"/>
      <c r="T70" s="898"/>
      <c r="U70" s="898"/>
      <c r="V70" s="899"/>
    </row>
    <row r="71" spans="1:22" ht="15" x14ac:dyDescent="0.2">
      <c r="A71" s="584"/>
      <c r="B71" s="571" t="s">
        <v>1513</v>
      </c>
      <c r="C71" s="578">
        <f>+'1.a sz. Önkormányzat  '!DL33</f>
        <v>10000000</v>
      </c>
      <c r="D71" s="572"/>
      <c r="E71" s="572"/>
      <c r="F71" s="572"/>
      <c r="G71" s="576"/>
      <c r="H71" s="576"/>
      <c r="I71" s="576"/>
      <c r="J71" s="576"/>
      <c r="K71" s="576"/>
      <c r="L71" s="898"/>
      <c r="M71" s="898"/>
      <c r="N71" s="898"/>
      <c r="O71" s="898"/>
      <c r="P71" s="898"/>
      <c r="Q71" s="898"/>
      <c r="R71" s="898"/>
      <c r="S71" s="898"/>
      <c r="T71" s="898"/>
      <c r="U71" s="898"/>
      <c r="V71" s="899"/>
    </row>
    <row r="72" spans="1:22" ht="15" x14ac:dyDescent="0.2">
      <c r="A72" s="584"/>
      <c r="B72" s="912" t="s">
        <v>1514</v>
      </c>
      <c r="C72" s="578">
        <f>+'1.a sz. Önkormányzat  '!EB33+'1.a sz. Önkormányzat  '!EF33+'1.a sz. Önkormányzat  '!EH33+'1.a sz. Önkormányzat  '!EL33</f>
        <v>260000000</v>
      </c>
      <c r="D72" s="572"/>
      <c r="E72" s="572"/>
      <c r="F72" s="572"/>
      <c r="G72" s="576"/>
      <c r="H72" s="576"/>
      <c r="I72" s="576"/>
      <c r="J72" s="576"/>
      <c r="K72" s="576"/>
      <c r="L72" s="898"/>
      <c r="M72" s="898"/>
      <c r="N72" s="898"/>
      <c r="O72" s="898"/>
      <c r="P72" s="898"/>
      <c r="Q72" s="898"/>
      <c r="R72" s="898"/>
      <c r="S72" s="898"/>
      <c r="T72" s="898"/>
      <c r="U72" s="898"/>
      <c r="V72" s="899"/>
    </row>
    <row r="73" spans="1:22" ht="15" x14ac:dyDescent="0.2">
      <c r="A73" s="584"/>
      <c r="B73" s="571"/>
      <c r="C73" s="583">
        <f>SUM(C67:C72)</f>
        <v>292730661</v>
      </c>
      <c r="D73" s="572"/>
      <c r="E73" s="572"/>
      <c r="F73" s="572"/>
      <c r="G73" s="576"/>
      <c r="H73" s="576"/>
      <c r="I73" s="576"/>
      <c r="J73" s="576"/>
      <c r="K73" s="576"/>
      <c r="L73" s="898"/>
      <c r="M73" s="898"/>
      <c r="N73" s="898"/>
      <c r="O73" s="898"/>
      <c r="P73" s="898"/>
      <c r="Q73" s="898"/>
      <c r="R73" s="898"/>
      <c r="S73" s="898"/>
      <c r="T73" s="898"/>
      <c r="U73" s="898"/>
      <c r="V73" s="899"/>
    </row>
    <row r="74" spans="1:22" ht="15" x14ac:dyDescent="0.2">
      <c r="A74" s="584"/>
      <c r="B74" s="571"/>
      <c r="C74" s="578"/>
      <c r="D74" s="572"/>
      <c r="E74" s="572"/>
      <c r="F74" s="572"/>
      <c r="G74" s="576"/>
      <c r="H74" s="576"/>
      <c r="I74" s="576"/>
      <c r="J74" s="576"/>
      <c r="K74" s="576"/>
      <c r="L74" s="898"/>
      <c r="M74" s="898"/>
      <c r="N74" s="898"/>
      <c r="O74" s="898"/>
      <c r="P74" s="898"/>
      <c r="Q74" s="898"/>
      <c r="R74" s="898"/>
      <c r="S74" s="898"/>
      <c r="T74" s="898"/>
      <c r="U74" s="898"/>
      <c r="V74" s="899"/>
    </row>
    <row r="75" spans="1:22" ht="15" x14ac:dyDescent="0.2">
      <c r="A75" s="584"/>
      <c r="B75" s="571"/>
      <c r="C75" s="578"/>
      <c r="D75" s="572"/>
      <c r="E75" s="572"/>
      <c r="F75" s="572"/>
      <c r="G75" s="576"/>
      <c r="H75" s="576"/>
      <c r="I75" s="576"/>
      <c r="J75" s="576"/>
      <c r="K75" s="576"/>
      <c r="L75" s="898"/>
      <c r="M75" s="898"/>
      <c r="N75" s="898"/>
      <c r="O75" s="898"/>
      <c r="P75" s="898"/>
      <c r="Q75" s="898"/>
      <c r="R75" s="898"/>
      <c r="S75" s="898"/>
      <c r="T75" s="898"/>
      <c r="U75" s="898"/>
      <c r="V75" s="899"/>
    </row>
    <row r="76" spans="1:22" ht="15" x14ac:dyDescent="0.2">
      <c r="A76" s="584"/>
      <c r="B76" s="571"/>
      <c r="C76" s="578"/>
      <c r="D76" s="572"/>
      <c r="E76" s="572"/>
      <c r="F76" s="572"/>
      <c r="G76" s="576"/>
      <c r="H76" s="576"/>
      <c r="I76" s="576"/>
      <c r="J76" s="576"/>
      <c r="K76" s="576"/>
      <c r="L76" s="898"/>
      <c r="M76" s="898"/>
      <c r="N76" s="898"/>
      <c r="O76" s="898"/>
      <c r="P76" s="898"/>
      <c r="Q76" s="898"/>
      <c r="R76" s="898"/>
      <c r="S76" s="898"/>
      <c r="T76" s="898"/>
      <c r="U76" s="898"/>
      <c r="V76" s="899"/>
    </row>
    <row r="77" spans="1:22" ht="15" x14ac:dyDescent="0.2">
      <c r="A77" s="584"/>
      <c r="B77" s="571" t="s">
        <v>1189</v>
      </c>
      <c r="C77" s="578"/>
      <c r="D77" s="572"/>
      <c r="E77" s="572"/>
      <c r="F77" s="572"/>
      <c r="G77" s="576"/>
      <c r="H77" s="576"/>
      <c r="I77" s="576"/>
      <c r="J77" s="576"/>
      <c r="K77" s="576"/>
      <c r="L77" s="898"/>
      <c r="M77" s="898"/>
      <c r="N77" s="898"/>
      <c r="O77" s="898"/>
      <c r="P77" s="898"/>
      <c r="Q77" s="898"/>
      <c r="R77" s="898"/>
      <c r="S77" s="898"/>
      <c r="T77" s="898"/>
      <c r="U77" s="898"/>
      <c r="V77" s="899"/>
    </row>
    <row r="78" spans="1:22" ht="15" x14ac:dyDescent="0.2">
      <c r="A78" s="584"/>
      <c r="B78" s="571" t="s">
        <v>1263</v>
      </c>
      <c r="C78" s="578" t="e">
        <f>+#REF!</f>
        <v>#REF!</v>
      </c>
      <c r="D78" s="572"/>
      <c r="E78" s="572"/>
      <c r="F78" s="572"/>
      <c r="G78" s="576"/>
      <c r="H78" s="576"/>
      <c r="I78" s="576"/>
      <c r="J78" s="576"/>
      <c r="K78" s="576"/>
      <c r="L78" s="898"/>
      <c r="M78" s="898"/>
      <c r="N78" s="898"/>
      <c r="O78" s="898"/>
      <c r="P78" s="898"/>
      <c r="Q78" s="898"/>
      <c r="R78" s="898"/>
      <c r="S78" s="898"/>
      <c r="T78" s="898"/>
      <c r="U78" s="898"/>
      <c r="V78" s="899"/>
    </row>
    <row r="79" spans="1:22" ht="15" x14ac:dyDescent="0.2">
      <c r="A79" s="584"/>
      <c r="B79" s="571" t="s">
        <v>1190</v>
      </c>
      <c r="C79" s="578" t="e">
        <f>+#REF!</f>
        <v>#REF!</v>
      </c>
      <c r="D79" s="572"/>
      <c r="E79" s="572"/>
      <c r="F79" s="572"/>
      <c r="G79" s="576"/>
      <c r="H79" s="576"/>
      <c r="I79" s="576"/>
      <c r="J79" s="576"/>
      <c r="K79" s="576"/>
      <c r="L79" s="898"/>
      <c r="M79" s="898"/>
      <c r="N79" s="898"/>
      <c r="O79" s="898"/>
      <c r="P79" s="898"/>
      <c r="Q79" s="898"/>
      <c r="R79" s="898"/>
      <c r="S79" s="898"/>
      <c r="T79" s="898"/>
      <c r="U79" s="898"/>
      <c r="V79" s="899"/>
    </row>
    <row r="80" spans="1:22" ht="15" x14ac:dyDescent="0.2">
      <c r="A80" s="584"/>
      <c r="B80" s="571" t="s">
        <v>1191</v>
      </c>
      <c r="C80" s="578" t="e">
        <f>+#REF!</f>
        <v>#REF!</v>
      </c>
      <c r="D80" s="572"/>
      <c r="E80" s="572"/>
      <c r="F80" s="572"/>
      <c r="G80" s="576"/>
      <c r="H80" s="576"/>
      <c r="I80" s="576"/>
      <c r="J80" s="576"/>
      <c r="K80" s="576"/>
      <c r="L80" s="898"/>
      <c r="M80" s="898"/>
      <c r="N80" s="898"/>
      <c r="O80" s="898"/>
      <c r="P80" s="898"/>
      <c r="Q80" s="898"/>
      <c r="R80" s="898"/>
      <c r="S80" s="898"/>
      <c r="T80" s="898"/>
      <c r="U80" s="898"/>
      <c r="V80" s="899"/>
    </row>
    <row r="81" spans="1:22" ht="15" x14ac:dyDescent="0.2">
      <c r="A81" s="584"/>
      <c r="B81" s="571" t="s">
        <v>1192</v>
      </c>
      <c r="C81" s="578"/>
      <c r="D81" s="572"/>
      <c r="E81" s="572"/>
      <c r="F81" s="572"/>
      <c r="G81" s="576"/>
      <c r="H81" s="576"/>
      <c r="I81" s="576"/>
      <c r="J81" s="576"/>
      <c r="K81" s="576"/>
      <c r="L81" s="898"/>
      <c r="M81" s="898"/>
      <c r="N81" s="898"/>
      <c r="O81" s="898"/>
      <c r="P81" s="898"/>
      <c r="Q81" s="898"/>
      <c r="R81" s="898"/>
      <c r="S81" s="898"/>
      <c r="T81" s="898"/>
      <c r="U81" s="898"/>
      <c r="V81" s="899"/>
    </row>
    <row r="82" spans="1:22" ht="15" x14ac:dyDescent="0.2">
      <c r="A82" s="584"/>
      <c r="B82" s="571" t="s">
        <v>1168</v>
      </c>
      <c r="C82" s="578" t="e">
        <f>+#REF!</f>
        <v>#REF!</v>
      </c>
      <c r="D82" s="572"/>
      <c r="E82" s="572"/>
      <c r="F82" s="572"/>
      <c r="G82" s="576"/>
      <c r="H82" s="576"/>
      <c r="I82" s="576"/>
      <c r="J82" s="576"/>
      <c r="K82" s="576"/>
      <c r="L82" s="898"/>
      <c r="M82" s="898"/>
      <c r="N82" s="898"/>
      <c r="O82" s="898"/>
      <c r="P82" s="898"/>
      <c r="Q82" s="898"/>
      <c r="R82" s="898"/>
      <c r="S82" s="898"/>
      <c r="T82" s="898"/>
      <c r="U82" s="898"/>
      <c r="V82" s="899"/>
    </row>
    <row r="83" spans="1:22" ht="15" x14ac:dyDescent="0.2">
      <c r="A83" s="584"/>
      <c r="B83" s="571" t="s">
        <v>1193</v>
      </c>
      <c r="C83" s="578" t="e">
        <f>+#REF!+#REF!</f>
        <v>#REF!</v>
      </c>
      <c r="D83" s="572"/>
      <c r="E83" s="572"/>
      <c r="F83" s="572"/>
      <c r="G83" s="576"/>
      <c r="H83" s="576"/>
      <c r="I83" s="576"/>
      <c r="J83" s="576"/>
      <c r="K83" s="576"/>
      <c r="L83" s="898"/>
      <c r="M83" s="898"/>
      <c r="N83" s="898"/>
      <c r="O83" s="898"/>
      <c r="P83" s="898"/>
      <c r="Q83" s="898"/>
      <c r="R83" s="898"/>
      <c r="S83" s="898"/>
      <c r="T83" s="898"/>
      <c r="U83" s="898"/>
      <c r="V83" s="899"/>
    </row>
    <row r="84" spans="1:22" ht="15" x14ac:dyDescent="0.2">
      <c r="A84" s="584"/>
      <c r="B84" s="571" t="s">
        <v>1194</v>
      </c>
      <c r="C84" s="578"/>
      <c r="D84" s="572"/>
      <c r="E84" s="572"/>
      <c r="F84" s="572"/>
      <c r="G84" s="576"/>
      <c r="H84" s="576"/>
      <c r="I84" s="576"/>
      <c r="J84" s="576"/>
      <c r="K84" s="576"/>
      <c r="L84" s="898"/>
      <c r="M84" s="898"/>
      <c r="N84" s="898"/>
      <c r="O84" s="898"/>
      <c r="P84" s="898"/>
      <c r="Q84" s="898"/>
      <c r="R84" s="898"/>
      <c r="S84" s="898"/>
      <c r="T84" s="898"/>
      <c r="U84" s="898"/>
      <c r="V84" s="899"/>
    </row>
    <row r="85" spans="1:22" ht="15" x14ac:dyDescent="0.2">
      <c r="A85" s="584"/>
      <c r="B85" s="571" t="s">
        <v>1195</v>
      </c>
      <c r="C85" s="578" t="e">
        <f>+#REF!</f>
        <v>#REF!</v>
      </c>
      <c r="D85" s="572"/>
      <c r="E85" s="572"/>
      <c r="F85" s="572"/>
      <c r="G85" s="576"/>
      <c r="H85" s="576"/>
      <c r="I85" s="576"/>
      <c r="J85" s="576"/>
      <c r="K85" s="576"/>
      <c r="L85" s="898"/>
      <c r="M85" s="898"/>
      <c r="N85" s="898"/>
      <c r="O85" s="898"/>
      <c r="P85" s="898"/>
      <c r="Q85" s="898"/>
      <c r="R85" s="898"/>
      <c r="S85" s="898"/>
      <c r="T85" s="898"/>
      <c r="U85" s="898"/>
      <c r="V85" s="899"/>
    </row>
    <row r="86" spans="1:22" ht="15" x14ac:dyDescent="0.2">
      <c r="A86" s="584"/>
      <c r="C86" s="578" t="e">
        <f>+#REF!</f>
        <v>#REF!</v>
      </c>
      <c r="D86" s="572" t="s">
        <v>119</v>
      </c>
      <c r="E86" s="572"/>
      <c r="F86" s="572"/>
      <c r="G86" s="576"/>
      <c r="H86" s="576"/>
      <c r="I86" s="576"/>
      <c r="J86" s="576"/>
      <c r="K86" s="576"/>
      <c r="L86" s="898"/>
      <c r="M86" s="898"/>
      <c r="N86" s="898"/>
      <c r="O86" s="898"/>
      <c r="P86" s="898"/>
      <c r="Q86" s="898"/>
      <c r="R86" s="898"/>
      <c r="S86" s="898"/>
      <c r="T86" s="898"/>
      <c r="U86" s="898"/>
      <c r="V86" s="899"/>
    </row>
    <row r="87" spans="1:22" ht="15" x14ac:dyDescent="0.2">
      <c r="A87" s="584"/>
      <c r="B87" s="571" t="s">
        <v>1265</v>
      </c>
      <c r="C87" s="578" t="e">
        <f>+#REF!</f>
        <v>#REF!</v>
      </c>
      <c r="D87" s="572"/>
      <c r="E87" s="572"/>
      <c r="F87" s="572"/>
      <c r="G87" s="576"/>
      <c r="H87" s="576"/>
      <c r="I87" s="576"/>
      <c r="J87" s="576"/>
      <c r="K87" s="576"/>
      <c r="L87" s="898"/>
      <c r="M87" s="898"/>
      <c r="N87" s="898"/>
      <c r="O87" s="898"/>
      <c r="P87" s="898"/>
      <c r="Q87" s="898"/>
      <c r="R87" s="898"/>
      <c r="S87" s="898"/>
      <c r="T87" s="898"/>
      <c r="U87" s="898"/>
      <c r="V87" s="899"/>
    </row>
    <row r="88" spans="1:22" ht="15" x14ac:dyDescent="0.2">
      <c r="A88" s="584"/>
      <c r="B88" s="571" t="s">
        <v>1196</v>
      </c>
      <c r="C88" s="578"/>
      <c r="D88" s="572"/>
      <c r="E88" s="572"/>
      <c r="F88" s="572"/>
      <c r="G88" s="576"/>
      <c r="H88" s="576"/>
      <c r="I88" s="576"/>
      <c r="J88" s="576"/>
      <c r="K88" s="576"/>
      <c r="L88" s="898"/>
      <c r="M88" s="898"/>
      <c r="N88" s="898"/>
      <c r="O88" s="898"/>
      <c r="P88" s="898"/>
      <c r="Q88" s="898"/>
      <c r="R88" s="898"/>
      <c r="S88" s="898"/>
      <c r="T88" s="898"/>
      <c r="U88" s="898"/>
      <c r="V88" s="899"/>
    </row>
    <row r="89" spans="1:22" ht="15" x14ac:dyDescent="0.2">
      <c r="A89" s="584"/>
      <c r="B89" s="571" t="s">
        <v>1197</v>
      </c>
      <c r="C89" s="578" t="e">
        <f>+#REF!</f>
        <v>#REF!</v>
      </c>
      <c r="D89" s="572"/>
      <c r="E89" s="572"/>
      <c r="F89" s="572"/>
      <c r="G89" s="576"/>
      <c r="H89" s="576"/>
      <c r="I89" s="576"/>
      <c r="J89" s="576"/>
      <c r="K89" s="576"/>
      <c r="L89" s="898"/>
      <c r="M89" s="898"/>
      <c r="N89" s="898"/>
      <c r="O89" s="898"/>
      <c r="P89" s="898"/>
      <c r="Q89" s="898"/>
      <c r="R89" s="898"/>
      <c r="S89" s="898"/>
      <c r="T89" s="898"/>
      <c r="U89" s="898"/>
      <c r="V89" s="899"/>
    </row>
    <row r="90" spans="1:22" ht="15" x14ac:dyDescent="0.2">
      <c r="A90" s="584"/>
      <c r="B90" s="571" t="s">
        <v>1198</v>
      </c>
      <c r="C90" s="578" t="e">
        <f>+#REF!</f>
        <v>#REF!</v>
      </c>
      <c r="D90" s="572"/>
      <c r="E90" s="572"/>
      <c r="F90" s="572"/>
      <c r="G90" s="576"/>
      <c r="H90" s="576"/>
      <c r="I90" s="576"/>
      <c r="J90" s="576"/>
      <c r="K90" s="576"/>
      <c r="L90" s="898"/>
      <c r="M90" s="898"/>
      <c r="N90" s="898"/>
      <c r="O90" s="898"/>
      <c r="P90" s="898"/>
      <c r="Q90" s="898"/>
      <c r="R90" s="898"/>
      <c r="S90" s="898"/>
      <c r="T90" s="898"/>
      <c r="U90" s="898"/>
      <c r="V90" s="899"/>
    </row>
    <row r="91" spans="1:22" ht="15" x14ac:dyDescent="0.2">
      <c r="A91" s="584"/>
      <c r="B91" s="571" t="s">
        <v>1199</v>
      </c>
      <c r="C91" s="578" t="e">
        <f>+#REF!+#REF!</f>
        <v>#REF!</v>
      </c>
      <c r="D91" s="572"/>
      <c r="E91" s="572"/>
      <c r="F91" s="572"/>
      <c r="G91" s="576"/>
      <c r="H91" s="576"/>
      <c r="I91" s="576"/>
      <c r="J91" s="576"/>
      <c r="K91" s="576"/>
      <c r="L91" s="898"/>
      <c r="M91" s="898"/>
      <c r="N91" s="898"/>
      <c r="O91" s="898"/>
      <c r="P91" s="898"/>
      <c r="Q91" s="898"/>
      <c r="R91" s="898"/>
      <c r="S91" s="898"/>
      <c r="T91" s="898"/>
      <c r="U91" s="898"/>
      <c r="V91" s="899"/>
    </row>
    <row r="92" spans="1:22" ht="15" x14ac:dyDescent="0.2">
      <c r="A92" s="575"/>
      <c r="B92" s="571" t="s">
        <v>119</v>
      </c>
      <c r="C92" s="583" t="e">
        <f>SUM(C65:C91)</f>
        <v>#REF!</v>
      </c>
      <c r="D92" s="572"/>
      <c r="E92" s="572"/>
      <c r="F92" s="572"/>
      <c r="G92" s="576"/>
      <c r="H92" s="576"/>
      <c r="I92" s="576"/>
      <c r="J92" s="576"/>
      <c r="K92" s="576"/>
      <c r="L92" s="898"/>
      <c r="M92" s="898"/>
      <c r="N92" s="898"/>
      <c r="O92" s="898"/>
      <c r="P92" s="898"/>
      <c r="Q92" s="898"/>
      <c r="R92" s="898"/>
      <c r="S92" s="898"/>
      <c r="T92" s="898"/>
      <c r="U92" s="898"/>
      <c r="V92" s="899"/>
    </row>
    <row r="93" spans="1:22" ht="15" x14ac:dyDescent="0.2">
      <c r="A93" s="575"/>
      <c r="B93" s="571"/>
      <c r="C93" s="578"/>
      <c r="D93" s="572"/>
      <c r="E93" s="572"/>
      <c r="F93" s="572"/>
      <c r="G93" s="576"/>
      <c r="H93" s="576"/>
      <c r="I93" s="576"/>
      <c r="J93" s="576"/>
      <c r="K93" s="576"/>
      <c r="L93" s="898"/>
      <c r="M93" s="898"/>
      <c r="N93" s="898"/>
      <c r="O93" s="898"/>
      <c r="P93" s="898"/>
      <c r="Q93" s="898"/>
      <c r="R93" s="898"/>
      <c r="S93" s="898"/>
      <c r="T93" s="898"/>
      <c r="U93" s="898"/>
      <c r="V93" s="899"/>
    </row>
    <row r="94" spans="1:22" ht="15" x14ac:dyDescent="0.2">
      <c r="A94" s="575"/>
      <c r="B94" s="571" t="s">
        <v>1200</v>
      </c>
      <c r="C94" s="578"/>
      <c r="D94" s="572"/>
      <c r="E94" s="572"/>
      <c r="F94" s="572"/>
      <c r="G94" s="576"/>
      <c r="H94" s="576"/>
      <c r="I94" s="576"/>
      <c r="J94" s="576"/>
      <c r="K94" s="576"/>
      <c r="L94" s="898"/>
      <c r="M94" s="898"/>
      <c r="N94" s="898"/>
      <c r="O94" s="898"/>
      <c r="P94" s="898"/>
      <c r="Q94" s="898"/>
      <c r="R94" s="898"/>
      <c r="S94" s="898"/>
      <c r="T94" s="898"/>
      <c r="U94" s="898"/>
      <c r="V94" s="899"/>
    </row>
    <row r="95" spans="1:22" ht="15" x14ac:dyDescent="0.2">
      <c r="A95" s="566"/>
      <c r="B95" s="570" t="s">
        <v>1201</v>
      </c>
      <c r="C95" s="583"/>
      <c r="D95" s="572"/>
      <c r="E95" s="572"/>
      <c r="F95" s="572"/>
      <c r="G95" s="576"/>
      <c r="H95" s="576"/>
      <c r="I95" s="576"/>
      <c r="J95" s="576"/>
      <c r="K95" s="576"/>
      <c r="L95" s="898"/>
      <c r="M95" s="898"/>
      <c r="N95" s="898"/>
      <c r="O95" s="898"/>
      <c r="P95" s="898"/>
      <c r="Q95" s="898"/>
      <c r="R95" s="898"/>
      <c r="S95" s="898"/>
      <c r="T95" s="898"/>
      <c r="U95" s="898"/>
      <c r="V95" s="899"/>
    </row>
    <row r="96" spans="1:22" ht="15" x14ac:dyDescent="0.2">
      <c r="A96" s="575"/>
      <c r="B96" s="571"/>
      <c r="C96" s="578"/>
      <c r="D96" s="572"/>
      <c r="E96" s="572"/>
      <c r="F96" s="572"/>
      <c r="G96" s="576"/>
      <c r="H96" s="576"/>
      <c r="I96" s="576"/>
      <c r="J96" s="576"/>
      <c r="K96" s="576"/>
      <c r="L96" s="898"/>
      <c r="M96" s="898"/>
      <c r="N96" s="898"/>
      <c r="O96" s="898"/>
      <c r="P96" s="898"/>
      <c r="Q96" s="898"/>
      <c r="R96" s="898"/>
      <c r="S96" s="898"/>
      <c r="T96" s="898"/>
      <c r="U96" s="898"/>
      <c r="V96" s="899"/>
    </row>
    <row r="97" spans="1:22" ht="15" x14ac:dyDescent="0.2">
      <c r="A97" s="575"/>
      <c r="B97" s="571" t="s">
        <v>1202</v>
      </c>
      <c r="C97" s="578"/>
      <c r="D97" s="572"/>
      <c r="E97" s="572"/>
      <c r="F97" s="572"/>
      <c r="G97" s="576"/>
      <c r="H97" s="576"/>
      <c r="I97" s="576"/>
      <c r="J97" s="576"/>
      <c r="K97" s="576"/>
      <c r="L97" s="898"/>
      <c r="M97" s="898"/>
      <c r="N97" s="898"/>
      <c r="O97" s="898"/>
      <c r="P97" s="898"/>
      <c r="Q97" s="898"/>
      <c r="R97" s="898"/>
      <c r="S97" s="898"/>
      <c r="T97" s="898"/>
      <c r="U97" s="898"/>
      <c r="V97" s="899"/>
    </row>
    <row r="98" spans="1:22" ht="15" x14ac:dyDescent="0.2">
      <c r="A98" s="575"/>
      <c r="B98" s="571"/>
      <c r="C98" s="578"/>
      <c r="D98" s="572"/>
      <c r="E98" s="572"/>
      <c r="F98" s="572"/>
      <c r="G98" s="576"/>
      <c r="H98" s="576"/>
      <c r="I98" s="576"/>
      <c r="J98" s="576"/>
      <c r="K98" s="576"/>
      <c r="L98" s="898"/>
      <c r="M98" s="898"/>
      <c r="N98" s="898"/>
      <c r="O98" s="898"/>
      <c r="P98" s="898"/>
      <c r="Q98" s="898"/>
      <c r="R98" s="898"/>
      <c r="S98" s="898"/>
      <c r="T98" s="898"/>
      <c r="U98" s="899"/>
    </row>
    <row r="99" spans="1:22" ht="15" x14ac:dyDescent="0.2">
      <c r="A99" s="575"/>
      <c r="B99" s="575"/>
      <c r="C99" s="576"/>
      <c r="D99" s="576"/>
      <c r="E99" s="576"/>
      <c r="F99" s="576"/>
      <c r="G99" s="576"/>
      <c r="H99" s="576"/>
      <c r="I99" s="576"/>
      <c r="J99" s="576"/>
      <c r="K99" s="576"/>
      <c r="L99" s="898"/>
      <c r="M99" s="898"/>
      <c r="N99" s="898"/>
      <c r="O99" s="898"/>
      <c r="P99" s="898"/>
      <c r="Q99" s="898"/>
      <c r="R99" s="898"/>
      <c r="S99" s="898"/>
      <c r="T99" s="898"/>
      <c r="U99" s="899"/>
    </row>
    <row r="100" spans="1:22" ht="15" x14ac:dyDescent="0.2">
      <c r="A100" s="897"/>
      <c r="B100" s="897"/>
      <c r="C100" s="898"/>
      <c r="D100" s="898"/>
      <c r="E100" s="898"/>
      <c r="F100" s="898"/>
      <c r="G100" s="898"/>
      <c r="H100" s="898"/>
      <c r="I100" s="898"/>
      <c r="J100" s="898"/>
      <c r="K100" s="898"/>
      <c r="L100" s="898"/>
      <c r="M100" s="898"/>
      <c r="N100" s="898"/>
      <c r="O100" s="898"/>
      <c r="P100" s="898"/>
      <c r="Q100" s="898"/>
      <c r="R100" s="898"/>
      <c r="S100" s="898"/>
      <c r="T100" s="898"/>
      <c r="U100" s="899"/>
    </row>
    <row r="101" spans="1:22" ht="15" x14ac:dyDescent="0.2">
      <c r="A101" s="897"/>
      <c r="B101" s="897"/>
      <c r="C101" s="898"/>
      <c r="D101" s="898"/>
      <c r="E101" s="898"/>
      <c r="F101" s="898"/>
      <c r="G101" s="898"/>
      <c r="H101" s="898"/>
      <c r="I101" s="898"/>
      <c r="J101" s="898"/>
      <c r="K101" s="898"/>
      <c r="L101" s="898"/>
      <c r="M101" s="898"/>
      <c r="N101" s="898"/>
      <c r="O101" s="898"/>
      <c r="P101" s="898"/>
      <c r="Q101" s="898"/>
      <c r="R101" s="898"/>
      <c r="S101" s="898"/>
      <c r="T101" s="898"/>
      <c r="U101" s="899"/>
    </row>
    <row r="102" spans="1:22" ht="15" x14ac:dyDescent="0.2">
      <c r="A102" s="897"/>
      <c r="B102" s="897"/>
      <c r="C102" s="898"/>
      <c r="D102" s="898"/>
      <c r="E102" s="898"/>
      <c r="F102" s="898"/>
      <c r="G102" s="898"/>
      <c r="H102" s="898"/>
      <c r="I102" s="898"/>
      <c r="J102" s="898"/>
      <c r="K102" s="898"/>
      <c r="L102" s="898"/>
      <c r="M102" s="898"/>
      <c r="N102" s="898"/>
      <c r="O102" s="898"/>
      <c r="P102" s="898"/>
      <c r="Q102" s="898"/>
      <c r="R102" s="898"/>
      <c r="S102" s="898"/>
      <c r="T102" s="898"/>
      <c r="U102" s="899"/>
    </row>
    <row r="103" spans="1:22" ht="15" x14ac:dyDescent="0.2">
      <c r="A103" s="897"/>
      <c r="B103" s="897"/>
      <c r="C103" s="898"/>
      <c r="D103" s="898"/>
      <c r="E103" s="898"/>
      <c r="F103" s="898"/>
      <c r="G103" s="898"/>
      <c r="H103" s="898"/>
      <c r="I103" s="898"/>
      <c r="J103" s="898"/>
      <c r="K103" s="898"/>
      <c r="L103" s="898"/>
      <c r="M103" s="898"/>
      <c r="N103" s="898"/>
      <c r="O103" s="898"/>
      <c r="P103" s="898"/>
      <c r="Q103" s="898"/>
      <c r="R103" s="898"/>
      <c r="S103" s="898"/>
      <c r="T103" s="898"/>
      <c r="U103" s="899"/>
    </row>
    <row r="104" spans="1:22" ht="15" x14ac:dyDescent="0.2">
      <c r="A104" s="897"/>
      <c r="B104" s="897"/>
      <c r="C104" s="898"/>
      <c r="D104" s="898"/>
      <c r="E104" s="898"/>
      <c r="F104" s="898"/>
      <c r="G104" s="898"/>
      <c r="H104" s="898"/>
      <c r="I104" s="898"/>
      <c r="J104" s="898"/>
      <c r="K104" s="898"/>
      <c r="L104" s="898"/>
      <c r="M104" s="898"/>
      <c r="N104" s="898"/>
      <c r="O104" s="898"/>
      <c r="P104" s="898"/>
      <c r="Q104" s="898"/>
      <c r="R104" s="898"/>
      <c r="S104" s="898"/>
      <c r="T104" s="898"/>
      <c r="U104" s="899"/>
    </row>
    <row r="105" spans="1:22" ht="15" x14ac:dyDescent="0.2">
      <c r="A105" s="897"/>
      <c r="B105" s="897"/>
      <c r="C105" s="898"/>
      <c r="D105" s="898"/>
      <c r="E105" s="898"/>
      <c r="F105" s="898"/>
      <c r="G105" s="898"/>
      <c r="H105" s="898"/>
      <c r="I105" s="898"/>
      <c r="J105" s="898"/>
      <c r="K105" s="898"/>
      <c r="L105" s="898"/>
      <c r="M105" s="898"/>
      <c r="N105" s="898"/>
      <c r="O105" s="898"/>
      <c r="P105" s="898"/>
      <c r="Q105" s="898"/>
      <c r="R105" s="898"/>
      <c r="S105" s="898"/>
      <c r="T105" s="898"/>
      <c r="U105" s="899"/>
    </row>
    <row r="106" spans="1:22" ht="15" x14ac:dyDescent="0.2">
      <c r="A106" s="897"/>
      <c r="B106" s="897"/>
      <c r="C106" s="898"/>
      <c r="D106" s="898"/>
      <c r="E106" s="898"/>
      <c r="F106" s="898"/>
      <c r="G106" s="898"/>
      <c r="H106" s="898"/>
      <c r="I106" s="898"/>
      <c r="J106" s="898"/>
      <c r="K106" s="898"/>
      <c r="L106" s="898"/>
      <c r="M106" s="898"/>
      <c r="N106" s="898"/>
      <c r="O106" s="898"/>
      <c r="P106" s="898"/>
      <c r="Q106" s="898"/>
      <c r="R106" s="898"/>
      <c r="S106" s="898"/>
      <c r="T106" s="898"/>
      <c r="U106" s="899"/>
    </row>
    <row r="107" spans="1:22" ht="15" x14ac:dyDescent="0.2">
      <c r="A107" s="897"/>
      <c r="B107" s="897"/>
      <c r="C107" s="898"/>
      <c r="D107" s="898"/>
      <c r="E107" s="898"/>
      <c r="F107" s="898"/>
      <c r="G107" s="898"/>
      <c r="H107" s="898"/>
      <c r="I107" s="898"/>
      <c r="J107" s="898"/>
      <c r="K107" s="898"/>
      <c r="L107" s="898"/>
      <c r="M107" s="898"/>
      <c r="N107" s="898"/>
      <c r="O107" s="898"/>
      <c r="P107" s="898"/>
      <c r="Q107" s="898"/>
      <c r="R107" s="898"/>
      <c r="S107" s="898"/>
      <c r="T107" s="898"/>
      <c r="U107" s="899"/>
    </row>
  </sheetData>
  <mergeCells count="5">
    <mergeCell ref="C1:J1"/>
    <mergeCell ref="K1:S1"/>
    <mergeCell ref="A49:A56"/>
    <mergeCell ref="B49:B53"/>
    <mergeCell ref="C49:C53"/>
  </mergeCells>
  <printOptions horizontalCentered="1" verticalCentered="1"/>
  <pageMargins left="0.19685039370078741" right="0.19685039370078741" top="0" bottom="0" header="0.31496062992125984" footer="0.31496062992125984"/>
  <pageSetup paperSize="9" scale="52" orientation="landscape" r:id="rId1"/>
  <headerFooter>
    <oddHeader>&amp;C2023. évi költségvetés &amp;R&amp;A</oddHeader>
    <oddFooter xml:space="preserve">&amp;C&amp;P/&amp;N
</oddFooter>
  </headerFooter>
  <rowBreaks count="1" manualBreakCount="1">
    <brk id="47" max="16383" man="1"/>
  </rowBreaks>
  <colBreaks count="1" manualBreakCount="1">
    <brk id="10" max="46"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7128-7880-46EF-914C-B088AEB43E84}">
  <dimension ref="A1:V54"/>
  <sheetViews>
    <sheetView view="pageBreakPreview" topLeftCell="A7" zoomScale="80" zoomScaleNormal="80" zoomScaleSheetLayoutView="80" workbookViewId="0">
      <selection activeCell="D26" sqref="D26:O26"/>
    </sheetView>
  </sheetViews>
  <sheetFormatPr defaultRowHeight="12.75" x14ac:dyDescent="0.2"/>
  <cols>
    <col min="1" max="1" width="6" style="2214" customWidth="1"/>
    <col min="2" max="2" width="40.140625" style="2214" customWidth="1"/>
    <col min="3" max="3" width="6.140625" style="2214" customWidth="1"/>
    <col min="4" max="4" width="16.42578125" style="2223" bestFit="1" customWidth="1"/>
    <col min="5" max="5" width="14.85546875" style="2223" customWidth="1"/>
    <col min="6" max="6" width="15.140625" style="2223" customWidth="1"/>
    <col min="7" max="7" width="15.85546875" style="2214" customWidth="1"/>
    <col min="8" max="8" width="15.140625" style="2214" bestFit="1" customWidth="1"/>
    <col min="9" max="9" width="17.28515625" style="2214" bestFit="1" customWidth="1"/>
    <col min="10" max="10" width="14.42578125" style="2214" customWidth="1"/>
    <col min="11" max="11" width="15" style="2214" customWidth="1"/>
    <col min="12" max="13" width="15.140625" style="2214" customWidth="1"/>
    <col min="14" max="14" width="14.5703125" style="2214" customWidth="1"/>
    <col min="15" max="15" width="20.140625" style="2214" bestFit="1" customWidth="1"/>
    <col min="16" max="16" width="22.85546875" style="2214" bestFit="1" customWidth="1"/>
    <col min="17" max="17" width="15.140625" style="2213" bestFit="1" customWidth="1"/>
    <col min="18" max="18" width="20.7109375" style="2214" customWidth="1"/>
    <col min="19" max="19" width="12" style="2214" bestFit="1" customWidth="1"/>
    <col min="20" max="20" width="13.5703125" style="2214" bestFit="1" customWidth="1"/>
    <col min="21" max="21" width="9.140625" style="2214"/>
    <col min="22" max="22" width="17.28515625" style="590" bestFit="1" customWidth="1"/>
    <col min="23" max="16384" width="9.140625" style="2214"/>
  </cols>
  <sheetData>
    <row r="1" spans="1:22" ht="15.75" x14ac:dyDescent="0.2">
      <c r="A1" s="2035" t="s">
        <v>2227</v>
      </c>
      <c r="B1" s="2035"/>
      <c r="C1" s="2035"/>
      <c r="D1" s="2035"/>
      <c r="E1" s="2035"/>
      <c r="F1" s="2035"/>
      <c r="G1" s="2035"/>
      <c r="H1" s="2035"/>
      <c r="I1" s="2035"/>
      <c r="J1" s="2035"/>
      <c r="K1" s="2035"/>
      <c r="L1" s="2035"/>
      <c r="M1" s="2035"/>
      <c r="N1" s="2035"/>
      <c r="O1" s="2035"/>
      <c r="P1" s="2035"/>
    </row>
    <row r="2" spans="1:22" ht="20.25" customHeight="1" x14ac:dyDescent="0.2">
      <c r="A2" s="591"/>
      <c r="B2" s="591"/>
      <c r="C2" s="589"/>
      <c r="D2" s="592"/>
      <c r="E2" s="592"/>
      <c r="F2" s="592"/>
      <c r="G2" s="591"/>
      <c r="H2" s="591"/>
      <c r="I2" s="591"/>
      <c r="J2" s="591"/>
      <c r="K2" s="591"/>
      <c r="L2" s="591"/>
      <c r="M2" s="591"/>
      <c r="N2" s="591"/>
      <c r="O2" s="591"/>
      <c r="P2" s="591"/>
    </row>
    <row r="3" spans="1:22" ht="30" customHeight="1" x14ac:dyDescent="0.2">
      <c r="A3" s="593" t="s">
        <v>37</v>
      </c>
      <c r="B3" s="2215" t="s">
        <v>2</v>
      </c>
      <c r="C3" s="594" t="s">
        <v>1203</v>
      </c>
      <c r="D3" s="595" t="s">
        <v>94</v>
      </c>
      <c r="E3" s="595" t="s">
        <v>95</v>
      </c>
      <c r="F3" s="595" t="s">
        <v>98</v>
      </c>
      <c r="G3" s="596" t="s">
        <v>1204</v>
      </c>
      <c r="H3" s="596" t="s">
        <v>1205</v>
      </c>
      <c r="I3" s="596" t="s">
        <v>1206</v>
      </c>
      <c r="J3" s="596" t="s">
        <v>1207</v>
      </c>
      <c r="K3" s="596" t="s">
        <v>1208</v>
      </c>
      <c r="L3" s="596" t="s">
        <v>1209</v>
      </c>
      <c r="M3" s="596" t="s">
        <v>1210</v>
      </c>
      <c r="N3" s="596" t="s">
        <v>1211</v>
      </c>
      <c r="O3" s="596" t="s">
        <v>1212</v>
      </c>
      <c r="P3" s="2216" t="s">
        <v>119</v>
      </c>
    </row>
    <row r="4" spans="1:22" ht="22.5" customHeight="1" x14ac:dyDescent="0.2">
      <c r="A4" s="597"/>
      <c r="B4" s="2217" t="s">
        <v>971</v>
      </c>
      <c r="C4" s="594"/>
      <c r="D4" s="595"/>
      <c r="E4" s="595"/>
      <c r="F4" s="595"/>
      <c r="G4" s="596"/>
      <c r="H4" s="596"/>
      <c r="I4" s="596"/>
      <c r="J4" s="596"/>
      <c r="K4" s="596"/>
      <c r="L4" s="596"/>
      <c r="M4" s="596"/>
      <c r="N4" s="596"/>
      <c r="O4" s="596"/>
      <c r="P4" s="2216"/>
    </row>
    <row r="5" spans="1:22" ht="22.5" customHeight="1" x14ac:dyDescent="0.2">
      <c r="A5" s="597" t="s">
        <v>188</v>
      </c>
      <c r="B5" s="2217" t="s">
        <v>1213</v>
      </c>
      <c r="C5" s="594"/>
      <c r="D5" s="901">
        <v>4033938363</v>
      </c>
      <c r="E5" s="599">
        <f>+D30</f>
        <v>3643546533</v>
      </c>
      <c r="F5" s="599">
        <f t="shared" ref="F5:O5" si="0">+E30</f>
        <v>3393901897</v>
      </c>
      <c r="G5" s="600">
        <f t="shared" si="0"/>
        <v>5064254797</v>
      </c>
      <c r="H5" s="600">
        <f t="shared" si="0"/>
        <v>4934871261</v>
      </c>
      <c r="I5" s="600">
        <f t="shared" si="0"/>
        <v>9173066500</v>
      </c>
      <c r="J5" s="600">
        <f t="shared" si="0"/>
        <v>8930672284</v>
      </c>
      <c r="K5" s="600">
        <f t="shared" si="0"/>
        <v>8426442807</v>
      </c>
      <c r="L5" s="600">
        <f t="shared" si="0"/>
        <v>7788129576</v>
      </c>
      <c r="M5" s="600">
        <f t="shared" si="0"/>
        <v>10023446325</v>
      </c>
      <c r="N5" s="600">
        <f t="shared" si="0"/>
        <v>9594851563</v>
      </c>
      <c r="O5" s="600">
        <f t="shared" si="0"/>
        <v>9146305027</v>
      </c>
      <c r="P5" s="601" t="s">
        <v>616</v>
      </c>
    </row>
    <row r="6" spans="1:22" ht="27.75" customHeight="1" x14ac:dyDescent="0.2">
      <c r="A6" s="597" t="s">
        <v>189</v>
      </c>
      <c r="B6" s="602" t="s">
        <v>52</v>
      </c>
      <c r="C6" s="603" t="s">
        <v>209</v>
      </c>
      <c r="D6" s="604">
        <v>256955726</v>
      </c>
      <c r="E6" s="604">
        <v>175277039</v>
      </c>
      <c r="F6" s="604">
        <v>219908292</v>
      </c>
      <c r="G6" s="604">
        <v>187675209</v>
      </c>
      <c r="H6" s="604">
        <v>300312171</v>
      </c>
      <c r="I6" s="604">
        <v>196779096</v>
      </c>
      <c r="J6" s="604">
        <v>184627321</v>
      </c>
      <c r="K6" s="604">
        <v>180702389</v>
      </c>
      <c r="L6" s="604">
        <v>182719416</v>
      </c>
      <c r="M6" s="604">
        <v>182049289</v>
      </c>
      <c r="N6" s="604">
        <v>364243051</v>
      </c>
      <c r="O6" s="604">
        <v>138279272</v>
      </c>
      <c r="P6" s="605">
        <f>SUM(D6:O6)</f>
        <v>2569528271</v>
      </c>
      <c r="Q6" s="2218">
        <f>+'[4]3. sz.Városi szintű összesen'!K30</f>
        <v>2601160871</v>
      </c>
      <c r="R6" s="2219">
        <f t="shared" ref="R6:R27" si="1">+P6-Q6</f>
        <v>-31632600</v>
      </c>
      <c r="S6" s="2214">
        <f>+R6/12</f>
        <v>-2636050</v>
      </c>
      <c r="V6" s="590">
        <f>+Q6/12</f>
        <v>216763405.91666666</v>
      </c>
    </row>
    <row r="7" spans="1:22" ht="31.5" customHeight="1" x14ac:dyDescent="0.2">
      <c r="A7" s="597" t="s">
        <v>190</v>
      </c>
      <c r="B7" s="602" t="s">
        <v>220</v>
      </c>
      <c r="C7" s="603" t="s">
        <v>210</v>
      </c>
      <c r="D7" s="604"/>
      <c r="E7" s="604">
        <v>0</v>
      </c>
      <c r="F7" s="604">
        <v>314960630</v>
      </c>
      <c r="G7" s="604">
        <v>0</v>
      </c>
      <c r="H7" s="604"/>
      <c r="I7" s="604"/>
      <c r="J7" s="604"/>
      <c r="K7" s="604"/>
      <c r="L7" s="604"/>
      <c r="M7" s="604"/>
      <c r="N7" s="604"/>
      <c r="O7" s="604">
        <v>54720000</v>
      </c>
      <c r="P7" s="605">
        <f t="shared" ref="P7:P14" si="2">SUM(D7:O7)</f>
        <v>369680630</v>
      </c>
      <c r="Q7" s="2218">
        <f>+'[4]3. sz.Városi szintű összesen'!K31</f>
        <v>369680630</v>
      </c>
      <c r="R7" s="2219">
        <f t="shared" si="1"/>
        <v>0</v>
      </c>
      <c r="S7" s="2214">
        <f t="shared" ref="S7:S30" si="3">+R7/12</f>
        <v>0</v>
      </c>
    </row>
    <row r="8" spans="1:22" ht="21" customHeight="1" x14ac:dyDescent="0.2">
      <c r="A8" s="597" t="s">
        <v>191</v>
      </c>
      <c r="B8" s="602" t="s">
        <v>219</v>
      </c>
      <c r="C8" s="603" t="s">
        <v>211</v>
      </c>
      <c r="D8" s="604">
        <v>80000</v>
      </c>
      <c r="E8" s="604">
        <v>440000</v>
      </c>
      <c r="F8" s="604">
        <v>1893835307</v>
      </c>
      <c r="G8" s="604">
        <v>200400000</v>
      </c>
      <c r="H8" s="604">
        <v>650740000</v>
      </c>
      <c r="I8" s="604">
        <v>443780902</v>
      </c>
      <c r="J8" s="604">
        <v>750000</v>
      </c>
      <c r="K8" s="604">
        <v>149030000</v>
      </c>
      <c r="L8" s="604">
        <v>2737620000</v>
      </c>
      <c r="M8" s="604">
        <v>135734000</v>
      </c>
      <c r="N8" s="604">
        <v>126336000</v>
      </c>
      <c r="O8" s="604">
        <v>270330156</v>
      </c>
      <c r="P8" s="605">
        <f t="shared" si="2"/>
        <v>6609076365</v>
      </c>
      <c r="Q8" s="2218">
        <f>+'[4]3. sz.Városi szintű összesen'!K32</f>
        <v>6700253232</v>
      </c>
      <c r="R8" s="2219">
        <f t="shared" si="1"/>
        <v>-91176867</v>
      </c>
      <c r="S8" s="2214">
        <f t="shared" si="3"/>
        <v>-7598072.25</v>
      </c>
    </row>
    <row r="9" spans="1:22" ht="21" customHeight="1" x14ac:dyDescent="0.2">
      <c r="A9" s="597" t="s">
        <v>192</v>
      </c>
      <c r="B9" s="602" t="s">
        <v>972</v>
      </c>
      <c r="C9" s="603" t="s">
        <v>212</v>
      </c>
      <c r="D9" s="604">
        <v>67389748</v>
      </c>
      <c r="E9" s="604">
        <v>73048083</v>
      </c>
      <c r="F9" s="604">
        <v>79630845</v>
      </c>
      <c r="G9" s="604">
        <v>235052164</v>
      </c>
      <c r="H9" s="604">
        <v>74832254</v>
      </c>
      <c r="I9" s="604">
        <v>116791328</v>
      </c>
      <c r="J9" s="604">
        <v>52705819</v>
      </c>
      <c r="K9" s="604">
        <v>184435714</v>
      </c>
      <c r="L9" s="604">
        <v>90895393</v>
      </c>
      <c r="M9" s="604">
        <v>65093270</v>
      </c>
      <c r="N9" s="604">
        <v>100501373</v>
      </c>
      <c r="O9" s="604">
        <v>108224799</v>
      </c>
      <c r="P9" s="605">
        <f t="shared" si="2"/>
        <v>1248600790</v>
      </c>
      <c r="Q9" s="2218">
        <f>+'[4]3. sz.Városi szintű összesen'!K33</f>
        <v>1301505199</v>
      </c>
      <c r="R9" s="2219">
        <f t="shared" si="1"/>
        <v>-52904409</v>
      </c>
      <c r="S9" s="2214">
        <f t="shared" si="3"/>
        <v>-4408700.75</v>
      </c>
    </row>
    <row r="10" spans="1:22" ht="21" customHeight="1" x14ac:dyDescent="0.2">
      <c r="A10" s="597" t="s">
        <v>193</v>
      </c>
      <c r="B10" s="602" t="s">
        <v>242</v>
      </c>
      <c r="C10" s="603" t="s">
        <v>213</v>
      </c>
      <c r="D10" s="604">
        <v>0</v>
      </c>
      <c r="E10" s="604"/>
      <c r="F10" s="604">
        <v>1268155</v>
      </c>
      <c r="G10" s="604">
        <v>100000</v>
      </c>
      <c r="H10" s="604">
        <v>0</v>
      </c>
      <c r="I10" s="604"/>
      <c r="J10" s="604"/>
      <c r="K10" s="604">
        <v>20000</v>
      </c>
      <c r="L10" s="604"/>
      <c r="M10" s="1716">
        <v>472441</v>
      </c>
      <c r="N10" s="604"/>
      <c r="O10" s="604"/>
      <c r="P10" s="605">
        <f t="shared" si="2"/>
        <v>1860596</v>
      </c>
      <c r="Q10" s="2218">
        <f>+'[4]3. sz.Városi szintű összesen'!K34</f>
        <v>1860596</v>
      </c>
      <c r="R10" s="2219">
        <f t="shared" si="1"/>
        <v>0</v>
      </c>
      <c r="S10" s="2214">
        <f t="shared" si="3"/>
        <v>0</v>
      </c>
    </row>
    <row r="11" spans="1:22" ht="21" customHeight="1" x14ac:dyDescent="0.2">
      <c r="A11" s="597" t="s">
        <v>194</v>
      </c>
      <c r="B11" s="602" t="s">
        <v>237</v>
      </c>
      <c r="C11" s="603" t="s">
        <v>214</v>
      </c>
      <c r="D11" s="604">
        <v>0</v>
      </c>
      <c r="E11" s="604"/>
      <c r="F11" s="604">
        <v>0</v>
      </c>
      <c r="G11" s="604"/>
      <c r="H11" s="604"/>
      <c r="I11" s="604"/>
      <c r="J11" s="604"/>
      <c r="K11" s="604"/>
      <c r="L11" s="604">
        <v>2092993</v>
      </c>
      <c r="M11" s="604"/>
      <c r="N11" s="604"/>
      <c r="O11" s="604">
        <v>500000</v>
      </c>
      <c r="P11" s="605">
        <f t="shared" si="2"/>
        <v>2592993</v>
      </c>
      <c r="Q11" s="2218">
        <f>+'[4]3. sz.Városi szintű összesen'!K35</f>
        <v>2592993</v>
      </c>
      <c r="R11" s="2219">
        <f t="shared" si="1"/>
        <v>0</v>
      </c>
      <c r="S11" s="2214">
        <f t="shared" si="3"/>
        <v>0</v>
      </c>
    </row>
    <row r="12" spans="1:22" ht="21" customHeight="1" x14ac:dyDescent="0.2">
      <c r="A12" s="597" t="s">
        <v>195</v>
      </c>
      <c r="B12" s="602" t="s">
        <v>238</v>
      </c>
      <c r="C12" s="603" t="s">
        <v>215</v>
      </c>
      <c r="D12" s="604">
        <v>739150</v>
      </c>
      <c r="E12" s="604">
        <v>739150</v>
      </c>
      <c r="F12" s="604">
        <v>1964150</v>
      </c>
      <c r="G12" s="604">
        <v>732900</v>
      </c>
      <c r="H12" s="604">
        <v>801500</v>
      </c>
      <c r="I12" s="604">
        <v>674600</v>
      </c>
      <c r="J12" s="604">
        <v>674600</v>
      </c>
      <c r="K12" s="604">
        <v>1706900</v>
      </c>
      <c r="L12" s="604">
        <v>711900</v>
      </c>
      <c r="M12" s="604">
        <v>743200</v>
      </c>
      <c r="N12" s="604">
        <v>1132921</v>
      </c>
      <c r="O12" s="604">
        <v>741200</v>
      </c>
      <c r="P12" s="605">
        <f t="shared" si="2"/>
        <v>11362171</v>
      </c>
      <c r="Q12" s="2218">
        <f>+'[4]3. sz.Városi szintű összesen'!K36</f>
        <v>13743950</v>
      </c>
      <c r="R12" s="2219">
        <f t="shared" si="1"/>
        <v>-2381779</v>
      </c>
      <c r="S12" s="2214">
        <f t="shared" si="3"/>
        <v>-198481.58333333334</v>
      </c>
    </row>
    <row r="13" spans="1:22" ht="21" customHeight="1" x14ac:dyDescent="0.2">
      <c r="A13" s="597" t="s">
        <v>196</v>
      </c>
      <c r="B13" s="607" t="s">
        <v>239</v>
      </c>
      <c r="C13" s="608" t="s">
        <v>216</v>
      </c>
      <c r="D13" s="609">
        <f>SUM(D6:D12)</f>
        <v>325164624</v>
      </c>
      <c r="E13" s="609">
        <f t="shared" ref="E13:P13" si="4">SUM(E6:E12)</f>
        <v>249504272</v>
      </c>
      <c r="F13" s="609">
        <f t="shared" si="4"/>
        <v>2511567379</v>
      </c>
      <c r="G13" s="609">
        <f t="shared" si="4"/>
        <v>623960273</v>
      </c>
      <c r="H13" s="609">
        <f t="shared" si="4"/>
        <v>1026685925</v>
      </c>
      <c r="I13" s="609">
        <f t="shared" si="4"/>
        <v>758025926</v>
      </c>
      <c r="J13" s="609">
        <f t="shared" si="4"/>
        <v>238757740</v>
      </c>
      <c r="K13" s="609">
        <f t="shared" si="4"/>
        <v>515895003</v>
      </c>
      <c r="L13" s="609">
        <f t="shared" si="4"/>
        <v>3014039702</v>
      </c>
      <c r="M13" s="609">
        <f t="shared" si="4"/>
        <v>384092200</v>
      </c>
      <c r="N13" s="609">
        <f t="shared" si="4"/>
        <v>592213345</v>
      </c>
      <c r="O13" s="609">
        <f t="shared" si="4"/>
        <v>572795427</v>
      </c>
      <c r="P13" s="609">
        <f t="shared" si="4"/>
        <v>10812701816</v>
      </c>
      <c r="Q13" s="2218">
        <f>SUM(Q6:Q12)</f>
        <v>10990797471</v>
      </c>
      <c r="R13" s="2219">
        <f t="shared" si="1"/>
        <v>-178095655</v>
      </c>
      <c r="S13" s="2214">
        <f t="shared" si="3"/>
        <v>-14841304.583333334</v>
      </c>
      <c r="T13" s="2219"/>
      <c r="U13" s="2219"/>
    </row>
    <row r="14" spans="1:22" ht="21" customHeight="1" x14ac:dyDescent="0.2">
      <c r="A14" s="692" t="s">
        <v>197</v>
      </c>
      <c r="B14" s="693" t="s">
        <v>1214</v>
      </c>
      <c r="C14" s="694" t="s">
        <v>218</v>
      </c>
      <c r="D14" s="695">
        <f>3911429118-3700000000</f>
        <v>211429118</v>
      </c>
      <c r="E14" s="695">
        <f>3064730622-2790000000</f>
        <v>274730622</v>
      </c>
      <c r="F14" s="695">
        <f>3679014443-3250000000</f>
        <v>429014443</v>
      </c>
      <c r="G14" s="695">
        <f>4389239560-4100000000</f>
        <v>289239560</v>
      </c>
      <c r="H14" s="695">
        <f>8100135954-3650000000</f>
        <v>4450135954</v>
      </c>
      <c r="I14" s="695">
        <f>2967565725-2600000000</f>
        <v>367565725</v>
      </c>
      <c r="J14" s="695">
        <f>594010681-300000000</f>
        <v>294010681</v>
      </c>
      <c r="K14" s="695">
        <f>2995515531-2700000000</f>
        <v>295515531</v>
      </c>
      <c r="L14" s="695">
        <f>1287049706-1000000000</f>
        <v>287049706</v>
      </c>
      <c r="M14" s="695">
        <f>3524289235-3300000000</f>
        <v>224289235</v>
      </c>
      <c r="N14" s="695">
        <f>3132934622-2500000000</f>
        <v>632934622</v>
      </c>
      <c r="O14" s="695">
        <f>7762339245-7300000000</f>
        <v>462339245</v>
      </c>
      <c r="P14" s="695">
        <f t="shared" si="2"/>
        <v>8218254442</v>
      </c>
      <c r="Q14" s="2218">
        <f>+'[4]3. sz.Városi szintű összesen'!K38</f>
        <v>9047323731</v>
      </c>
      <c r="R14" s="2219">
        <f>+P14-Q14</f>
        <v>-829069289</v>
      </c>
      <c r="S14" s="2214">
        <f t="shared" si="3"/>
        <v>-69089107.416666672</v>
      </c>
      <c r="V14" s="696"/>
    </row>
    <row r="15" spans="1:22" ht="33" customHeight="1" x14ac:dyDescent="0.2">
      <c r="A15" s="597" t="s">
        <v>198</v>
      </c>
      <c r="B15" s="612" t="s">
        <v>1215</v>
      </c>
      <c r="C15" s="613"/>
      <c r="D15" s="609">
        <f>+D13+D14</f>
        <v>536593742</v>
      </c>
      <c r="E15" s="609">
        <f t="shared" ref="E15:P15" si="5">+E13+E14</f>
        <v>524234894</v>
      </c>
      <c r="F15" s="609">
        <f t="shared" si="5"/>
        <v>2940581822</v>
      </c>
      <c r="G15" s="609">
        <f t="shared" si="5"/>
        <v>913199833</v>
      </c>
      <c r="H15" s="609">
        <f t="shared" si="5"/>
        <v>5476821879</v>
      </c>
      <c r="I15" s="609">
        <f t="shared" si="5"/>
        <v>1125591651</v>
      </c>
      <c r="J15" s="609">
        <f>+J13+J14</f>
        <v>532768421</v>
      </c>
      <c r="K15" s="609">
        <f t="shared" si="5"/>
        <v>811410534</v>
      </c>
      <c r="L15" s="609">
        <f t="shared" si="5"/>
        <v>3301089408</v>
      </c>
      <c r="M15" s="609">
        <f t="shared" si="5"/>
        <v>608381435</v>
      </c>
      <c r="N15" s="609">
        <f t="shared" si="5"/>
        <v>1225147967</v>
      </c>
      <c r="O15" s="609">
        <f t="shared" si="5"/>
        <v>1035134672</v>
      </c>
      <c r="P15" s="609">
        <f t="shared" si="5"/>
        <v>19030956258</v>
      </c>
      <c r="Q15" s="2218">
        <f>Q13+Q14</f>
        <v>20038121202</v>
      </c>
      <c r="R15" s="2219">
        <f t="shared" si="1"/>
        <v>-1007164944</v>
      </c>
      <c r="S15" s="2214">
        <f t="shared" si="3"/>
        <v>-83930412</v>
      </c>
      <c r="T15" s="2219"/>
      <c r="U15" s="2219"/>
    </row>
    <row r="16" spans="1:22" ht="22.5" customHeight="1" x14ac:dyDescent="0.2">
      <c r="A16" s="597"/>
      <c r="B16" s="2217" t="s">
        <v>252</v>
      </c>
      <c r="C16" s="594"/>
      <c r="D16" s="599"/>
      <c r="E16" s="599"/>
      <c r="F16" s="599"/>
      <c r="G16" s="600"/>
      <c r="H16" s="600"/>
      <c r="I16" s="600"/>
      <c r="J16" s="600"/>
      <c r="K16" s="600"/>
      <c r="L16" s="600"/>
      <c r="M16" s="599"/>
      <c r="N16" s="599"/>
      <c r="O16" s="599"/>
      <c r="P16" s="601"/>
      <c r="Q16" s="2218"/>
      <c r="R16" s="2219">
        <f t="shared" si="1"/>
        <v>0</v>
      </c>
      <c r="S16" s="2214">
        <f t="shared" si="3"/>
        <v>0</v>
      </c>
    </row>
    <row r="17" spans="1:22" ht="20.25" customHeight="1" x14ac:dyDescent="0.2">
      <c r="A17" s="597" t="s">
        <v>225</v>
      </c>
      <c r="B17" s="614" t="s">
        <v>1216</v>
      </c>
      <c r="C17" s="603" t="s">
        <v>199</v>
      </c>
      <c r="D17" s="604">
        <v>174571426</v>
      </c>
      <c r="E17" s="604">
        <v>169604702</v>
      </c>
      <c r="F17" s="604">
        <v>151398417</v>
      </c>
      <c r="G17" s="604">
        <v>260129229</v>
      </c>
      <c r="H17" s="604">
        <v>181597053</v>
      </c>
      <c r="I17" s="604">
        <v>255491113</v>
      </c>
      <c r="J17" s="604">
        <v>207670903</v>
      </c>
      <c r="K17" s="604">
        <v>186038203</v>
      </c>
      <c r="L17" s="604">
        <v>210514618</v>
      </c>
      <c r="M17" s="604">
        <v>198460714</v>
      </c>
      <c r="N17" s="604">
        <v>431115272</v>
      </c>
      <c r="O17" s="604">
        <v>216522074</v>
      </c>
      <c r="P17" s="605">
        <f>SUM(D17:O17)</f>
        <v>2643113724</v>
      </c>
      <c r="Q17" s="2218">
        <f>+'[4]3. sz.Városi szintű összesen'!K8</f>
        <v>3040832223</v>
      </c>
      <c r="R17" s="2219">
        <f t="shared" si="1"/>
        <v>-397718499</v>
      </c>
      <c r="S17" s="2214">
        <f t="shared" si="3"/>
        <v>-33143208.25</v>
      </c>
    </row>
    <row r="18" spans="1:22" ht="29.25" customHeight="1" x14ac:dyDescent="0.2">
      <c r="A18" s="597" t="s">
        <v>226</v>
      </c>
      <c r="B18" s="602" t="s">
        <v>200</v>
      </c>
      <c r="C18" s="603" t="s">
        <v>201</v>
      </c>
      <c r="D18" s="604">
        <v>31549123</v>
      </c>
      <c r="E18" s="604">
        <v>21735338</v>
      </c>
      <c r="F18" s="604">
        <v>21157528</v>
      </c>
      <c r="G18" s="604">
        <v>50189532</v>
      </c>
      <c r="H18" s="604">
        <v>22822877</v>
      </c>
      <c r="I18" s="604">
        <v>33391393</v>
      </c>
      <c r="J18" s="604">
        <v>36169604</v>
      </c>
      <c r="K18" s="604">
        <v>24295915</v>
      </c>
      <c r="L18" s="604">
        <v>29639422</v>
      </c>
      <c r="M18" s="604">
        <v>35939916</v>
      </c>
      <c r="N18" s="604">
        <v>55390994</v>
      </c>
      <c r="O18" s="604">
        <v>26219965</v>
      </c>
      <c r="P18" s="605">
        <f t="shared" ref="P18:P24" si="6">SUM(D18:O18)</f>
        <v>388501607</v>
      </c>
      <c r="Q18" s="2218">
        <f>+'[4]3. sz.Városi szintű összesen'!K9</f>
        <v>448268717</v>
      </c>
      <c r="R18" s="2219">
        <f t="shared" si="1"/>
        <v>-59767110</v>
      </c>
      <c r="S18" s="2214">
        <f t="shared" si="3"/>
        <v>-4980592.5</v>
      </c>
    </row>
    <row r="19" spans="1:22" ht="21.75" customHeight="1" x14ac:dyDescent="0.2">
      <c r="A19" s="597" t="s">
        <v>227</v>
      </c>
      <c r="B19" s="602" t="s">
        <v>330</v>
      </c>
      <c r="C19" s="603" t="s">
        <v>202</v>
      </c>
      <c r="D19" s="604">
        <v>189004230</v>
      </c>
      <c r="E19" s="604">
        <v>243209469</v>
      </c>
      <c r="F19" s="604">
        <v>301725243</v>
      </c>
      <c r="G19" s="604">
        <v>260035884</v>
      </c>
      <c r="H19" s="604">
        <v>329049917</v>
      </c>
      <c r="I19" s="604">
        <v>316661573</v>
      </c>
      <c r="J19" s="604">
        <v>255721396</v>
      </c>
      <c r="K19" s="604">
        <v>316071361</v>
      </c>
      <c r="L19" s="604">
        <v>306176287</v>
      </c>
      <c r="M19" s="604">
        <v>278072901</v>
      </c>
      <c r="N19" s="604">
        <v>252444576</v>
      </c>
      <c r="O19" s="604">
        <v>319747539</v>
      </c>
      <c r="P19" s="605">
        <f t="shared" si="6"/>
        <v>3367920376</v>
      </c>
      <c r="Q19" s="2218">
        <f>+'[4]3. sz.Városi szintű összesen'!K10</f>
        <v>4531015441</v>
      </c>
      <c r="R19" s="2219">
        <f t="shared" si="1"/>
        <v>-1163095065</v>
      </c>
      <c r="S19" s="2214">
        <f t="shared" si="3"/>
        <v>-96924588.75</v>
      </c>
    </row>
    <row r="20" spans="1:22" ht="21.75" customHeight="1" x14ac:dyDescent="0.2">
      <c r="A20" s="597" t="s">
        <v>228</v>
      </c>
      <c r="B20" s="615" t="s">
        <v>1217</v>
      </c>
      <c r="C20" s="603" t="s">
        <v>203</v>
      </c>
      <c r="D20" s="604">
        <v>2050395</v>
      </c>
      <c r="E20" s="604">
        <v>1502114</v>
      </c>
      <c r="F20" s="604">
        <v>1900923</v>
      </c>
      <c r="G20" s="604">
        <v>2772996</v>
      </c>
      <c r="H20" s="604">
        <v>2121483</v>
      </c>
      <c r="I20" s="604">
        <v>1740276</v>
      </c>
      <c r="J20" s="604">
        <v>1618311</v>
      </c>
      <c r="K20" s="604">
        <v>2352138</v>
      </c>
      <c r="L20" s="604">
        <v>2285180</v>
      </c>
      <c r="M20" s="604">
        <v>1901715</v>
      </c>
      <c r="N20" s="604">
        <v>2022924</v>
      </c>
      <c r="O20" s="604">
        <v>11182169</v>
      </c>
      <c r="P20" s="605">
        <f t="shared" si="6"/>
        <v>33450624</v>
      </c>
      <c r="Q20" s="2218">
        <f>+'[4]3. sz.Városi szintű összesen'!K11</f>
        <v>46000000</v>
      </c>
      <c r="R20" s="2219">
        <f t="shared" si="1"/>
        <v>-12549376</v>
      </c>
      <c r="S20" s="2214">
        <f t="shared" si="3"/>
        <v>-1045781.3333333334</v>
      </c>
    </row>
    <row r="21" spans="1:22" ht="21.75" customHeight="1" x14ac:dyDescent="0.2">
      <c r="A21" s="597" t="s">
        <v>229</v>
      </c>
      <c r="B21" s="615" t="s">
        <v>234</v>
      </c>
      <c r="C21" s="603" t="s">
        <v>204</v>
      </c>
      <c r="D21" s="604">
        <v>185421627</v>
      </c>
      <c r="E21" s="604">
        <v>111044018</v>
      </c>
      <c r="F21" s="604">
        <v>168534018</v>
      </c>
      <c r="G21" s="604">
        <v>112344018</v>
      </c>
      <c r="H21" s="604">
        <v>243231889</v>
      </c>
      <c r="I21" s="604">
        <v>192722015</v>
      </c>
      <c r="J21" s="604">
        <v>111541306</v>
      </c>
      <c r="K21" s="604">
        <v>119787858</v>
      </c>
      <c r="L21" s="604">
        <v>147123855</v>
      </c>
      <c r="M21" s="604">
        <v>124846260</v>
      </c>
      <c r="N21" s="604">
        <v>121391386</v>
      </c>
      <c r="O21" s="604">
        <v>114261456</v>
      </c>
      <c r="P21" s="605">
        <f t="shared" si="6"/>
        <v>1752249706</v>
      </c>
      <c r="Q21" s="2218">
        <f>+'[4]3. sz.Városi szintű összesen'!K12</f>
        <v>4243588325</v>
      </c>
      <c r="R21" s="2219">
        <f t="shared" si="1"/>
        <v>-2491338619</v>
      </c>
      <c r="S21" s="2214">
        <f t="shared" si="3"/>
        <v>-207611551.58333334</v>
      </c>
    </row>
    <row r="22" spans="1:22" ht="21.75" customHeight="1" x14ac:dyDescent="0.2">
      <c r="A22" s="597" t="s">
        <v>230</v>
      </c>
      <c r="B22" s="602" t="s">
        <v>241</v>
      </c>
      <c r="C22" s="603" t="s">
        <v>205</v>
      </c>
      <c r="D22" s="604">
        <v>132352253</v>
      </c>
      <c r="E22" s="604">
        <v>13715194</v>
      </c>
      <c r="F22" s="604">
        <v>44220954</v>
      </c>
      <c r="G22" s="604">
        <v>34857754</v>
      </c>
      <c r="H22" s="604">
        <v>104727879</v>
      </c>
      <c r="I22" s="604">
        <v>180862440</v>
      </c>
      <c r="J22" s="604">
        <v>128637297</v>
      </c>
      <c r="K22" s="604">
        <v>480739535</v>
      </c>
      <c r="L22" s="616">
        <v>49632496</v>
      </c>
      <c r="M22" s="604">
        <v>26942358</v>
      </c>
      <c r="N22" s="604">
        <v>140764950</v>
      </c>
      <c r="O22" s="604">
        <v>233992292</v>
      </c>
      <c r="P22" s="605">
        <f t="shared" si="6"/>
        <v>1571445402</v>
      </c>
      <c r="Q22" s="2218">
        <f>+'[4]3. sz.Városi szintű összesen'!K16</f>
        <v>2375780545</v>
      </c>
      <c r="R22" s="2219">
        <f t="shared" si="1"/>
        <v>-804335143</v>
      </c>
      <c r="S22" s="2214">
        <f t="shared" si="3"/>
        <v>-67027928.583333336</v>
      </c>
    </row>
    <row r="23" spans="1:22" ht="21.75" customHeight="1" x14ac:dyDescent="0.2">
      <c r="A23" s="597" t="s">
        <v>231</v>
      </c>
      <c r="B23" s="615" t="s">
        <v>1218</v>
      </c>
      <c r="C23" s="603" t="s">
        <v>206</v>
      </c>
      <c r="D23" s="604">
        <v>0</v>
      </c>
      <c r="E23" s="604">
        <v>6068695</v>
      </c>
      <c r="F23" s="604">
        <v>0</v>
      </c>
      <c r="G23" s="604">
        <v>30014396</v>
      </c>
      <c r="H23" s="604">
        <v>317500</v>
      </c>
      <c r="I23" s="604">
        <v>3276476</v>
      </c>
      <c r="J23" s="604">
        <v>1524000</v>
      </c>
      <c r="K23" s="604">
        <v>19883624</v>
      </c>
      <c r="L23" s="604">
        <v>26835337</v>
      </c>
      <c r="M23" s="604">
        <v>139129962</v>
      </c>
      <c r="N23" s="604">
        <v>37175259</v>
      </c>
      <c r="O23" s="604">
        <v>69203434</v>
      </c>
      <c r="P23" s="605">
        <f t="shared" si="6"/>
        <v>333428683</v>
      </c>
      <c r="Q23" s="2218">
        <f>+'[4]3. sz.Városi szintű összesen'!K17</f>
        <v>334136454</v>
      </c>
      <c r="R23" s="2219">
        <f t="shared" si="1"/>
        <v>-707771</v>
      </c>
      <c r="S23" s="2214">
        <f t="shared" si="3"/>
        <v>-58980.916666666664</v>
      </c>
    </row>
    <row r="24" spans="1:22" ht="21.75" customHeight="1" x14ac:dyDescent="0.2">
      <c r="A24" s="597" t="s">
        <v>232</v>
      </c>
      <c r="B24" s="615" t="s">
        <v>235</v>
      </c>
      <c r="C24" s="603" t="s">
        <v>207</v>
      </c>
      <c r="D24" s="604">
        <v>0</v>
      </c>
      <c r="E24" s="604">
        <v>0</v>
      </c>
      <c r="F24" s="604">
        <v>6072000</v>
      </c>
      <c r="G24" s="604">
        <v>3000000</v>
      </c>
      <c r="H24" s="604">
        <v>58680</v>
      </c>
      <c r="I24" s="604">
        <v>9229200</v>
      </c>
      <c r="J24" s="604">
        <v>104400</v>
      </c>
      <c r="K24" s="604">
        <v>5039600</v>
      </c>
      <c r="L24" s="604">
        <v>3000000</v>
      </c>
      <c r="M24" s="604">
        <v>3863238</v>
      </c>
      <c r="N24" s="604">
        <v>454520</v>
      </c>
      <c r="O24" s="604">
        <v>306717</v>
      </c>
      <c r="P24" s="605">
        <f t="shared" si="6"/>
        <v>31128355</v>
      </c>
      <c r="Q24" s="2218">
        <f>+'[4]3. sz.Városi szintű összesen'!K18</f>
        <v>43477245</v>
      </c>
      <c r="R24" s="2219">
        <f t="shared" si="1"/>
        <v>-12348890</v>
      </c>
      <c r="S24" s="2214">
        <f t="shared" si="3"/>
        <v>-1029074.1666666666</v>
      </c>
    </row>
    <row r="25" spans="1:22" ht="21.75" customHeight="1" x14ac:dyDescent="0.2">
      <c r="A25" s="597" t="s">
        <v>233</v>
      </c>
      <c r="B25" s="607" t="s">
        <v>1219</v>
      </c>
      <c r="C25" s="608" t="s">
        <v>208</v>
      </c>
      <c r="D25" s="609">
        <f>SUM(D17:D24)</f>
        <v>714949054</v>
      </c>
      <c r="E25" s="609">
        <f t="shared" ref="E25:P25" si="7">SUM(E17:E24)</f>
        <v>566879530</v>
      </c>
      <c r="F25" s="609">
        <f t="shared" si="7"/>
        <v>695009083</v>
      </c>
      <c r="G25" s="609">
        <f t="shared" si="7"/>
        <v>753343809</v>
      </c>
      <c r="H25" s="609">
        <f t="shared" si="7"/>
        <v>883927278</v>
      </c>
      <c r="I25" s="609">
        <f t="shared" si="7"/>
        <v>993374486</v>
      </c>
      <c r="J25" s="609">
        <f t="shared" si="7"/>
        <v>742987217</v>
      </c>
      <c r="K25" s="609">
        <f t="shared" si="7"/>
        <v>1154208234</v>
      </c>
      <c r="L25" s="609">
        <f t="shared" si="7"/>
        <v>775207195</v>
      </c>
      <c r="M25" s="609">
        <f t="shared" si="7"/>
        <v>809157064</v>
      </c>
      <c r="N25" s="609">
        <f t="shared" si="7"/>
        <v>1040759881</v>
      </c>
      <c r="O25" s="609">
        <f t="shared" si="7"/>
        <v>991435646</v>
      </c>
      <c r="P25" s="609">
        <f t="shared" si="7"/>
        <v>10121238477</v>
      </c>
      <c r="Q25" s="2218">
        <f>SUM(Q17:Q24)</f>
        <v>15063098950</v>
      </c>
      <c r="R25" s="2219">
        <f t="shared" si="1"/>
        <v>-4941860473</v>
      </c>
      <c r="S25" s="2214">
        <f t="shared" si="3"/>
        <v>-411821706.08333331</v>
      </c>
      <c r="T25" s="2219"/>
      <c r="U25" s="2219"/>
    </row>
    <row r="26" spans="1:22" ht="21.75" customHeight="1" x14ac:dyDescent="0.2">
      <c r="A26" s="597" t="s">
        <v>260</v>
      </c>
      <c r="B26" s="610" t="s">
        <v>1220</v>
      </c>
      <c r="C26" s="611" t="s">
        <v>217</v>
      </c>
      <c r="D26" s="604">
        <f>6502036518-6290000000</f>
        <v>212036518</v>
      </c>
      <c r="E26" s="604">
        <f>2657000000-2450000000</f>
        <v>207000000</v>
      </c>
      <c r="F26" s="604">
        <f>5375219839-4800000000</f>
        <v>575219839</v>
      </c>
      <c r="G26" s="604">
        <f>4339239560-4050000000</f>
        <v>289239560</v>
      </c>
      <c r="H26" s="604">
        <f>3154699362-2800000000</f>
        <v>354699362</v>
      </c>
      <c r="I26" s="604">
        <f>3374611381-3000000000</f>
        <v>374611381</v>
      </c>
      <c r="J26" s="604">
        <v>294010681</v>
      </c>
      <c r="K26" s="604">
        <f>1995515531-1700000000</f>
        <v>295515531</v>
      </c>
      <c r="L26" s="604">
        <f>4190565464-3900000000</f>
        <v>290565464</v>
      </c>
      <c r="M26" s="604">
        <f>2727819133-2500000000</f>
        <v>227819133</v>
      </c>
      <c r="N26" s="604">
        <f>2532934622-1900000000</f>
        <v>632934622</v>
      </c>
      <c r="O26" s="604">
        <f>4192300872-3800000000</f>
        <v>392300872</v>
      </c>
      <c r="P26" s="609">
        <f>SUM(D26:O26)</f>
        <v>4145952963</v>
      </c>
      <c r="Q26" s="2218">
        <f>+'[4]3. sz.Városi szintű összesen'!K21</f>
        <v>4975022252</v>
      </c>
      <c r="R26" s="2219">
        <f t="shared" si="1"/>
        <v>-829069289</v>
      </c>
      <c r="S26" s="2214">
        <f t="shared" si="3"/>
        <v>-69089107.416666672</v>
      </c>
    </row>
    <row r="27" spans="1:22" ht="35.25" customHeight="1" x14ac:dyDescent="0.2">
      <c r="A27" s="597" t="s">
        <v>261</v>
      </c>
      <c r="B27" s="612" t="s">
        <v>1221</v>
      </c>
      <c r="C27" s="613"/>
      <c r="D27" s="609">
        <f>+D25+D26</f>
        <v>926985572</v>
      </c>
      <c r="E27" s="609">
        <f t="shared" ref="E27:O27" si="8">+E25+E26</f>
        <v>773879530</v>
      </c>
      <c r="F27" s="609">
        <f t="shared" si="8"/>
        <v>1270228922</v>
      </c>
      <c r="G27" s="609">
        <f t="shared" si="8"/>
        <v>1042583369</v>
      </c>
      <c r="H27" s="609">
        <f t="shared" si="8"/>
        <v>1238626640</v>
      </c>
      <c r="I27" s="609">
        <f t="shared" si="8"/>
        <v>1367985867</v>
      </c>
      <c r="J27" s="609">
        <f t="shared" si="8"/>
        <v>1036997898</v>
      </c>
      <c r="K27" s="609">
        <f t="shared" si="8"/>
        <v>1449723765</v>
      </c>
      <c r="L27" s="609">
        <f t="shared" si="8"/>
        <v>1065772659</v>
      </c>
      <c r="M27" s="609">
        <f t="shared" si="8"/>
        <v>1036976197</v>
      </c>
      <c r="N27" s="609">
        <f t="shared" si="8"/>
        <v>1673694503</v>
      </c>
      <c r="O27" s="609">
        <f t="shared" si="8"/>
        <v>1383736518</v>
      </c>
      <c r="P27" s="609">
        <f>P25+P26</f>
        <v>14267191440</v>
      </c>
      <c r="Q27" s="2218">
        <f>Q25+Q26</f>
        <v>20038121202</v>
      </c>
      <c r="R27" s="2219">
        <f t="shared" si="1"/>
        <v>-5770929762</v>
      </c>
      <c r="S27" s="2214">
        <f t="shared" si="3"/>
        <v>-480910813.5</v>
      </c>
      <c r="T27" s="2219"/>
      <c r="U27" s="2219"/>
    </row>
    <row r="28" spans="1:22" ht="20.25" customHeight="1" x14ac:dyDescent="0.2">
      <c r="A28" s="597" t="s">
        <v>262</v>
      </c>
      <c r="B28" s="612" t="s">
        <v>1222</v>
      </c>
      <c r="C28" s="613"/>
      <c r="D28" s="609">
        <f>+D15-D27</f>
        <v>-390391830</v>
      </c>
      <c r="E28" s="609">
        <f t="shared" ref="E28:P28" si="9">+E15-E27</f>
        <v>-249644636</v>
      </c>
      <c r="F28" s="609">
        <f t="shared" si="9"/>
        <v>1670352900</v>
      </c>
      <c r="G28" s="609">
        <f t="shared" si="9"/>
        <v>-129383536</v>
      </c>
      <c r="H28" s="609">
        <f t="shared" si="9"/>
        <v>4238195239</v>
      </c>
      <c r="I28" s="609">
        <f t="shared" si="9"/>
        <v>-242394216</v>
      </c>
      <c r="J28" s="609">
        <f>+J15-J27</f>
        <v>-504229477</v>
      </c>
      <c r="K28" s="609">
        <f t="shared" si="9"/>
        <v>-638313231</v>
      </c>
      <c r="L28" s="609">
        <f t="shared" si="9"/>
        <v>2235316749</v>
      </c>
      <c r="M28" s="609">
        <f t="shared" si="9"/>
        <v>-428594762</v>
      </c>
      <c r="N28" s="609">
        <f t="shared" si="9"/>
        <v>-448546536</v>
      </c>
      <c r="O28" s="609">
        <f t="shared" si="9"/>
        <v>-348601846</v>
      </c>
      <c r="P28" s="609">
        <f t="shared" si="9"/>
        <v>4763764818</v>
      </c>
      <c r="Q28" s="2218"/>
      <c r="R28" s="2219"/>
      <c r="S28" s="2214">
        <f t="shared" si="3"/>
        <v>0</v>
      </c>
    </row>
    <row r="29" spans="1:22" ht="20.25" customHeight="1" x14ac:dyDescent="0.2">
      <c r="A29" s="597"/>
      <c r="B29" s="612" t="s">
        <v>3475</v>
      </c>
      <c r="C29" s="613"/>
      <c r="D29" s="609"/>
      <c r="E29" s="609"/>
      <c r="F29" s="609"/>
      <c r="G29" s="609"/>
      <c r="H29" s="609"/>
      <c r="I29" s="609"/>
      <c r="J29" s="609"/>
      <c r="K29" s="609"/>
      <c r="L29" s="609"/>
      <c r="M29" s="609"/>
      <c r="N29" s="609"/>
      <c r="O29" s="2220">
        <v>-4050666587</v>
      </c>
      <c r="P29" s="609"/>
      <c r="Q29" s="2218"/>
      <c r="R29" s="2219"/>
    </row>
    <row r="30" spans="1:22" s="2213" customFormat="1" ht="21" customHeight="1" x14ac:dyDescent="0.25">
      <c r="A30" s="593" t="s">
        <v>263</v>
      </c>
      <c r="B30" s="2221" t="s">
        <v>1223</v>
      </c>
      <c r="C30" s="2222"/>
      <c r="D30" s="609">
        <f>+D5+D15-D27</f>
        <v>3643546533</v>
      </c>
      <c r="E30" s="609">
        <f>+E5+E15-E27</f>
        <v>3393901897</v>
      </c>
      <c r="F30" s="609">
        <f t="shared" ref="F30:N30" si="10">+F5+F15-F27</f>
        <v>5064254797</v>
      </c>
      <c r="G30" s="609">
        <f t="shared" si="10"/>
        <v>4934871261</v>
      </c>
      <c r="H30" s="609">
        <f t="shared" si="10"/>
        <v>9173066500</v>
      </c>
      <c r="I30" s="609">
        <f t="shared" si="10"/>
        <v>8930672284</v>
      </c>
      <c r="J30" s="609">
        <f>+J5+J15-J27</f>
        <v>8426442807</v>
      </c>
      <c r="K30" s="609">
        <f t="shared" si="10"/>
        <v>7788129576</v>
      </c>
      <c r="L30" s="609">
        <f t="shared" si="10"/>
        <v>10023446325</v>
      </c>
      <c r="M30" s="609">
        <f t="shared" si="10"/>
        <v>9594851563</v>
      </c>
      <c r="N30" s="609">
        <f t="shared" si="10"/>
        <v>9146305027</v>
      </c>
      <c r="O30" s="609">
        <f>+O5+O28+O29</f>
        <v>4747036594</v>
      </c>
      <c r="P30" s="609"/>
      <c r="Q30" s="2218">
        <f>+'[3]3. sz.Városi szintű összesen'!G29</f>
        <v>10344621437</v>
      </c>
      <c r="R30" s="2218"/>
      <c r="S30" s="2214">
        <f t="shared" si="3"/>
        <v>0</v>
      </c>
      <c r="V30" s="619"/>
    </row>
    <row r="32" spans="1:22" x14ac:dyDescent="0.2">
      <c r="O32" s="2224">
        <v>4747036594</v>
      </c>
      <c r="P32" s="2214" t="s">
        <v>3476</v>
      </c>
      <c r="Q32" s="2225">
        <f>+O30-O32</f>
        <v>0</v>
      </c>
    </row>
    <row r="34" spans="9:16" x14ac:dyDescent="0.2">
      <c r="K34" s="2226"/>
      <c r="N34" s="2214" t="s">
        <v>3477</v>
      </c>
      <c r="O34" s="2224"/>
    </row>
    <row r="35" spans="9:16" x14ac:dyDescent="0.2">
      <c r="K35" s="2224">
        <f>1915298411-1862851615</f>
        <v>52446796</v>
      </c>
      <c r="N35" s="2214" t="s">
        <v>3478</v>
      </c>
      <c r="O35" s="2224"/>
      <c r="P35" s="2224">
        <v>61498229</v>
      </c>
    </row>
    <row r="36" spans="9:16" x14ac:dyDescent="0.2">
      <c r="O36" s="2224">
        <f>+O34+O35</f>
        <v>0</v>
      </c>
    </row>
    <row r="37" spans="9:16" x14ac:dyDescent="0.2">
      <c r="I37" s="2214" t="s">
        <v>3479</v>
      </c>
      <c r="J37" s="2214" t="s">
        <v>3480</v>
      </c>
      <c r="K37" s="2214" t="s">
        <v>3481</v>
      </c>
      <c r="L37" s="2214" t="s">
        <v>3482</v>
      </c>
      <c r="O37" s="2224"/>
    </row>
    <row r="38" spans="9:16" x14ac:dyDescent="0.2">
      <c r="J38" s="2227">
        <v>36411</v>
      </c>
      <c r="K38" s="2224">
        <v>0</v>
      </c>
      <c r="L38" s="2224">
        <v>0</v>
      </c>
      <c r="O38" s="2224"/>
    </row>
    <row r="39" spans="9:16" x14ac:dyDescent="0.2">
      <c r="J39" s="2227">
        <v>36413</v>
      </c>
      <c r="K39" s="2224">
        <v>4050000</v>
      </c>
      <c r="L39" s="2224">
        <f>22927741+181886+88830-24723197-181886-93271</f>
        <v>-1799897</v>
      </c>
      <c r="M39" s="2228"/>
      <c r="O39" s="2224"/>
    </row>
    <row r="40" spans="9:16" x14ac:dyDescent="0.2">
      <c r="J40" s="2227">
        <v>36512</v>
      </c>
      <c r="K40" s="2224">
        <v>0</v>
      </c>
      <c r="L40" s="2224">
        <f>55854809+7964761+14744430-106383694-16076047-14744430</f>
        <v>-58640171</v>
      </c>
      <c r="N40" s="2229" t="s">
        <v>3477</v>
      </c>
      <c r="O40" s="2230">
        <v>-4095436592</v>
      </c>
    </row>
    <row r="41" spans="9:16" x14ac:dyDescent="0.2">
      <c r="J41" s="2227">
        <v>36513</v>
      </c>
      <c r="K41" s="2224">
        <v>0</v>
      </c>
      <c r="L41" s="2224">
        <f>417193+4173194-417193-4173194</f>
        <v>0</v>
      </c>
      <c r="N41" s="2229" t="s">
        <v>3478</v>
      </c>
      <c r="O41" s="2231">
        <f>-K50</f>
        <v>-16728224</v>
      </c>
      <c r="P41" s="2214" t="s">
        <v>3483</v>
      </c>
    </row>
    <row r="42" spans="9:16" x14ac:dyDescent="0.2">
      <c r="J42" s="2227">
        <v>36514</v>
      </c>
      <c r="K42" s="2224">
        <v>15000000</v>
      </c>
      <c r="L42" s="2224">
        <f>35402887-20702887</f>
        <v>14700000</v>
      </c>
      <c r="N42" s="2229" t="s">
        <v>3484</v>
      </c>
      <c r="O42" s="2231">
        <v>-3784617809</v>
      </c>
    </row>
    <row r="43" spans="9:16" x14ac:dyDescent="0.2">
      <c r="J43" s="2227">
        <v>36515</v>
      </c>
      <c r="K43" s="2224">
        <v>833331</v>
      </c>
      <c r="L43" s="2224">
        <f>4420000+8457600-3736669-8457600</f>
        <v>683331</v>
      </c>
      <c r="N43" s="2229" t="s">
        <v>3485</v>
      </c>
      <c r="O43" s="2231">
        <v>3846116038</v>
      </c>
    </row>
    <row r="44" spans="9:16" x14ac:dyDescent="0.2">
      <c r="J44" s="2227">
        <v>36516</v>
      </c>
      <c r="K44" s="2224">
        <v>745673</v>
      </c>
      <c r="L44" s="2224">
        <f>5803820-6032644</f>
        <v>-228824</v>
      </c>
      <c r="N44" s="2229"/>
      <c r="O44" s="2229"/>
    </row>
    <row r="45" spans="9:16" x14ac:dyDescent="0.2">
      <c r="J45" s="2227">
        <v>3654</v>
      </c>
      <c r="K45" s="2224">
        <v>550000</v>
      </c>
      <c r="L45" s="2224">
        <v>0</v>
      </c>
      <c r="N45" s="2229"/>
      <c r="O45" s="2230">
        <f>SUM(O40:O44)</f>
        <v>-4050666587</v>
      </c>
    </row>
    <row r="46" spans="9:16" x14ac:dyDescent="0.2">
      <c r="J46" s="2227">
        <v>3661</v>
      </c>
      <c r="K46" s="2224">
        <v>3320978</v>
      </c>
      <c r="L46" s="2224">
        <f>3320978-197263</f>
        <v>3123715</v>
      </c>
    </row>
    <row r="47" spans="9:16" x14ac:dyDescent="0.2">
      <c r="J47" s="2227">
        <v>36711</v>
      </c>
      <c r="K47" s="2224">
        <f>-773512-68520-79796-5974365</f>
        <v>-6896193</v>
      </c>
      <c r="L47" s="2224">
        <f>13650646-13701394+1467740-1498260+1332306-888365-3929472</f>
        <v>-3566799</v>
      </c>
    </row>
    <row r="48" spans="9:16" x14ac:dyDescent="0.2">
      <c r="J48" s="2227">
        <v>3673</v>
      </c>
      <c r="K48" s="2224">
        <v>-753700</v>
      </c>
      <c r="L48" s="2224">
        <f>2544996-2586356</f>
        <v>-41360</v>
      </c>
    </row>
    <row r="49" spans="9:17" x14ac:dyDescent="0.2">
      <c r="J49" s="2227">
        <v>3678</v>
      </c>
      <c r="K49" s="2224">
        <v>-121865</v>
      </c>
      <c r="L49" s="2224">
        <v>1000000</v>
      </c>
    </row>
    <row r="50" spans="9:17" x14ac:dyDescent="0.2">
      <c r="K50" s="2232">
        <f>SUM(K38:K49)</f>
        <v>16728224</v>
      </c>
      <c r="L50" s="2228">
        <f>SUM(L38:L49)</f>
        <v>-44770005</v>
      </c>
      <c r="N50" s="2214" t="s">
        <v>3477</v>
      </c>
      <c r="O50" s="2233">
        <v>-4095436592</v>
      </c>
    </row>
    <row r="51" spans="9:17" x14ac:dyDescent="0.2">
      <c r="I51" s="2224"/>
      <c r="K51" s="2228"/>
      <c r="O51" s="2228">
        <f>-L50</f>
        <v>44770005</v>
      </c>
      <c r="P51" s="2228">
        <f>+O52-O29</f>
        <v>0</v>
      </c>
      <c r="Q51" s="2234">
        <f>+P51+K50</f>
        <v>16728224</v>
      </c>
    </row>
    <row r="52" spans="9:17" x14ac:dyDescent="0.2">
      <c r="I52" s="2224"/>
      <c r="O52" s="2235">
        <f>SUM(O50:O51)</f>
        <v>-4050666587</v>
      </c>
    </row>
    <row r="53" spans="9:17" x14ac:dyDescent="0.2">
      <c r="I53" s="2224"/>
      <c r="K53" s="2224">
        <v>56192007</v>
      </c>
    </row>
    <row r="54" spans="9:17" x14ac:dyDescent="0.2">
      <c r="I54" s="2224"/>
      <c r="K54" s="2228">
        <f>+K51-K53</f>
        <v>-56192007</v>
      </c>
    </row>
  </sheetData>
  <mergeCells count="1">
    <mergeCell ref="A1:P1"/>
  </mergeCells>
  <printOptions horizontalCentered="1" verticalCentered="1"/>
  <pageMargins left="0.19685039370078741" right="0.19685039370078741" top="0.35433070866141736" bottom="0.35433070866141736" header="0.31496062992125984" footer="0.31496062992125984"/>
  <pageSetup paperSize="9" scale="54" orientation="landscape" r:id="rId1"/>
  <headerFooter>
    <oddHeader>&amp;C2023. évi költségvetés&amp;R&amp;A</oddHeader>
    <oddFooter>&amp;C&amp;P/&amp;N</oddFooter>
  </headerFooter>
  <colBreaks count="1" manualBreakCount="1">
    <brk id="16"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R29"/>
  <sheetViews>
    <sheetView view="pageBreakPreview" topLeftCell="A10" zoomScale="90" zoomScaleNormal="100" zoomScaleSheetLayoutView="90" workbookViewId="0">
      <selection activeCell="I35" sqref="I35"/>
    </sheetView>
  </sheetViews>
  <sheetFormatPr defaultRowHeight="12.75" x14ac:dyDescent="0.2"/>
  <cols>
    <col min="1" max="1" width="4.85546875" customWidth="1"/>
    <col min="2" max="2" width="43.42578125" customWidth="1"/>
    <col min="3" max="3" width="6.42578125" bestFit="1" customWidth="1"/>
    <col min="4" max="5" width="14.28515625" bestFit="1" customWidth="1"/>
    <col min="6" max="6" width="14.7109375" customWidth="1"/>
    <col min="7" max="7" width="14.28515625" bestFit="1" customWidth="1"/>
    <col min="8" max="8" width="14.7109375" customWidth="1"/>
    <col min="9" max="9" width="15.140625" customWidth="1"/>
    <col min="10" max="10" width="14.5703125" customWidth="1"/>
    <col min="11" max="11" width="14.7109375" customWidth="1"/>
    <col min="12" max="12" width="14.140625" customWidth="1"/>
    <col min="13" max="13" width="14.28515625" bestFit="1" customWidth="1"/>
    <col min="14" max="15" width="14.28515625" customWidth="1"/>
    <col min="16" max="16" width="15.5703125" customWidth="1"/>
    <col min="17" max="17" width="18.140625" customWidth="1"/>
    <col min="18" max="18" width="13.85546875" customWidth="1"/>
  </cols>
  <sheetData>
    <row r="1" spans="1:18" ht="30" customHeight="1" x14ac:dyDescent="0.25">
      <c r="A1" s="2035" t="s">
        <v>1530</v>
      </c>
      <c r="B1" s="2035"/>
      <c r="C1" s="2035"/>
      <c r="D1" s="2035"/>
      <c r="E1" s="2035"/>
      <c r="F1" s="2035"/>
      <c r="G1" s="2035"/>
      <c r="H1" s="2035"/>
      <c r="I1" s="2035"/>
      <c r="J1" s="2035"/>
      <c r="K1" s="2035"/>
      <c r="L1" s="2035"/>
      <c r="M1" s="2035"/>
      <c r="N1" s="2035"/>
      <c r="O1" s="2035"/>
      <c r="P1" s="2035"/>
      <c r="Q1" s="889"/>
    </row>
    <row r="2" spans="1:18" ht="30" customHeight="1" x14ac:dyDescent="0.25">
      <c r="A2" s="589"/>
      <c r="B2" s="589"/>
      <c r="C2" s="589"/>
      <c r="D2" s="591"/>
      <c r="E2" s="591"/>
      <c r="F2" s="591"/>
      <c r="G2" s="591"/>
      <c r="H2" s="591"/>
      <c r="I2" s="591"/>
      <c r="J2" s="591"/>
      <c r="K2" s="591"/>
      <c r="L2" s="591"/>
      <c r="M2" s="591"/>
      <c r="N2" s="591"/>
      <c r="O2" s="591"/>
      <c r="P2" s="591"/>
      <c r="Q2" s="889"/>
    </row>
    <row r="3" spans="1:18" ht="15" x14ac:dyDescent="0.25">
      <c r="A3" s="2037" t="s">
        <v>1224</v>
      </c>
      <c r="B3" s="2038"/>
      <c r="C3" s="2043" t="s">
        <v>1203</v>
      </c>
      <c r="D3" s="2046" t="s">
        <v>94</v>
      </c>
      <c r="E3" s="2046" t="s">
        <v>95</v>
      </c>
      <c r="F3" s="2046" t="s">
        <v>98</v>
      </c>
      <c r="G3" s="2046" t="s">
        <v>1204</v>
      </c>
      <c r="H3" s="2046" t="s">
        <v>1205</v>
      </c>
      <c r="I3" s="2046" t="s">
        <v>1206</v>
      </c>
      <c r="J3" s="2046" t="s">
        <v>1207</v>
      </c>
      <c r="K3" s="2046" t="s">
        <v>1208</v>
      </c>
      <c r="L3" s="2046" t="s">
        <v>1209</v>
      </c>
      <c r="M3" s="2046" t="s">
        <v>1210</v>
      </c>
      <c r="N3" s="2046" t="s">
        <v>1211</v>
      </c>
      <c r="O3" s="2046" t="s">
        <v>1212</v>
      </c>
      <c r="P3" s="2036" t="s">
        <v>1318</v>
      </c>
      <c r="Q3" s="902"/>
    </row>
    <row r="4" spans="1:18" ht="15" x14ac:dyDescent="0.25">
      <c r="A4" s="2039"/>
      <c r="B4" s="2040"/>
      <c r="C4" s="2044"/>
      <c r="D4" s="2046"/>
      <c r="E4" s="2046"/>
      <c r="F4" s="2046"/>
      <c r="G4" s="2046"/>
      <c r="H4" s="2046"/>
      <c r="I4" s="2046"/>
      <c r="J4" s="2046"/>
      <c r="K4" s="2046"/>
      <c r="L4" s="2046"/>
      <c r="M4" s="2046"/>
      <c r="N4" s="2046"/>
      <c r="O4" s="2046"/>
      <c r="P4" s="2036"/>
      <c r="Q4" s="902"/>
    </row>
    <row r="5" spans="1:18" ht="15" x14ac:dyDescent="0.25">
      <c r="A5" s="2041"/>
      <c r="B5" s="2042"/>
      <c r="C5" s="2045"/>
      <c r="D5" s="2046"/>
      <c r="E5" s="2046"/>
      <c r="F5" s="2046"/>
      <c r="G5" s="2046"/>
      <c r="H5" s="2046"/>
      <c r="I5" s="2046"/>
      <c r="J5" s="2046"/>
      <c r="K5" s="2046"/>
      <c r="L5" s="2046"/>
      <c r="M5" s="2046"/>
      <c r="N5" s="2046"/>
      <c r="O5" s="2046"/>
      <c r="P5" s="2036"/>
      <c r="Q5" s="902"/>
    </row>
    <row r="6" spans="1:18" ht="21" customHeight="1" x14ac:dyDescent="0.2">
      <c r="A6" s="597"/>
      <c r="B6" s="900" t="s">
        <v>971</v>
      </c>
      <c r="C6" s="594"/>
      <c r="D6" s="596"/>
      <c r="E6" s="596"/>
      <c r="F6" s="596"/>
      <c r="G6" s="596"/>
      <c r="H6" s="596"/>
      <c r="I6" s="596"/>
      <c r="J6" s="596"/>
      <c r="K6" s="596"/>
      <c r="L6" s="596"/>
      <c r="M6" s="596"/>
      <c r="N6" s="596"/>
      <c r="O6" s="596"/>
      <c r="P6" s="1498"/>
      <c r="Q6" s="10"/>
      <c r="R6" s="574">
        <f>+Q6-P6</f>
        <v>0</v>
      </c>
    </row>
    <row r="7" spans="1:18" ht="21" customHeight="1" x14ac:dyDescent="0.2">
      <c r="A7" s="597" t="s">
        <v>189</v>
      </c>
      <c r="B7" s="602" t="s">
        <v>52</v>
      </c>
      <c r="C7" s="603" t="s">
        <v>209</v>
      </c>
      <c r="D7" s="604">
        <v>256955726</v>
      </c>
      <c r="E7" s="604">
        <v>175277039</v>
      </c>
      <c r="F7" s="604">
        <v>219908292</v>
      </c>
      <c r="G7" s="604">
        <v>187675209</v>
      </c>
      <c r="H7" s="604">
        <v>300312171</v>
      </c>
      <c r="I7" s="604">
        <v>196779096</v>
      </c>
      <c r="J7" s="604">
        <v>184627321</v>
      </c>
      <c r="K7" s="604">
        <v>180702389</v>
      </c>
      <c r="L7" s="604">
        <v>182719416</v>
      </c>
      <c r="M7" s="604">
        <v>182049289</v>
      </c>
      <c r="N7" s="604">
        <v>364243051</v>
      </c>
      <c r="O7" s="604">
        <v>138279272</v>
      </c>
      <c r="P7" s="605">
        <f>SUM(D7:O7)</f>
        <v>2569528271</v>
      </c>
      <c r="Q7" s="606"/>
      <c r="R7" s="574"/>
    </row>
    <row r="8" spans="1:18" ht="27" customHeight="1" x14ac:dyDescent="0.2">
      <c r="A8" s="597" t="s">
        <v>190</v>
      </c>
      <c r="B8" s="602" t="s">
        <v>220</v>
      </c>
      <c r="C8" s="603" t="s">
        <v>210</v>
      </c>
      <c r="D8" s="604"/>
      <c r="E8" s="604">
        <v>0</v>
      </c>
      <c r="F8" s="604">
        <v>314960630</v>
      </c>
      <c r="G8" s="604">
        <v>0</v>
      </c>
      <c r="H8" s="604"/>
      <c r="I8" s="604"/>
      <c r="J8" s="604"/>
      <c r="K8" s="604"/>
      <c r="L8" s="604"/>
      <c r="M8" s="604"/>
      <c r="N8" s="604"/>
      <c r="O8" s="604">
        <v>54720000</v>
      </c>
      <c r="P8" s="605">
        <f t="shared" ref="P8:P15" si="0">SUM(D8:O8)</f>
        <v>369680630</v>
      </c>
      <c r="Q8" s="606"/>
      <c r="R8" s="574"/>
    </row>
    <row r="9" spans="1:18" ht="21" customHeight="1" x14ac:dyDescent="0.2">
      <c r="A9" s="597" t="s">
        <v>191</v>
      </c>
      <c r="B9" s="602" t="s">
        <v>219</v>
      </c>
      <c r="C9" s="603" t="s">
        <v>211</v>
      </c>
      <c r="D9" s="604">
        <v>80000</v>
      </c>
      <c r="E9" s="604">
        <v>440000</v>
      </c>
      <c r="F9" s="604">
        <v>1893835307</v>
      </c>
      <c r="G9" s="604">
        <v>200400000</v>
      </c>
      <c r="H9" s="604">
        <v>650740000</v>
      </c>
      <c r="I9" s="604">
        <v>443780902</v>
      </c>
      <c r="J9" s="604">
        <v>750000</v>
      </c>
      <c r="K9" s="604">
        <v>149030000</v>
      </c>
      <c r="L9" s="604">
        <v>2737620000</v>
      </c>
      <c r="M9" s="604">
        <v>135734000</v>
      </c>
      <c r="N9" s="604">
        <v>126336000</v>
      </c>
      <c r="O9" s="604">
        <v>270330156</v>
      </c>
      <c r="P9" s="605">
        <f t="shared" si="0"/>
        <v>6609076365</v>
      </c>
      <c r="Q9" s="606"/>
      <c r="R9" s="574"/>
    </row>
    <row r="10" spans="1:18" ht="21" customHeight="1" x14ac:dyDescent="0.2">
      <c r="A10" s="597" t="s">
        <v>192</v>
      </c>
      <c r="B10" s="602" t="s">
        <v>972</v>
      </c>
      <c r="C10" s="603" t="s">
        <v>212</v>
      </c>
      <c r="D10" s="604">
        <v>67389748</v>
      </c>
      <c r="E10" s="604">
        <v>73048083</v>
      </c>
      <c r="F10" s="604">
        <v>79630845</v>
      </c>
      <c r="G10" s="604">
        <v>235052164</v>
      </c>
      <c r="H10" s="604">
        <v>74832254</v>
      </c>
      <c r="I10" s="604">
        <v>116791328</v>
      </c>
      <c r="J10" s="604">
        <v>52705819</v>
      </c>
      <c r="K10" s="604">
        <v>184435714</v>
      </c>
      <c r="L10" s="604">
        <v>90895393</v>
      </c>
      <c r="M10" s="604">
        <v>65093270</v>
      </c>
      <c r="N10" s="604">
        <v>100501373</v>
      </c>
      <c r="O10" s="604">
        <v>108224799</v>
      </c>
      <c r="P10" s="605">
        <f t="shared" si="0"/>
        <v>1248600790</v>
      </c>
      <c r="Q10" s="606"/>
      <c r="R10" s="574"/>
    </row>
    <row r="11" spans="1:18" ht="21" customHeight="1" x14ac:dyDescent="0.2">
      <c r="A11" s="597" t="s">
        <v>193</v>
      </c>
      <c r="B11" s="602" t="s">
        <v>242</v>
      </c>
      <c r="C11" s="603" t="s">
        <v>213</v>
      </c>
      <c r="D11" s="604">
        <v>0</v>
      </c>
      <c r="E11" s="604"/>
      <c r="F11" s="604">
        <v>1268155</v>
      </c>
      <c r="G11" s="604">
        <v>100000</v>
      </c>
      <c r="H11" s="604">
        <v>0</v>
      </c>
      <c r="I11" s="604"/>
      <c r="J11" s="604"/>
      <c r="K11" s="604">
        <v>20000</v>
      </c>
      <c r="L11" s="604"/>
      <c r="M11" s="1716">
        <v>472441</v>
      </c>
      <c r="N11" s="604"/>
      <c r="O11" s="604"/>
      <c r="P11" s="605">
        <f t="shared" si="0"/>
        <v>1860596</v>
      </c>
      <c r="Q11" s="606"/>
      <c r="R11" s="574"/>
    </row>
    <row r="12" spans="1:18" ht="21" customHeight="1" x14ac:dyDescent="0.2">
      <c r="A12" s="597" t="s">
        <v>194</v>
      </c>
      <c r="B12" s="602" t="s">
        <v>237</v>
      </c>
      <c r="C12" s="603" t="s">
        <v>214</v>
      </c>
      <c r="D12" s="604">
        <v>0</v>
      </c>
      <c r="E12" s="604"/>
      <c r="F12" s="604">
        <v>0</v>
      </c>
      <c r="G12" s="604"/>
      <c r="H12" s="604"/>
      <c r="I12" s="604"/>
      <c r="J12" s="604"/>
      <c r="K12" s="604"/>
      <c r="L12" s="604">
        <v>2092993</v>
      </c>
      <c r="M12" s="604"/>
      <c r="N12" s="604"/>
      <c r="O12" s="604">
        <v>500000</v>
      </c>
      <c r="P12" s="605">
        <f t="shared" si="0"/>
        <v>2592993</v>
      </c>
      <c r="Q12" s="606"/>
      <c r="R12" s="574"/>
    </row>
    <row r="13" spans="1:18" ht="21" customHeight="1" x14ac:dyDescent="0.2">
      <c r="A13" s="597" t="s">
        <v>195</v>
      </c>
      <c r="B13" s="602" t="s">
        <v>238</v>
      </c>
      <c r="C13" s="603" t="s">
        <v>215</v>
      </c>
      <c r="D13" s="604">
        <v>739150</v>
      </c>
      <c r="E13" s="604">
        <v>739150</v>
      </c>
      <c r="F13" s="604">
        <v>1964150</v>
      </c>
      <c r="G13" s="604">
        <v>732900</v>
      </c>
      <c r="H13" s="604">
        <v>801500</v>
      </c>
      <c r="I13" s="604">
        <v>674600</v>
      </c>
      <c r="J13" s="604">
        <v>674600</v>
      </c>
      <c r="K13" s="604">
        <v>1706900</v>
      </c>
      <c r="L13" s="604">
        <v>711900</v>
      </c>
      <c r="M13" s="604">
        <v>743200</v>
      </c>
      <c r="N13" s="604">
        <v>1132921</v>
      </c>
      <c r="O13" s="604">
        <v>741200</v>
      </c>
      <c r="P13" s="605">
        <f t="shared" si="0"/>
        <v>11362171</v>
      </c>
      <c r="Q13" s="606"/>
      <c r="R13" s="574"/>
    </row>
    <row r="14" spans="1:18" ht="21" customHeight="1" x14ac:dyDescent="0.2">
      <c r="A14" s="597" t="s">
        <v>196</v>
      </c>
      <c r="B14" s="607" t="s">
        <v>239</v>
      </c>
      <c r="C14" s="608" t="s">
        <v>216</v>
      </c>
      <c r="D14" s="609">
        <f>SUM(D7:D13)</f>
        <v>325164624</v>
      </c>
      <c r="E14" s="609">
        <f t="shared" ref="E14:O14" si="1">SUM(E7:E13)</f>
        <v>249504272</v>
      </c>
      <c r="F14" s="609">
        <f t="shared" si="1"/>
        <v>2511567379</v>
      </c>
      <c r="G14" s="609">
        <f t="shared" si="1"/>
        <v>623960273</v>
      </c>
      <c r="H14" s="609">
        <f t="shared" si="1"/>
        <v>1026685925</v>
      </c>
      <c r="I14" s="609">
        <f t="shared" si="1"/>
        <v>758025926</v>
      </c>
      <c r="J14" s="609">
        <f t="shared" si="1"/>
        <v>238757740</v>
      </c>
      <c r="K14" s="609">
        <f t="shared" si="1"/>
        <v>515895003</v>
      </c>
      <c r="L14" s="609">
        <f t="shared" si="1"/>
        <v>3014039702</v>
      </c>
      <c r="M14" s="609">
        <f t="shared" si="1"/>
        <v>384092200</v>
      </c>
      <c r="N14" s="609">
        <f t="shared" si="1"/>
        <v>592213345</v>
      </c>
      <c r="O14" s="609">
        <f t="shared" si="1"/>
        <v>572795427</v>
      </c>
      <c r="P14" s="609">
        <f>SUM(P7:P13)</f>
        <v>10812701816</v>
      </c>
      <c r="Q14" s="606"/>
      <c r="R14" s="574"/>
    </row>
    <row r="15" spans="1:18" ht="28.5" customHeight="1" x14ac:dyDescent="0.2">
      <c r="A15" s="597" t="s">
        <v>197</v>
      </c>
      <c r="B15" s="610" t="s">
        <v>1214</v>
      </c>
      <c r="C15" s="611" t="s">
        <v>218</v>
      </c>
      <c r="D15" s="695">
        <f>3911429118-3700000000</f>
        <v>211429118</v>
      </c>
      <c r="E15" s="695">
        <f>3064730622-2790000000</f>
        <v>274730622</v>
      </c>
      <c r="F15" s="695">
        <f>3679014443-3250000000</f>
        <v>429014443</v>
      </c>
      <c r="G15" s="695">
        <f>4389239560-4100000000</f>
        <v>289239560</v>
      </c>
      <c r="H15" s="695">
        <f>8100135954-3650000000</f>
        <v>4450135954</v>
      </c>
      <c r="I15" s="695">
        <f>2967565725-2600000000</f>
        <v>367565725</v>
      </c>
      <c r="J15" s="695">
        <f>594010681-300000000</f>
        <v>294010681</v>
      </c>
      <c r="K15" s="695">
        <f>2995515531-2700000000</f>
        <v>295515531</v>
      </c>
      <c r="L15" s="695">
        <f>1287049706-1000000000</f>
        <v>287049706</v>
      </c>
      <c r="M15" s="695">
        <f>3524289235-3300000000</f>
        <v>224289235</v>
      </c>
      <c r="N15" s="695">
        <f>3132934622-2500000000</f>
        <v>632934622</v>
      </c>
      <c r="O15" s="695">
        <f>7762339245-7300000000</f>
        <v>462339245</v>
      </c>
      <c r="P15" s="605">
        <f t="shared" si="0"/>
        <v>8218254442</v>
      </c>
      <c r="Q15" s="606"/>
      <c r="R15" s="574"/>
    </row>
    <row r="16" spans="1:18" ht="27.75" customHeight="1" x14ac:dyDescent="0.2">
      <c r="A16" s="597" t="s">
        <v>198</v>
      </c>
      <c r="B16" s="612" t="s">
        <v>1215</v>
      </c>
      <c r="C16" s="613"/>
      <c r="D16" s="609">
        <f>+D14+D15</f>
        <v>536593742</v>
      </c>
      <c r="E16" s="609">
        <f t="shared" ref="E16:O16" si="2">+E14+E15</f>
        <v>524234894</v>
      </c>
      <c r="F16" s="609">
        <f t="shared" si="2"/>
        <v>2940581822</v>
      </c>
      <c r="G16" s="609">
        <f t="shared" si="2"/>
        <v>913199833</v>
      </c>
      <c r="H16" s="609">
        <f t="shared" si="2"/>
        <v>5476821879</v>
      </c>
      <c r="I16" s="609">
        <f t="shared" si="2"/>
        <v>1125591651</v>
      </c>
      <c r="J16" s="609">
        <f t="shared" si="2"/>
        <v>532768421</v>
      </c>
      <c r="K16" s="609">
        <f t="shared" si="2"/>
        <v>811410534</v>
      </c>
      <c r="L16" s="609">
        <f t="shared" si="2"/>
        <v>3301089408</v>
      </c>
      <c r="M16" s="609">
        <f t="shared" si="2"/>
        <v>608381435</v>
      </c>
      <c r="N16" s="609">
        <f t="shared" si="2"/>
        <v>1225147967</v>
      </c>
      <c r="O16" s="609">
        <f t="shared" si="2"/>
        <v>1035134672</v>
      </c>
      <c r="P16" s="609">
        <f>+P14+P15</f>
        <v>19030956258</v>
      </c>
      <c r="Q16" s="606"/>
      <c r="R16" s="574"/>
    </row>
    <row r="17" spans="1:18" ht="21" customHeight="1" x14ac:dyDescent="0.2">
      <c r="A17" s="597"/>
      <c r="B17" s="900" t="s">
        <v>252</v>
      </c>
      <c r="C17" s="594"/>
      <c r="D17" s="600"/>
      <c r="E17" s="600"/>
      <c r="F17" s="600"/>
      <c r="G17" s="600"/>
      <c r="H17" s="600"/>
      <c r="I17" s="600"/>
      <c r="J17" s="600"/>
      <c r="K17" s="600"/>
      <c r="L17" s="600"/>
      <c r="M17" s="600"/>
      <c r="N17" s="600"/>
      <c r="O17" s="600"/>
      <c r="P17" s="601"/>
      <c r="Q17" s="606"/>
      <c r="R17" s="574"/>
    </row>
    <row r="18" spans="1:18" ht="21" customHeight="1" x14ac:dyDescent="0.2">
      <c r="A18" s="597" t="s">
        <v>225</v>
      </c>
      <c r="B18" s="614" t="s">
        <v>1216</v>
      </c>
      <c r="C18" s="603" t="s">
        <v>199</v>
      </c>
      <c r="D18" s="604">
        <v>174571426</v>
      </c>
      <c r="E18" s="604">
        <v>169604702</v>
      </c>
      <c r="F18" s="604">
        <v>151398417</v>
      </c>
      <c r="G18" s="604">
        <v>260129229</v>
      </c>
      <c r="H18" s="604">
        <v>181597053</v>
      </c>
      <c r="I18" s="604">
        <v>255491113</v>
      </c>
      <c r="J18" s="604">
        <v>207670903</v>
      </c>
      <c r="K18" s="604">
        <v>186038203</v>
      </c>
      <c r="L18" s="604">
        <v>210514618</v>
      </c>
      <c r="M18" s="604">
        <v>198460714</v>
      </c>
      <c r="N18" s="604">
        <v>431115272</v>
      </c>
      <c r="O18" s="604">
        <v>216522074</v>
      </c>
      <c r="P18" s="605">
        <f>SUM(D18:O18)</f>
        <v>2643113724</v>
      </c>
      <c r="Q18" s="606"/>
      <c r="R18" s="574"/>
    </row>
    <row r="19" spans="1:18" ht="31.5" customHeight="1" x14ac:dyDescent="0.2">
      <c r="A19" s="597" t="s">
        <v>226</v>
      </c>
      <c r="B19" s="602" t="s">
        <v>200</v>
      </c>
      <c r="C19" s="603" t="s">
        <v>201</v>
      </c>
      <c r="D19" s="604">
        <v>31549123</v>
      </c>
      <c r="E19" s="604">
        <v>21735338</v>
      </c>
      <c r="F19" s="604">
        <v>21157528</v>
      </c>
      <c r="G19" s="604">
        <v>50189532</v>
      </c>
      <c r="H19" s="604">
        <v>22822877</v>
      </c>
      <c r="I19" s="604">
        <v>33391393</v>
      </c>
      <c r="J19" s="604">
        <v>36169604</v>
      </c>
      <c r="K19" s="604">
        <v>24295915</v>
      </c>
      <c r="L19" s="604">
        <v>29639422</v>
      </c>
      <c r="M19" s="604">
        <v>35939916</v>
      </c>
      <c r="N19" s="604">
        <v>55390994</v>
      </c>
      <c r="O19" s="604">
        <v>26219965</v>
      </c>
      <c r="P19" s="605">
        <f t="shared" ref="P19:P25" si="3">SUM(D19:O19)</f>
        <v>388501607</v>
      </c>
      <c r="Q19" s="606"/>
      <c r="R19" s="574"/>
    </row>
    <row r="20" spans="1:18" ht="21" customHeight="1" x14ac:dyDescent="0.2">
      <c r="A20" s="597" t="s">
        <v>227</v>
      </c>
      <c r="B20" s="602" t="s">
        <v>330</v>
      </c>
      <c r="C20" s="603" t="s">
        <v>202</v>
      </c>
      <c r="D20" s="604">
        <v>189004230</v>
      </c>
      <c r="E20" s="604">
        <v>243209469</v>
      </c>
      <c r="F20" s="604">
        <v>301725243</v>
      </c>
      <c r="G20" s="604">
        <v>260035884</v>
      </c>
      <c r="H20" s="604">
        <v>329049917</v>
      </c>
      <c r="I20" s="604">
        <v>316661573</v>
      </c>
      <c r="J20" s="604">
        <v>255721396</v>
      </c>
      <c r="K20" s="604">
        <v>316071361</v>
      </c>
      <c r="L20" s="604">
        <v>306176287</v>
      </c>
      <c r="M20" s="604">
        <v>278072901</v>
      </c>
      <c r="N20" s="604">
        <v>252444576</v>
      </c>
      <c r="O20" s="604">
        <v>319747539</v>
      </c>
      <c r="P20" s="605">
        <f t="shared" si="3"/>
        <v>3367920376</v>
      </c>
      <c r="Q20" s="606"/>
      <c r="R20" s="574"/>
    </row>
    <row r="21" spans="1:18" ht="21" customHeight="1" x14ac:dyDescent="0.2">
      <c r="A21" s="597" t="s">
        <v>228</v>
      </c>
      <c r="B21" s="615" t="s">
        <v>1217</v>
      </c>
      <c r="C21" s="603" t="s">
        <v>203</v>
      </c>
      <c r="D21" s="604">
        <v>2050395</v>
      </c>
      <c r="E21" s="604">
        <v>1502114</v>
      </c>
      <c r="F21" s="604">
        <v>1900923</v>
      </c>
      <c r="G21" s="604">
        <v>2772996</v>
      </c>
      <c r="H21" s="604">
        <v>2121483</v>
      </c>
      <c r="I21" s="604">
        <v>1740276</v>
      </c>
      <c r="J21" s="604">
        <v>1618311</v>
      </c>
      <c r="K21" s="604">
        <v>2352138</v>
      </c>
      <c r="L21" s="604">
        <v>2285180</v>
      </c>
      <c r="M21" s="604">
        <v>1901715</v>
      </c>
      <c r="N21" s="604">
        <v>2022924</v>
      </c>
      <c r="O21" s="604">
        <v>11182169</v>
      </c>
      <c r="P21" s="605">
        <f t="shared" si="3"/>
        <v>33450624</v>
      </c>
      <c r="Q21" s="606"/>
      <c r="R21" s="574"/>
    </row>
    <row r="22" spans="1:18" ht="21" customHeight="1" x14ac:dyDescent="0.2">
      <c r="A22" s="597" t="s">
        <v>229</v>
      </c>
      <c r="B22" s="615" t="s">
        <v>234</v>
      </c>
      <c r="C22" s="603" t="s">
        <v>204</v>
      </c>
      <c r="D22" s="604">
        <v>185421627</v>
      </c>
      <c r="E22" s="604">
        <v>111044018</v>
      </c>
      <c r="F22" s="604">
        <v>168534018</v>
      </c>
      <c r="G22" s="604">
        <v>112344018</v>
      </c>
      <c r="H22" s="604">
        <v>243231889</v>
      </c>
      <c r="I22" s="604">
        <v>192722015</v>
      </c>
      <c r="J22" s="604">
        <v>111541306</v>
      </c>
      <c r="K22" s="604">
        <v>119787858</v>
      </c>
      <c r="L22" s="604">
        <v>147123855</v>
      </c>
      <c r="M22" s="604">
        <v>124846260</v>
      </c>
      <c r="N22" s="604">
        <v>121391386</v>
      </c>
      <c r="O22" s="604">
        <v>114261456</v>
      </c>
      <c r="P22" s="605">
        <f t="shared" si="3"/>
        <v>1752249706</v>
      </c>
      <c r="Q22" s="606"/>
      <c r="R22" s="574"/>
    </row>
    <row r="23" spans="1:18" ht="21" customHeight="1" x14ac:dyDescent="0.2">
      <c r="A23" s="597" t="s">
        <v>230</v>
      </c>
      <c r="B23" s="602" t="s">
        <v>241</v>
      </c>
      <c r="C23" s="603" t="s">
        <v>205</v>
      </c>
      <c r="D23" s="604">
        <v>132352253</v>
      </c>
      <c r="E23" s="604">
        <v>13715194</v>
      </c>
      <c r="F23" s="604">
        <v>44220954</v>
      </c>
      <c r="G23" s="604">
        <v>34857754</v>
      </c>
      <c r="H23" s="604">
        <v>104727879</v>
      </c>
      <c r="I23" s="604">
        <v>180862440</v>
      </c>
      <c r="J23" s="604">
        <v>128637297</v>
      </c>
      <c r="K23" s="604">
        <v>480739535</v>
      </c>
      <c r="L23" s="616">
        <v>49632496</v>
      </c>
      <c r="M23" s="604">
        <v>26942358</v>
      </c>
      <c r="N23" s="604">
        <v>140764950</v>
      </c>
      <c r="O23" s="604">
        <v>233992292</v>
      </c>
      <c r="P23" s="605">
        <f t="shared" si="3"/>
        <v>1571445402</v>
      </c>
      <c r="Q23" s="606"/>
      <c r="R23" s="574"/>
    </row>
    <row r="24" spans="1:18" ht="21" customHeight="1" x14ac:dyDescent="0.2">
      <c r="A24" s="597" t="s">
        <v>231</v>
      </c>
      <c r="B24" s="615" t="s">
        <v>1218</v>
      </c>
      <c r="C24" s="603" t="s">
        <v>206</v>
      </c>
      <c r="D24" s="604">
        <v>0</v>
      </c>
      <c r="E24" s="604">
        <v>6068695</v>
      </c>
      <c r="F24" s="604">
        <v>0</v>
      </c>
      <c r="G24" s="604">
        <v>30014396</v>
      </c>
      <c r="H24" s="604">
        <v>317500</v>
      </c>
      <c r="I24" s="604">
        <v>3276476</v>
      </c>
      <c r="J24" s="604">
        <v>1524000</v>
      </c>
      <c r="K24" s="604">
        <v>19883624</v>
      </c>
      <c r="L24" s="604">
        <v>26835337</v>
      </c>
      <c r="M24" s="604">
        <v>139129962</v>
      </c>
      <c r="N24" s="604">
        <v>37175259</v>
      </c>
      <c r="O24" s="604">
        <v>69203434</v>
      </c>
      <c r="P24" s="605">
        <f t="shared" si="3"/>
        <v>333428683</v>
      </c>
      <c r="Q24" s="606"/>
      <c r="R24" s="574"/>
    </row>
    <row r="25" spans="1:18" ht="21" customHeight="1" x14ac:dyDescent="0.2">
      <c r="A25" s="597" t="s">
        <v>232</v>
      </c>
      <c r="B25" s="615" t="s">
        <v>235</v>
      </c>
      <c r="C25" s="603" t="s">
        <v>207</v>
      </c>
      <c r="D25" s="604">
        <v>0</v>
      </c>
      <c r="E25" s="604">
        <v>0</v>
      </c>
      <c r="F25" s="604">
        <v>6072000</v>
      </c>
      <c r="G25" s="604">
        <v>3000000</v>
      </c>
      <c r="H25" s="604">
        <v>58680</v>
      </c>
      <c r="I25" s="604">
        <v>9229200</v>
      </c>
      <c r="J25" s="604">
        <v>104400</v>
      </c>
      <c r="K25" s="604">
        <v>5039600</v>
      </c>
      <c r="L25" s="604">
        <v>3000000</v>
      </c>
      <c r="M25" s="604">
        <v>3863238</v>
      </c>
      <c r="N25" s="604">
        <v>454520</v>
      </c>
      <c r="O25" s="604">
        <v>306717</v>
      </c>
      <c r="P25" s="605">
        <f t="shared" si="3"/>
        <v>31128355</v>
      </c>
      <c r="Q25" s="606"/>
      <c r="R25" s="574"/>
    </row>
    <row r="26" spans="1:18" ht="21" customHeight="1" x14ac:dyDescent="0.2">
      <c r="A26" s="597" t="s">
        <v>233</v>
      </c>
      <c r="B26" s="607" t="s">
        <v>1219</v>
      </c>
      <c r="C26" s="608" t="s">
        <v>208</v>
      </c>
      <c r="D26" s="609">
        <f>SUM(D18:D25)</f>
        <v>714949054</v>
      </c>
      <c r="E26" s="609">
        <f t="shared" ref="E26:O26" si="4">SUM(E18:E25)</f>
        <v>566879530</v>
      </c>
      <c r="F26" s="609">
        <f t="shared" si="4"/>
        <v>695009083</v>
      </c>
      <c r="G26" s="609">
        <f t="shared" si="4"/>
        <v>753343809</v>
      </c>
      <c r="H26" s="609">
        <f t="shared" si="4"/>
        <v>883927278</v>
      </c>
      <c r="I26" s="609">
        <f t="shared" si="4"/>
        <v>993374486</v>
      </c>
      <c r="J26" s="609">
        <f t="shared" si="4"/>
        <v>742987217</v>
      </c>
      <c r="K26" s="609">
        <f t="shared" si="4"/>
        <v>1154208234</v>
      </c>
      <c r="L26" s="609">
        <f t="shared" si="4"/>
        <v>775207195</v>
      </c>
      <c r="M26" s="609">
        <f t="shared" si="4"/>
        <v>809157064</v>
      </c>
      <c r="N26" s="609">
        <f t="shared" si="4"/>
        <v>1040759881</v>
      </c>
      <c r="O26" s="609">
        <f t="shared" si="4"/>
        <v>991435646</v>
      </c>
      <c r="P26" s="609">
        <f>SUM(P18:P25)</f>
        <v>10121238477</v>
      </c>
      <c r="Q26" s="606"/>
      <c r="R26" s="574"/>
    </row>
    <row r="27" spans="1:18" ht="19.5" customHeight="1" x14ac:dyDescent="0.2">
      <c r="A27" s="597" t="s">
        <v>260</v>
      </c>
      <c r="B27" s="610" t="s">
        <v>1220</v>
      </c>
      <c r="C27" s="611" t="s">
        <v>217</v>
      </c>
      <c r="D27" s="604">
        <f>6502036518-6290000000</f>
        <v>212036518</v>
      </c>
      <c r="E27" s="604">
        <f>2657000000-2450000000</f>
        <v>207000000</v>
      </c>
      <c r="F27" s="604">
        <f>5375219839-4800000000</f>
        <v>575219839</v>
      </c>
      <c r="G27" s="604">
        <f>4339239560-4050000000</f>
        <v>289239560</v>
      </c>
      <c r="H27" s="604">
        <f>3154699362-2800000000</f>
        <v>354699362</v>
      </c>
      <c r="I27" s="604">
        <f>3374611381-3000000000</f>
        <v>374611381</v>
      </c>
      <c r="J27" s="604">
        <v>294010681</v>
      </c>
      <c r="K27" s="604">
        <f>1995515531-1700000000</f>
        <v>295515531</v>
      </c>
      <c r="L27" s="604">
        <f>4190565464-3900000000</f>
        <v>290565464</v>
      </c>
      <c r="M27" s="604">
        <f>2727819133-2500000000</f>
        <v>227819133</v>
      </c>
      <c r="N27" s="604">
        <f>2532934622-1900000000</f>
        <v>632934622</v>
      </c>
      <c r="O27" s="604">
        <f>4192300872-3800000000</f>
        <v>392300872</v>
      </c>
      <c r="P27" s="609">
        <f>SUM(D27:O27)</f>
        <v>4145952963</v>
      </c>
      <c r="Q27" s="606"/>
      <c r="R27" s="574"/>
    </row>
    <row r="28" spans="1:18" ht="27" customHeight="1" x14ac:dyDescent="0.2">
      <c r="A28" s="597" t="s">
        <v>261</v>
      </c>
      <c r="B28" s="612" t="s">
        <v>1221</v>
      </c>
      <c r="C28" s="613"/>
      <c r="D28" s="609">
        <f>+D26+D27</f>
        <v>926985572</v>
      </c>
      <c r="E28" s="609">
        <f t="shared" ref="E28:O28" si="5">+E26+E27</f>
        <v>773879530</v>
      </c>
      <c r="F28" s="609">
        <f t="shared" si="5"/>
        <v>1270228922</v>
      </c>
      <c r="G28" s="609">
        <f t="shared" si="5"/>
        <v>1042583369</v>
      </c>
      <c r="H28" s="609">
        <f t="shared" si="5"/>
        <v>1238626640</v>
      </c>
      <c r="I28" s="609">
        <f t="shared" si="5"/>
        <v>1367985867</v>
      </c>
      <c r="J28" s="609">
        <f t="shared" si="5"/>
        <v>1036997898</v>
      </c>
      <c r="K28" s="609">
        <f t="shared" si="5"/>
        <v>1449723765</v>
      </c>
      <c r="L28" s="609">
        <f t="shared" si="5"/>
        <v>1065772659</v>
      </c>
      <c r="M28" s="609">
        <f t="shared" si="5"/>
        <v>1036976197</v>
      </c>
      <c r="N28" s="609">
        <f t="shared" si="5"/>
        <v>1673694503</v>
      </c>
      <c r="O28" s="609">
        <f t="shared" si="5"/>
        <v>1383736518</v>
      </c>
      <c r="P28" s="609">
        <f>P26+P27</f>
        <v>14267191440</v>
      </c>
      <c r="Q28" s="606"/>
      <c r="R28" s="574"/>
    </row>
    <row r="29" spans="1:18" ht="31.5" customHeight="1" x14ac:dyDescent="0.2">
      <c r="A29" s="597" t="s">
        <v>262</v>
      </c>
      <c r="B29" s="612" t="s">
        <v>1222</v>
      </c>
      <c r="C29" s="613"/>
      <c r="D29" s="609">
        <f>+D16-D28</f>
        <v>-390391830</v>
      </c>
      <c r="E29" s="609">
        <f t="shared" ref="E29:O29" si="6">+E16-E28</f>
        <v>-249644636</v>
      </c>
      <c r="F29" s="609">
        <f t="shared" si="6"/>
        <v>1670352900</v>
      </c>
      <c r="G29" s="609">
        <f t="shared" si="6"/>
        <v>-129383536</v>
      </c>
      <c r="H29" s="609">
        <f t="shared" si="6"/>
        <v>4238195239</v>
      </c>
      <c r="I29" s="609">
        <f t="shared" si="6"/>
        <v>-242394216</v>
      </c>
      <c r="J29" s="609">
        <f t="shared" si="6"/>
        <v>-504229477</v>
      </c>
      <c r="K29" s="609">
        <f t="shared" si="6"/>
        <v>-638313231</v>
      </c>
      <c r="L29" s="609">
        <f t="shared" si="6"/>
        <v>2235316749</v>
      </c>
      <c r="M29" s="609">
        <f t="shared" si="6"/>
        <v>-428594762</v>
      </c>
      <c r="N29" s="609">
        <f t="shared" si="6"/>
        <v>-448546536</v>
      </c>
      <c r="O29" s="609">
        <f t="shared" si="6"/>
        <v>-348601846</v>
      </c>
      <c r="P29" s="609" t="s">
        <v>616</v>
      </c>
      <c r="Q29" s="606"/>
    </row>
  </sheetData>
  <mergeCells count="16">
    <mergeCell ref="P3:P5"/>
    <mergeCell ref="A1:P1"/>
    <mergeCell ref="A3:B5"/>
    <mergeCell ref="C3:C5"/>
    <mergeCell ref="D3:D5"/>
    <mergeCell ref="E3:E5"/>
    <mergeCell ref="F3:F5"/>
    <mergeCell ref="G3:G5"/>
    <mergeCell ref="H3:H5"/>
    <mergeCell ref="I3:I5"/>
    <mergeCell ref="J3:J5"/>
    <mergeCell ref="K3:K5"/>
    <mergeCell ref="L3:L5"/>
    <mergeCell ref="M3:M5"/>
    <mergeCell ref="N3:N5"/>
    <mergeCell ref="O3:O5"/>
  </mergeCells>
  <printOptions horizontalCentered="1" verticalCentered="1"/>
  <pageMargins left="0.31496062992125984" right="0.31496062992125984" top="0.35433070866141736" bottom="0.35433070866141736" header="0.31496062992125984" footer="0.31496062992125984"/>
  <pageSetup paperSize="9" scale="58" orientation="landscape" r:id="rId1"/>
  <headerFooter>
    <oddHeader>&amp;C2023. évi költségvetés
&amp;R&amp;A</oddHeader>
    <oddFooter>&amp;C&amp;P/&amp;N</oddFooter>
  </headerFooter>
  <colBreaks count="1" manualBreakCount="1">
    <brk id="16"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K38"/>
  <sheetViews>
    <sheetView view="pageBreakPreview" zoomScaleNormal="100" zoomScaleSheetLayoutView="100" workbookViewId="0">
      <selection activeCell="F28" sqref="F28"/>
    </sheetView>
  </sheetViews>
  <sheetFormatPr defaultRowHeight="12.75" x14ac:dyDescent="0.2"/>
  <cols>
    <col min="1" max="1" width="31.42578125" bestFit="1" customWidth="1"/>
    <col min="2" max="2" width="11.5703125" customWidth="1"/>
    <col min="3" max="3" width="10" bestFit="1" customWidth="1"/>
    <col min="4" max="4" width="9.5703125" bestFit="1" customWidth="1"/>
    <col min="5" max="5" width="11" customWidth="1"/>
    <col min="6" max="6" width="11.5703125" bestFit="1" customWidth="1"/>
    <col min="7" max="8" width="11.140625" bestFit="1" customWidth="1"/>
    <col min="10" max="11" width="18.28515625" customWidth="1"/>
  </cols>
  <sheetData>
    <row r="1" spans="1:11" x14ac:dyDescent="0.2">
      <c r="A1" s="2047" t="s">
        <v>1225</v>
      </c>
      <c r="B1" s="2047"/>
      <c r="C1" s="2047"/>
      <c r="D1" s="2047"/>
      <c r="E1" s="2047"/>
    </row>
    <row r="2" spans="1:11" x14ac:dyDescent="0.2">
      <c r="A2" s="621"/>
      <c r="B2" s="621"/>
      <c r="C2" s="10"/>
      <c r="D2" s="10"/>
      <c r="E2" s="10"/>
    </row>
    <row r="3" spans="1:11" ht="48" customHeight="1" x14ac:dyDescent="0.25">
      <c r="A3" s="917" t="s">
        <v>1226</v>
      </c>
      <c r="B3" s="2048" t="s">
        <v>1543</v>
      </c>
      <c r="C3" s="2048"/>
      <c r="D3" s="2048"/>
      <c r="E3" s="2048"/>
    </row>
    <row r="4" spans="1:11" ht="13.5" thickBot="1" x14ac:dyDescent="0.25">
      <c r="A4" s="621"/>
      <c r="B4" s="624"/>
      <c r="C4" s="10"/>
      <c r="D4" s="10"/>
      <c r="E4" s="10"/>
    </row>
    <row r="5" spans="1:11" ht="17.25" customHeight="1" thickBot="1" x14ac:dyDescent="0.25">
      <c r="A5" s="625" t="s">
        <v>1227</v>
      </c>
      <c r="B5" s="626" t="s">
        <v>1542</v>
      </c>
      <c r="C5" s="627" t="s">
        <v>1059</v>
      </c>
      <c r="D5" s="628" t="s">
        <v>1552</v>
      </c>
      <c r="E5" s="629" t="s">
        <v>119</v>
      </c>
    </row>
    <row r="6" spans="1:11" ht="17.25" customHeight="1" x14ac:dyDescent="0.2">
      <c r="A6" s="630" t="s">
        <v>1228</v>
      </c>
      <c r="B6" s="632">
        <v>812800</v>
      </c>
      <c r="C6" s="632">
        <f>+C19-C8</f>
        <v>0</v>
      </c>
      <c r="D6" s="633">
        <f>+D19-D8</f>
        <v>10659947</v>
      </c>
      <c r="E6" s="634">
        <f>SUM(B6:D6)</f>
        <v>11472747</v>
      </c>
      <c r="J6" t="s">
        <v>3487</v>
      </c>
      <c r="K6" s="590">
        <v>49565206</v>
      </c>
    </row>
    <row r="7" spans="1:11" ht="17.25" customHeight="1" x14ac:dyDescent="0.2">
      <c r="A7" s="635" t="s">
        <v>1229</v>
      </c>
      <c r="B7" s="636"/>
      <c r="C7" s="637"/>
      <c r="D7" s="638"/>
      <c r="E7" s="639">
        <f t="shared" ref="E7:E12" si="0">SUM(B7:D7)</f>
        <v>0</v>
      </c>
      <c r="J7" t="s">
        <v>3488</v>
      </c>
      <c r="K7" s="590">
        <v>31439936</v>
      </c>
    </row>
    <row r="8" spans="1:11" ht="17.25" customHeight="1" x14ac:dyDescent="0.2">
      <c r="A8" s="640" t="s">
        <v>1230</v>
      </c>
      <c r="B8" s="641">
        <f>+B19-B6</f>
        <v>14589044</v>
      </c>
      <c r="C8" s="642">
        <v>3536226</v>
      </c>
      <c r="D8" s="643">
        <f>49565206-B8-C8</f>
        <v>31439936</v>
      </c>
      <c r="E8" s="639">
        <f t="shared" si="0"/>
        <v>49565206</v>
      </c>
      <c r="F8">
        <v>192217756</v>
      </c>
      <c r="G8" s="574">
        <f>+F8-E8</f>
        <v>142652550</v>
      </c>
      <c r="J8" t="s">
        <v>3489</v>
      </c>
      <c r="K8" s="590">
        <f>+K6-K7</f>
        <v>18125270</v>
      </c>
    </row>
    <row r="9" spans="1:11" ht="17.25" customHeight="1" x14ac:dyDescent="0.2">
      <c r="A9" s="640" t="s">
        <v>1231</v>
      </c>
      <c r="B9" s="641"/>
      <c r="C9" s="642"/>
      <c r="D9" s="643"/>
      <c r="E9" s="639">
        <f t="shared" si="0"/>
        <v>0</v>
      </c>
      <c r="J9" t="s">
        <v>3490</v>
      </c>
      <c r="K9" s="590">
        <v>177504079</v>
      </c>
    </row>
    <row r="10" spans="1:11" ht="17.25" customHeight="1" x14ac:dyDescent="0.2">
      <c r="A10" s="640" t="s">
        <v>1232</v>
      </c>
      <c r="B10" s="641"/>
      <c r="C10" s="642"/>
      <c r="D10" s="643"/>
      <c r="E10" s="639">
        <f t="shared" si="0"/>
        <v>0</v>
      </c>
      <c r="J10" t="s">
        <v>3491</v>
      </c>
      <c r="K10" s="590">
        <f>+K9-K7</f>
        <v>146064143</v>
      </c>
    </row>
    <row r="11" spans="1:11" ht="17.25" customHeight="1" thickBot="1" x14ac:dyDescent="0.25">
      <c r="A11" s="640" t="s">
        <v>1233</v>
      </c>
      <c r="B11" s="641"/>
      <c r="C11" s="642"/>
      <c r="D11" s="643"/>
      <c r="E11" s="680">
        <f t="shared" si="0"/>
        <v>0</v>
      </c>
      <c r="K11" s="590"/>
    </row>
    <row r="12" spans="1:11" ht="17.25" customHeight="1" thickBot="1" x14ac:dyDescent="0.25">
      <c r="A12" s="644" t="s">
        <v>1234</v>
      </c>
      <c r="B12" s="645">
        <f>SUM(B6:B11)</f>
        <v>15401844</v>
      </c>
      <c r="C12" s="646">
        <f>SUM(C6:C11)</f>
        <v>3536226</v>
      </c>
      <c r="D12" s="646">
        <f>SUM(D6:D11)</f>
        <v>42099883</v>
      </c>
      <c r="E12" s="681">
        <f t="shared" si="0"/>
        <v>61037953</v>
      </c>
      <c r="K12" s="590"/>
    </row>
    <row r="13" spans="1:11" ht="17.25" customHeight="1" thickBot="1" x14ac:dyDescent="0.25">
      <c r="A13" s="648"/>
      <c r="B13" s="649"/>
      <c r="C13" s="10"/>
      <c r="D13" s="10"/>
      <c r="E13" s="10"/>
      <c r="K13" s="590"/>
    </row>
    <row r="14" spans="1:11" ht="17.25" customHeight="1" thickBot="1" x14ac:dyDescent="0.25">
      <c r="A14" s="625" t="s">
        <v>1235</v>
      </c>
      <c r="B14" s="626" t="s">
        <v>1542</v>
      </c>
      <c r="C14" s="627" t="s">
        <v>1059</v>
      </c>
      <c r="D14" s="628" t="s">
        <v>1552</v>
      </c>
      <c r="E14" s="629" t="s">
        <v>119</v>
      </c>
      <c r="K14" s="590"/>
    </row>
    <row r="15" spans="1:11" ht="17.25" customHeight="1" x14ac:dyDescent="0.2">
      <c r="A15" s="630" t="s">
        <v>1236</v>
      </c>
      <c r="B15" s="632">
        <f>434820+50874</f>
        <v>485694</v>
      </c>
      <c r="C15" s="632">
        <f>1739280+203496</f>
        <v>1942776</v>
      </c>
      <c r="D15" s="633"/>
      <c r="E15" s="634">
        <f>SUM(B15:D15)</f>
        <v>2428470</v>
      </c>
      <c r="K15" s="590"/>
    </row>
    <row r="16" spans="1:11" ht="17.25" customHeight="1" x14ac:dyDescent="0.2">
      <c r="A16" s="650" t="s">
        <v>1237</v>
      </c>
      <c r="B16" s="652">
        <v>7499350</v>
      </c>
      <c r="C16" s="652">
        <v>1041000</v>
      </c>
      <c r="D16" s="653"/>
      <c r="E16" s="639">
        <f>SUM(B16:D16)</f>
        <v>8540350</v>
      </c>
      <c r="K16" s="590"/>
    </row>
    <row r="17" spans="1:11" ht="17.25" customHeight="1" x14ac:dyDescent="0.2">
      <c r="A17" s="654" t="s">
        <v>1238</v>
      </c>
      <c r="B17" s="642">
        <f>812800+6604000</f>
        <v>7416800</v>
      </c>
      <c r="C17" s="642">
        <v>552450</v>
      </c>
      <c r="D17" s="653">
        <f>+'4.sz.tájék.táb. Többéves '!F14</f>
        <v>42099883</v>
      </c>
      <c r="E17" s="639">
        <f>SUM(B17:D17)</f>
        <v>50069133</v>
      </c>
      <c r="K17" s="590"/>
    </row>
    <row r="18" spans="1:11" ht="17.25" customHeight="1" thickBot="1" x14ac:dyDescent="0.25">
      <c r="A18" s="640" t="s">
        <v>1239</v>
      </c>
      <c r="B18" s="642"/>
      <c r="C18" s="642"/>
      <c r="D18" s="643"/>
      <c r="E18" s="680">
        <f>SUM(B18:D18)</f>
        <v>0</v>
      </c>
      <c r="H18">
        <v>62550811</v>
      </c>
      <c r="K18" s="590"/>
    </row>
    <row r="19" spans="1:11" ht="17.25" customHeight="1" thickBot="1" x14ac:dyDescent="0.25">
      <c r="A19" s="644" t="s">
        <v>698</v>
      </c>
      <c r="B19" s="645">
        <f>SUM(B15:B18)</f>
        <v>15401844</v>
      </c>
      <c r="C19" s="645">
        <f>SUM(C15:C18)</f>
        <v>3536226</v>
      </c>
      <c r="D19" s="645">
        <f>SUM(D15:D18)</f>
        <v>42099883</v>
      </c>
      <c r="E19" s="681">
        <f>SUM(B19:D19)</f>
        <v>61037953</v>
      </c>
      <c r="F19" s="656"/>
      <c r="H19" s="574">
        <f>+H18-F19</f>
        <v>62550811</v>
      </c>
      <c r="K19" s="590"/>
    </row>
    <row r="20" spans="1:11" x14ac:dyDescent="0.2">
      <c r="A20" s="621"/>
      <c r="B20" s="623"/>
      <c r="C20" s="305"/>
      <c r="D20" s="305"/>
      <c r="E20" s="305"/>
      <c r="F20" s="348"/>
      <c r="G20" s="574"/>
      <c r="H20" s="574">
        <f>+H19-430050</f>
        <v>62120761</v>
      </c>
      <c r="K20" s="590"/>
    </row>
    <row r="21" spans="1:11" x14ac:dyDescent="0.2">
      <c r="A21" s="621"/>
      <c r="B21" s="623"/>
      <c r="C21" s="10"/>
      <c r="D21" s="10"/>
      <c r="E21" s="10"/>
      <c r="K21" s="590"/>
    </row>
    <row r="22" spans="1:11" ht="51" customHeight="1" x14ac:dyDescent="0.25">
      <c r="A22" s="917" t="s">
        <v>1226</v>
      </c>
      <c r="B22" s="2048" t="s">
        <v>1551</v>
      </c>
      <c r="C22" s="2048"/>
      <c r="D22" s="2048"/>
      <c r="E22" s="2048"/>
      <c r="K22" s="590"/>
    </row>
    <row r="23" spans="1:11" ht="13.5" thickBot="1" x14ac:dyDescent="0.25">
      <c r="A23" s="621"/>
      <c r="B23" s="624"/>
      <c r="C23" s="10"/>
      <c r="D23" s="10"/>
      <c r="E23" s="10"/>
      <c r="K23" s="590"/>
    </row>
    <row r="24" spans="1:11" ht="13.5" thickBot="1" x14ac:dyDescent="0.25">
      <c r="A24" s="625" t="s">
        <v>1227</v>
      </c>
      <c r="B24" s="626" t="s">
        <v>1542</v>
      </c>
      <c r="C24" s="627" t="s">
        <v>1059</v>
      </c>
      <c r="D24" s="628" t="s">
        <v>1552</v>
      </c>
      <c r="E24" s="629" t="s">
        <v>119</v>
      </c>
      <c r="K24" s="590"/>
    </row>
    <row r="25" spans="1:11" x14ac:dyDescent="0.2">
      <c r="A25" s="630" t="s">
        <v>1228</v>
      </c>
      <c r="B25" s="2240">
        <v>5768409.0500000007</v>
      </c>
      <c r="C25" s="632"/>
      <c r="D25" s="633">
        <f>+D38-D27</f>
        <v>85303461</v>
      </c>
      <c r="E25" s="634">
        <f>SUM(B25:D25)</f>
        <v>91071870.049999997</v>
      </c>
      <c r="J25" t="s">
        <v>3487</v>
      </c>
      <c r="K25" s="590">
        <v>314960630</v>
      </c>
    </row>
    <row r="26" spans="1:11" x14ac:dyDescent="0.2">
      <c r="A26" s="635" t="s">
        <v>1229</v>
      </c>
      <c r="B26" s="636"/>
      <c r="C26" s="637"/>
      <c r="D26" s="638"/>
      <c r="E26" s="639">
        <f t="shared" ref="E26:E31" si="1">SUM(B26:D26)</f>
        <v>0</v>
      </c>
      <c r="J26" t="s">
        <v>3488</v>
      </c>
      <c r="K26" s="590">
        <v>296089115</v>
      </c>
    </row>
    <row r="27" spans="1:11" x14ac:dyDescent="0.2">
      <c r="A27" s="640" t="s">
        <v>1230</v>
      </c>
      <c r="B27" s="641">
        <f>+B38-B25</f>
        <v>264090.94999999925</v>
      </c>
      <c r="C27" s="642">
        <f>+K25-B27-D27</f>
        <v>18607424.050000012</v>
      </c>
      <c r="D27" s="643">
        <f>314960630-18871515</f>
        <v>296089115</v>
      </c>
      <c r="E27" s="639">
        <f t="shared" si="1"/>
        <v>314960630</v>
      </c>
      <c r="J27" t="s">
        <v>3489</v>
      </c>
      <c r="K27" s="590">
        <f>+K25-K26</f>
        <v>18871515</v>
      </c>
    </row>
    <row r="28" spans="1:11" x14ac:dyDescent="0.2">
      <c r="A28" s="640" t="s">
        <v>1231</v>
      </c>
      <c r="B28" s="641"/>
      <c r="C28" s="642"/>
      <c r="D28" s="643"/>
      <c r="E28" s="639">
        <f t="shared" si="1"/>
        <v>0</v>
      </c>
      <c r="J28" t="s">
        <v>3490</v>
      </c>
      <c r="K28" s="590">
        <v>402347576</v>
      </c>
    </row>
    <row r="29" spans="1:11" x14ac:dyDescent="0.2">
      <c r="A29" s="640" t="s">
        <v>1232</v>
      </c>
      <c r="B29" s="641"/>
      <c r="C29" s="642"/>
      <c r="D29" s="643"/>
      <c r="E29" s="639">
        <f t="shared" si="1"/>
        <v>0</v>
      </c>
      <c r="J29" t="s">
        <v>3491</v>
      </c>
      <c r="K29" s="590">
        <f>+K28-K26</f>
        <v>106258461</v>
      </c>
    </row>
    <row r="30" spans="1:11" ht="13.5" thickBot="1" x14ac:dyDescent="0.25">
      <c r="A30" s="640" t="s">
        <v>1233</v>
      </c>
      <c r="B30" s="641"/>
      <c r="C30" s="642"/>
      <c r="D30" s="643"/>
      <c r="E30" s="680">
        <f t="shared" si="1"/>
        <v>0</v>
      </c>
      <c r="K30" s="590"/>
    </row>
    <row r="31" spans="1:11" ht="13.5" thickBot="1" x14ac:dyDescent="0.25">
      <c r="A31" s="644" t="s">
        <v>1234</v>
      </c>
      <c r="B31" s="645">
        <f>SUM(B25:B30)</f>
        <v>6032500</v>
      </c>
      <c r="C31" s="646">
        <f>SUM(C25:C30)</f>
        <v>18607424.050000012</v>
      </c>
      <c r="D31" s="2242">
        <f>SUM(D25:D30)</f>
        <v>381392576</v>
      </c>
      <c r="E31" s="681">
        <f t="shared" si="1"/>
        <v>406032500.05000001</v>
      </c>
    </row>
    <row r="32" spans="1:11" ht="13.5" thickBot="1" x14ac:dyDescent="0.25">
      <c r="A32" s="955"/>
      <c r="B32" s="649"/>
      <c r="C32" s="10"/>
      <c r="D32" s="10"/>
      <c r="E32" s="956"/>
    </row>
    <row r="33" spans="1:5" ht="13.5" thickBot="1" x14ac:dyDescent="0.25">
      <c r="A33" s="625" t="s">
        <v>1235</v>
      </c>
      <c r="B33" s="626" t="s">
        <v>1542</v>
      </c>
      <c r="C33" s="627" t="s">
        <v>1059</v>
      </c>
      <c r="D33" s="628" t="s">
        <v>1552</v>
      </c>
      <c r="E33" s="629" t="s">
        <v>119</v>
      </c>
    </row>
    <row r="34" spans="1:5" x14ac:dyDescent="0.2">
      <c r="A34" s="630" t="s">
        <v>1236</v>
      </c>
      <c r="B34" s="632"/>
      <c r="C34" s="632"/>
      <c r="D34" s="633"/>
      <c r="E34" s="634">
        <f>SUM(B34:D34)</f>
        <v>0</v>
      </c>
    </row>
    <row r="35" spans="1:5" x14ac:dyDescent="0.2">
      <c r="A35" s="650" t="s">
        <v>1237</v>
      </c>
      <c r="B35" s="652">
        <v>571500</v>
      </c>
      <c r="C35" s="652">
        <v>9428499</v>
      </c>
      <c r="D35" s="653">
        <f>45291000-C35</f>
        <v>35862501</v>
      </c>
      <c r="E35" s="639">
        <f>SUM(B35:D35)</f>
        <v>45862500</v>
      </c>
    </row>
    <row r="36" spans="1:5" x14ac:dyDescent="0.2">
      <c r="A36" s="654" t="s">
        <v>1238</v>
      </c>
      <c r="B36" s="642">
        <v>5461000</v>
      </c>
      <c r="C36" s="642">
        <v>9178925</v>
      </c>
      <c r="D36" s="653">
        <f>354709000-C36</f>
        <v>345530075</v>
      </c>
      <c r="E36" s="639">
        <f>SUM(B36:D36)</f>
        <v>360170000</v>
      </c>
    </row>
    <row r="37" spans="1:5" ht="13.5" thickBot="1" x14ac:dyDescent="0.25">
      <c r="A37" s="640" t="s">
        <v>1239</v>
      </c>
      <c r="B37" s="642"/>
      <c r="C37" s="642"/>
      <c r="D37" s="643"/>
      <c r="E37" s="680">
        <f>SUM(B37:D37)</f>
        <v>0</v>
      </c>
    </row>
    <row r="38" spans="1:5" ht="13.5" thickBot="1" x14ac:dyDescent="0.25">
      <c r="A38" s="644" t="s">
        <v>698</v>
      </c>
      <c r="B38" s="645">
        <f>SUM(B34:B37)</f>
        <v>6032500</v>
      </c>
      <c r="C38" s="645">
        <f>SUM(C34:C37)</f>
        <v>18607424</v>
      </c>
      <c r="D38" s="2241">
        <f>SUM(D34:D37)</f>
        <v>381392576</v>
      </c>
      <c r="E38" s="681">
        <f>SUM(B38:D38)</f>
        <v>406032500</v>
      </c>
    </row>
  </sheetData>
  <mergeCells count="3">
    <mergeCell ref="A1:E1"/>
    <mergeCell ref="B3:E3"/>
    <mergeCell ref="B22:E22"/>
  </mergeCells>
  <printOptions horizontalCentered="1"/>
  <pageMargins left="0.31496062992125984" right="0.31496062992125984" top="0.74803149606299213" bottom="0.74803149606299213" header="0.31496062992125984" footer="0.31496062992125984"/>
  <pageSetup paperSize="9" scale="93" orientation="portrait" r:id="rId1"/>
  <headerFooter>
    <oddHeader>&amp;C2023. évi költségvetés
&amp;R&amp;A</oddHeader>
    <oddFooter>&amp;C&amp;P/&amp;N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38"/>
  <sheetViews>
    <sheetView view="pageBreakPreview" zoomScaleNormal="100" zoomScaleSheetLayoutView="100" workbookViewId="0">
      <selection activeCell="D5" sqref="D5"/>
    </sheetView>
  </sheetViews>
  <sheetFormatPr defaultRowHeight="12.75" x14ac:dyDescent="0.2"/>
  <cols>
    <col min="1" max="1" width="5" customWidth="1"/>
    <col min="2" max="2" width="28.85546875" customWidth="1"/>
    <col min="3" max="3" width="26" customWidth="1"/>
    <col min="4" max="4" width="16.7109375" customWidth="1"/>
    <col min="5" max="6" width="16.5703125" customWidth="1"/>
    <col min="7" max="7" width="16.42578125" customWidth="1"/>
    <col min="10" max="10" width="9.5703125" bestFit="1" customWidth="1"/>
    <col min="11" max="11" width="10.140625" bestFit="1" customWidth="1"/>
  </cols>
  <sheetData>
    <row r="1" spans="1:7" ht="15.75" x14ac:dyDescent="0.25">
      <c r="A1" s="2049" t="s">
        <v>1240</v>
      </c>
      <c r="B1" s="2049"/>
      <c r="C1" s="2049"/>
      <c r="D1" s="2049"/>
      <c r="E1" s="2049"/>
      <c r="F1" s="2049"/>
      <c r="G1" s="2049"/>
    </row>
    <row r="2" spans="1:7" ht="13.5" thickBot="1" x14ac:dyDescent="0.25">
      <c r="A2" s="10"/>
      <c r="B2" s="10"/>
      <c r="C2" s="10"/>
      <c r="D2" s="10"/>
      <c r="E2" s="10"/>
      <c r="F2" s="10"/>
      <c r="G2" s="10"/>
    </row>
    <row r="3" spans="1:7" ht="25.5" x14ac:dyDescent="0.2">
      <c r="A3" s="657"/>
      <c r="B3" s="658" t="s">
        <v>1241</v>
      </c>
      <c r="C3" s="658" t="s">
        <v>1242</v>
      </c>
      <c r="D3" s="658" t="s">
        <v>1243</v>
      </c>
      <c r="E3" s="658" t="s">
        <v>1549</v>
      </c>
      <c r="F3" s="658" t="s">
        <v>3486</v>
      </c>
      <c r="G3" s="659" t="s">
        <v>1544</v>
      </c>
    </row>
    <row r="4" spans="1:7" ht="71.25" customHeight="1" x14ac:dyDescent="0.2">
      <c r="A4" s="660" t="s">
        <v>188</v>
      </c>
      <c r="B4" s="697" t="s">
        <v>1273</v>
      </c>
      <c r="C4" s="429" t="s">
        <v>1244</v>
      </c>
      <c r="D4" s="661">
        <f>480000000+54720000</f>
        <v>534720000</v>
      </c>
      <c r="E4" s="661">
        <v>480000000</v>
      </c>
      <c r="F4" s="2237">
        <v>54720000</v>
      </c>
      <c r="G4" s="662">
        <f>+D4-E4</f>
        <v>54720000</v>
      </c>
    </row>
    <row r="5" spans="1:7" ht="71.25" customHeight="1" x14ac:dyDescent="0.2">
      <c r="A5" s="660" t="s">
        <v>189</v>
      </c>
      <c r="B5" s="670" t="s">
        <v>1526</v>
      </c>
      <c r="C5" s="670" t="s">
        <v>1527</v>
      </c>
      <c r="D5" s="918">
        <v>6936946</v>
      </c>
      <c r="E5" s="918">
        <v>6936946</v>
      </c>
      <c r="F5" s="2238"/>
      <c r="G5" s="919">
        <f>+D5-E5</f>
        <v>0</v>
      </c>
    </row>
    <row r="6" spans="1:7" ht="71.25" customHeight="1" x14ac:dyDescent="0.2">
      <c r="A6" s="660" t="s">
        <v>190</v>
      </c>
      <c r="B6" s="670" t="s">
        <v>1528</v>
      </c>
      <c r="C6" s="670" t="s">
        <v>1529</v>
      </c>
      <c r="D6" s="918">
        <v>15000000</v>
      </c>
      <c r="E6" s="918">
        <v>15000000</v>
      </c>
      <c r="F6" s="2238"/>
      <c r="G6" s="919">
        <f>+D6-E6</f>
        <v>0</v>
      </c>
    </row>
    <row r="7" spans="1:7" ht="71.25" customHeight="1" x14ac:dyDescent="0.2">
      <c r="A7" s="660" t="s">
        <v>191</v>
      </c>
      <c r="B7" s="670" t="s">
        <v>1553</v>
      </c>
      <c r="C7" s="670" t="s">
        <v>1527</v>
      </c>
      <c r="D7" s="918">
        <v>373990120</v>
      </c>
      <c r="E7" s="918">
        <v>373990120</v>
      </c>
      <c r="F7" s="2238"/>
      <c r="G7" s="919">
        <f>+D7-E7</f>
        <v>0</v>
      </c>
    </row>
    <row r="8" spans="1:7" ht="71.25" customHeight="1" x14ac:dyDescent="0.2">
      <c r="A8" s="682" t="s">
        <v>192</v>
      </c>
      <c r="B8" s="670" t="s">
        <v>1550</v>
      </c>
      <c r="C8" s="670" t="s">
        <v>1527</v>
      </c>
      <c r="D8" s="920">
        <v>4690003</v>
      </c>
      <c r="E8" s="920">
        <v>4690003</v>
      </c>
      <c r="F8" s="2239"/>
      <c r="G8" s="921">
        <f>+D8-E8</f>
        <v>0</v>
      </c>
    </row>
    <row r="9" spans="1:7" ht="24" customHeight="1" thickBot="1" x14ac:dyDescent="0.25">
      <c r="A9" s="2050" t="s">
        <v>1184</v>
      </c>
      <c r="B9" s="2051"/>
      <c r="C9" s="2051"/>
      <c r="D9" s="686">
        <f>SUM(D4:D8)</f>
        <v>935337069</v>
      </c>
      <c r="E9" s="686">
        <f>SUM(E4:E8)</f>
        <v>880617069</v>
      </c>
      <c r="F9" s="686">
        <f>SUM(F4:F8)</f>
        <v>54720000</v>
      </c>
      <c r="G9" s="685">
        <f>SUM(G4:G8)</f>
        <v>54720000</v>
      </c>
    </row>
    <row r="10" spans="1:7" x14ac:dyDescent="0.2">
      <c r="A10" s="663"/>
      <c r="B10" s="664"/>
      <c r="C10" s="665"/>
      <c r="D10" s="666"/>
      <c r="E10" s="666"/>
      <c r="F10" s="666"/>
      <c r="G10" s="666"/>
    </row>
    <row r="11" spans="1:7" x14ac:dyDescent="0.2">
      <c r="A11" s="663"/>
      <c r="B11" s="664"/>
      <c r="C11" s="665"/>
      <c r="D11" s="666"/>
      <c r="E11" s="666"/>
      <c r="F11" s="666"/>
      <c r="G11" s="666"/>
    </row>
    <row r="12" spans="1:7" x14ac:dyDescent="0.2">
      <c r="A12" s="663"/>
      <c r="B12" s="664"/>
      <c r="C12" s="665"/>
      <c r="D12" s="666"/>
      <c r="E12" s="666"/>
      <c r="F12" s="666"/>
      <c r="G12" s="666"/>
    </row>
    <row r="13" spans="1:7" x14ac:dyDescent="0.2">
      <c r="A13" s="663"/>
      <c r="B13" s="664"/>
      <c r="C13" s="665"/>
      <c r="D13" s="666"/>
      <c r="E13" s="666"/>
      <c r="F13" s="666"/>
      <c r="G13" s="666"/>
    </row>
    <row r="14" spans="1:7" x14ac:dyDescent="0.2">
      <c r="A14" s="663"/>
      <c r="B14" s="664"/>
      <c r="C14" s="665"/>
      <c r="D14" s="666"/>
      <c r="E14" s="666"/>
      <c r="F14" s="666"/>
      <c r="G14" s="666"/>
    </row>
    <row r="15" spans="1:7" x14ac:dyDescent="0.2">
      <c r="A15" s="663"/>
      <c r="B15" s="664"/>
      <c r="C15" s="665"/>
      <c r="D15" s="666"/>
      <c r="E15" s="666"/>
      <c r="F15" s="666"/>
      <c r="G15" s="666"/>
    </row>
    <row r="16" spans="1:7" x14ac:dyDescent="0.2">
      <c r="A16" s="663"/>
      <c r="B16" s="664"/>
      <c r="C16" s="665"/>
      <c r="D16" s="666"/>
      <c r="E16" s="666"/>
      <c r="F16" s="666"/>
      <c r="G16" s="666"/>
    </row>
    <row r="17" spans="1:7" x14ac:dyDescent="0.2">
      <c r="A17" s="663"/>
      <c r="B17" s="664"/>
      <c r="C17" s="665"/>
      <c r="D17" s="666"/>
      <c r="E17" s="666"/>
      <c r="F17" s="666"/>
      <c r="G17" s="666"/>
    </row>
    <row r="18" spans="1:7" x14ac:dyDescent="0.2">
      <c r="A18" s="663"/>
      <c r="D18" s="667"/>
      <c r="E18" s="667"/>
      <c r="F18" s="667"/>
      <c r="G18" s="667"/>
    </row>
    <row r="19" spans="1:7" x14ac:dyDescent="0.2">
      <c r="A19" s="668"/>
      <c r="D19" s="667"/>
      <c r="E19" s="667"/>
      <c r="F19" s="667"/>
      <c r="G19" s="667"/>
    </row>
    <row r="20" spans="1:7" x14ac:dyDescent="0.2">
      <c r="A20" s="668"/>
      <c r="D20" s="667"/>
      <c r="E20" s="667"/>
      <c r="F20" s="667"/>
      <c r="G20" s="667"/>
    </row>
    <row r="21" spans="1:7" x14ac:dyDescent="0.2">
      <c r="A21" s="668"/>
      <c r="D21" s="667"/>
      <c r="E21" s="667"/>
      <c r="F21" s="667"/>
      <c r="G21" s="667"/>
    </row>
    <row r="22" spans="1:7" x14ac:dyDescent="0.2">
      <c r="A22" s="668"/>
      <c r="D22" s="667"/>
      <c r="E22" s="667"/>
      <c r="F22" s="667"/>
      <c r="G22" s="667"/>
    </row>
    <row r="23" spans="1:7" x14ac:dyDescent="0.2">
      <c r="D23" s="667"/>
      <c r="E23" s="667"/>
      <c r="F23" s="667"/>
      <c r="G23" s="667"/>
    </row>
    <row r="24" spans="1:7" x14ac:dyDescent="0.2">
      <c r="D24" s="667"/>
      <c r="E24" s="667"/>
      <c r="F24" s="667"/>
      <c r="G24" s="667"/>
    </row>
    <row r="25" spans="1:7" x14ac:dyDescent="0.2">
      <c r="D25" s="667"/>
      <c r="E25" s="667"/>
      <c r="F25" s="667"/>
      <c r="G25" s="667"/>
    </row>
    <row r="26" spans="1:7" x14ac:dyDescent="0.2">
      <c r="D26" s="667"/>
      <c r="E26" s="667"/>
      <c r="F26" s="667"/>
      <c r="G26" s="667"/>
    </row>
    <row r="27" spans="1:7" x14ac:dyDescent="0.2">
      <c r="D27" s="667"/>
      <c r="E27" s="667"/>
      <c r="F27" s="667"/>
      <c r="G27" s="667"/>
    </row>
    <row r="28" spans="1:7" x14ac:dyDescent="0.2">
      <c r="D28" s="667"/>
      <c r="E28" s="667"/>
      <c r="F28" s="667"/>
      <c r="G28" s="667"/>
    </row>
    <row r="29" spans="1:7" x14ac:dyDescent="0.2">
      <c r="D29" s="667"/>
      <c r="E29" s="667"/>
      <c r="F29" s="667"/>
      <c r="G29" s="667"/>
    </row>
    <row r="30" spans="1:7" x14ac:dyDescent="0.2">
      <c r="D30" s="667"/>
      <c r="E30" s="667"/>
      <c r="F30" s="667"/>
      <c r="G30" s="667"/>
    </row>
    <row r="31" spans="1:7" x14ac:dyDescent="0.2">
      <c r="D31" s="667"/>
      <c r="E31" s="667"/>
      <c r="F31" s="667"/>
      <c r="G31" s="667"/>
    </row>
    <row r="32" spans="1:7" x14ac:dyDescent="0.2">
      <c r="D32" s="667"/>
      <c r="E32" s="667"/>
      <c r="F32" s="667"/>
      <c r="G32" s="667"/>
    </row>
    <row r="33" spans="4:7" x14ac:dyDescent="0.2">
      <c r="D33" s="667"/>
      <c r="E33" s="667"/>
      <c r="F33" s="667"/>
      <c r="G33" s="667"/>
    </row>
    <row r="34" spans="4:7" x14ac:dyDescent="0.2">
      <c r="D34" s="667"/>
      <c r="E34" s="667"/>
      <c r="F34" s="667"/>
      <c r="G34" s="667"/>
    </row>
    <row r="35" spans="4:7" x14ac:dyDescent="0.2">
      <c r="D35" s="667"/>
      <c r="E35" s="667"/>
      <c r="F35" s="667"/>
      <c r="G35" s="667"/>
    </row>
    <row r="36" spans="4:7" x14ac:dyDescent="0.2">
      <c r="D36" s="667"/>
      <c r="E36" s="667"/>
      <c r="F36" s="667"/>
      <c r="G36" s="667"/>
    </row>
    <row r="37" spans="4:7" x14ac:dyDescent="0.2">
      <c r="D37" s="667"/>
      <c r="E37" s="667"/>
      <c r="F37" s="667"/>
      <c r="G37" s="667"/>
    </row>
    <row r="38" spans="4:7" x14ac:dyDescent="0.2">
      <c r="D38" s="667"/>
      <c r="E38" s="667"/>
      <c r="F38" s="667"/>
      <c r="G38" s="667"/>
    </row>
  </sheetData>
  <mergeCells count="2">
    <mergeCell ref="A1:G1"/>
    <mergeCell ref="A9:C9"/>
  </mergeCells>
  <phoneticPr fontId="50" type="noConversion"/>
  <printOptions horizontalCentered="1"/>
  <pageMargins left="0.70866141732283472" right="0.70866141732283472" top="0.74803149606299213" bottom="0.74803149606299213" header="0.31496062992125984" footer="0.31496062992125984"/>
  <pageSetup paperSize="9" scale="99" orientation="landscape" r:id="rId1"/>
  <headerFooter>
    <oddHeader xml:space="preserve">&amp;C2023. évi költségvetés
&amp;R&amp;A
</oddHeader>
    <oddFooter>&amp;C&amp;P/&amp;N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X1298"/>
  <sheetViews>
    <sheetView view="pageBreakPreview" topLeftCell="A1170" zoomScale="90" zoomScaleNormal="100" zoomScaleSheetLayoutView="90" workbookViewId="0">
      <selection activeCell="C1179" sqref="C1179:C1180"/>
    </sheetView>
  </sheetViews>
  <sheetFormatPr defaultRowHeight="12.75" x14ac:dyDescent="0.2"/>
  <cols>
    <col min="1" max="2" width="4.42578125" customWidth="1"/>
    <col min="3" max="3" width="33.7109375" customWidth="1"/>
    <col min="4" max="4" width="6" customWidth="1"/>
    <col min="5" max="5" width="7" customWidth="1"/>
    <col min="6" max="6" width="5.42578125" customWidth="1"/>
    <col min="7" max="7" width="5" customWidth="1"/>
    <col min="8" max="8" width="11.7109375" customWidth="1"/>
    <col min="9" max="9" width="11.42578125" customWidth="1"/>
    <col min="10" max="10" width="12.42578125" customWidth="1"/>
    <col min="11" max="11" width="11.140625" customWidth="1"/>
    <col min="12" max="12" width="14.28515625" customWidth="1"/>
    <col min="13" max="13" width="12.5703125" customWidth="1"/>
    <col min="14" max="14" width="13.42578125" customWidth="1"/>
    <col min="15" max="15" width="11.85546875" customWidth="1"/>
    <col min="16" max="16" width="12.5703125" customWidth="1"/>
    <col min="17" max="18" width="13.28515625" customWidth="1"/>
    <col min="19" max="19" width="14.28515625" customWidth="1"/>
    <col min="20" max="20" width="12.85546875" customWidth="1"/>
    <col min="21" max="21" width="12.5703125" bestFit="1" customWidth="1"/>
    <col min="22" max="22" width="11.7109375" customWidth="1"/>
    <col min="23" max="23" width="11.28515625" customWidth="1"/>
    <col min="24" max="24" width="13.28515625" customWidth="1"/>
  </cols>
  <sheetData>
    <row r="1" spans="1:24" x14ac:dyDescent="0.2">
      <c r="A1" s="1144"/>
      <c r="B1" s="1144"/>
      <c r="C1" s="1145"/>
      <c r="D1" s="1146"/>
      <c r="E1" s="1147"/>
      <c r="F1" s="1148"/>
      <c r="G1" s="1147"/>
      <c r="H1" s="1149"/>
      <c r="I1" s="1149"/>
      <c r="J1" s="1149"/>
      <c r="K1" s="1149"/>
      <c r="L1" s="1150"/>
      <c r="M1" s="1149"/>
      <c r="N1" s="1149"/>
      <c r="O1" s="1149"/>
      <c r="P1" s="1150"/>
      <c r="Q1" s="1149"/>
      <c r="R1" s="1149"/>
      <c r="S1" s="1149"/>
      <c r="T1" s="1149"/>
      <c r="U1" s="1149"/>
      <c r="V1" s="1149"/>
      <c r="W1" s="1149"/>
      <c r="X1" s="1149"/>
    </row>
    <row r="2" spans="1:24" ht="15.75" x14ac:dyDescent="0.25">
      <c r="A2" s="2069" t="s">
        <v>2024</v>
      </c>
      <c r="B2" s="2069"/>
      <c r="C2" s="2069"/>
      <c r="D2" s="2069"/>
      <c r="E2" s="2069"/>
      <c r="F2" s="2069"/>
      <c r="G2" s="2069"/>
      <c r="H2" s="2069"/>
      <c r="I2" s="2069"/>
      <c r="J2" s="2069"/>
      <c r="K2" s="2069"/>
      <c r="L2" s="2069"/>
      <c r="M2" s="2069"/>
      <c r="N2" s="2069"/>
      <c r="O2" s="2069"/>
      <c r="P2" s="2069"/>
      <c r="Q2" s="2069"/>
      <c r="R2" s="2069"/>
      <c r="S2" s="2069"/>
      <c r="T2" s="2069"/>
      <c r="U2" s="2069"/>
      <c r="V2" s="2069"/>
      <c r="W2" s="2069"/>
      <c r="X2" s="2069"/>
    </row>
    <row r="3" spans="1:24" x14ac:dyDescent="0.2">
      <c r="A3" s="1151"/>
      <c r="B3" s="1144"/>
      <c r="C3" s="1145"/>
      <c r="D3" s="1146"/>
      <c r="E3" s="1147"/>
      <c r="F3" s="1148"/>
      <c r="G3" s="1147"/>
      <c r="H3" s="1149"/>
      <c r="I3" s="1149"/>
      <c r="J3" s="1149"/>
      <c r="K3" s="1149"/>
      <c r="L3" s="1150"/>
      <c r="M3" s="1149"/>
      <c r="N3" s="1149"/>
      <c r="O3" s="1149"/>
      <c r="P3" s="1150"/>
      <c r="Q3" s="1149"/>
      <c r="R3" s="1149"/>
      <c r="S3" s="1149"/>
      <c r="T3" s="1149"/>
      <c r="U3" s="1149"/>
      <c r="V3" s="1149"/>
      <c r="W3" s="1149"/>
      <c r="X3" s="1152"/>
    </row>
    <row r="4" spans="1:24" ht="13.5" customHeight="1" x14ac:dyDescent="0.25">
      <c r="A4" s="2070" t="s">
        <v>37</v>
      </c>
      <c r="B4" s="2093" t="s">
        <v>1726</v>
      </c>
      <c r="C4" s="2074" t="s">
        <v>2</v>
      </c>
      <c r="D4" s="2076" t="s">
        <v>1727</v>
      </c>
      <c r="E4" s="2076" t="s">
        <v>117</v>
      </c>
      <c r="F4" s="2076" t="s">
        <v>1728</v>
      </c>
      <c r="G4" s="2076" t="s">
        <v>1729</v>
      </c>
      <c r="H4" s="2078" t="s">
        <v>1730</v>
      </c>
      <c r="I4" s="2078"/>
      <c r="J4" s="2078"/>
      <c r="K4" s="2078"/>
      <c r="L4" s="2078"/>
      <c r="M4" s="2078"/>
      <c r="N4" s="2078"/>
      <c r="O4" s="2079"/>
      <c r="P4" s="1153"/>
      <c r="Q4" s="2095" t="s">
        <v>1731</v>
      </c>
      <c r="R4" s="2078"/>
      <c r="S4" s="2078"/>
      <c r="T4" s="2078"/>
      <c r="U4" s="2078"/>
      <c r="V4" s="2078"/>
      <c r="W4" s="2078"/>
      <c r="X4" s="2081"/>
    </row>
    <row r="5" spans="1:24" ht="87.75" customHeight="1" x14ac:dyDescent="0.2">
      <c r="A5" s="2071"/>
      <c r="B5" s="2094"/>
      <c r="C5" s="2075"/>
      <c r="D5" s="2077"/>
      <c r="E5" s="2077"/>
      <c r="F5" s="2077"/>
      <c r="G5" s="2077"/>
      <c r="H5" s="1154" t="s">
        <v>1732</v>
      </c>
      <c r="I5" s="1155" t="s">
        <v>1733</v>
      </c>
      <c r="J5" s="1154" t="s">
        <v>1734</v>
      </c>
      <c r="K5" s="1154" t="s">
        <v>1735</v>
      </c>
      <c r="L5" s="1154" t="s">
        <v>1736</v>
      </c>
      <c r="M5" s="1154" t="s">
        <v>1737</v>
      </c>
      <c r="N5" s="1154" t="s">
        <v>1738</v>
      </c>
      <c r="O5" s="1156" t="s">
        <v>1739</v>
      </c>
      <c r="P5" s="1157" t="s">
        <v>1740</v>
      </c>
      <c r="Q5" s="1158" t="s">
        <v>1741</v>
      </c>
      <c r="R5" s="1155" t="s">
        <v>1742</v>
      </c>
      <c r="S5" s="1154" t="s">
        <v>1743</v>
      </c>
      <c r="T5" s="1154" t="s">
        <v>1744</v>
      </c>
      <c r="U5" s="1155" t="s">
        <v>1745</v>
      </c>
      <c r="V5" s="1155" t="s">
        <v>1746</v>
      </c>
      <c r="W5" s="1155" t="s">
        <v>1747</v>
      </c>
      <c r="X5" s="1159" t="s">
        <v>1748</v>
      </c>
    </row>
    <row r="6" spans="1:24" x14ac:dyDescent="0.2">
      <c r="A6" s="2086" t="s">
        <v>188</v>
      </c>
      <c r="B6" s="2085" t="s">
        <v>319</v>
      </c>
      <c r="C6" s="2096" t="s">
        <v>1830</v>
      </c>
      <c r="D6" s="1162" t="s">
        <v>188</v>
      </c>
      <c r="E6" s="1373" t="s">
        <v>131</v>
      </c>
      <c r="F6" s="1373">
        <v>502</v>
      </c>
      <c r="G6" s="1163" t="s">
        <v>1828</v>
      </c>
      <c r="H6" s="1164"/>
      <c r="I6" s="1164"/>
      <c r="J6" s="1164"/>
      <c r="K6" s="1164"/>
      <c r="L6" s="1165"/>
      <c r="M6" s="1164"/>
      <c r="N6" s="1164"/>
      <c r="O6" s="1164"/>
      <c r="P6" s="1166"/>
      <c r="Q6" s="1167"/>
      <c r="R6" s="1164"/>
      <c r="S6" s="1164"/>
      <c r="T6" s="1164">
        <f>-269668-250963-11858050-104444</f>
        <v>-12483125</v>
      </c>
      <c r="U6" s="1164"/>
      <c r="V6" s="1164"/>
      <c r="W6" s="1164"/>
      <c r="X6" s="1168"/>
    </row>
    <row r="7" spans="1:24" x14ac:dyDescent="0.2">
      <c r="A7" s="2061"/>
      <c r="B7" s="2060"/>
      <c r="C7" s="2065"/>
      <c r="D7" s="1170" t="s">
        <v>188</v>
      </c>
      <c r="E7" s="1374" t="s">
        <v>131</v>
      </c>
      <c r="F7" s="1374" t="s">
        <v>153</v>
      </c>
      <c r="G7" s="1171" t="s">
        <v>1829</v>
      </c>
      <c r="H7" s="1172"/>
      <c r="I7" s="1172"/>
      <c r="J7" s="1172"/>
      <c r="K7" s="1172"/>
      <c r="L7" s="1173"/>
      <c r="M7" s="1172"/>
      <c r="N7" s="1172"/>
      <c r="O7" s="1172"/>
      <c r="P7" s="1174"/>
      <c r="Q7" s="1175"/>
      <c r="R7" s="1172"/>
      <c r="S7" s="1172"/>
      <c r="T7" s="1172">
        <f>250963+31632</f>
        <v>282595</v>
      </c>
      <c r="U7" s="1172"/>
      <c r="V7" s="1172"/>
      <c r="W7" s="1172"/>
      <c r="X7" s="1176"/>
    </row>
    <row r="8" spans="1:24" x14ac:dyDescent="0.2">
      <c r="A8" s="2061"/>
      <c r="B8" s="2060"/>
      <c r="C8" s="2065"/>
      <c r="D8" s="1170" t="s">
        <v>188</v>
      </c>
      <c r="E8" s="1374" t="s">
        <v>131</v>
      </c>
      <c r="F8" s="1374" t="s">
        <v>1856</v>
      </c>
      <c r="G8" s="1171" t="s">
        <v>1829</v>
      </c>
      <c r="H8" s="1172"/>
      <c r="I8" s="1172"/>
      <c r="J8" s="1172"/>
      <c r="K8" s="1172"/>
      <c r="L8" s="1173"/>
      <c r="M8" s="1172"/>
      <c r="N8" s="1172"/>
      <c r="O8" s="1172"/>
      <c r="P8" s="1174"/>
      <c r="Q8" s="1175"/>
      <c r="R8" s="1172"/>
      <c r="S8" s="1172"/>
      <c r="T8" s="1172">
        <v>322894</v>
      </c>
      <c r="U8" s="1172"/>
      <c r="V8" s="1172"/>
      <c r="W8" s="1172"/>
      <c r="X8" s="1176"/>
    </row>
    <row r="9" spans="1:24" x14ac:dyDescent="0.2">
      <c r="A9" s="2061"/>
      <c r="B9" s="2060"/>
      <c r="C9" s="2065"/>
      <c r="D9" s="1177" t="s">
        <v>188</v>
      </c>
      <c r="E9" s="1374" t="s">
        <v>620</v>
      </c>
      <c r="F9" s="1374" t="s">
        <v>1857</v>
      </c>
      <c r="G9" s="1178" t="s">
        <v>1829</v>
      </c>
      <c r="H9" s="1172"/>
      <c r="I9" s="1172"/>
      <c r="J9" s="1172"/>
      <c r="K9" s="1172"/>
      <c r="L9" s="1173"/>
      <c r="M9" s="1172"/>
      <c r="N9" s="1172"/>
      <c r="O9" s="1172"/>
      <c r="P9" s="1174"/>
      <c r="Q9" s="1175"/>
      <c r="R9" s="1172"/>
      <c r="S9" s="1172"/>
      <c r="T9" s="1172">
        <v>7771600</v>
      </c>
      <c r="U9" s="1172"/>
      <c r="V9" s="1172"/>
      <c r="W9" s="1172"/>
      <c r="X9" s="1176"/>
    </row>
    <row r="10" spans="1:24" x14ac:dyDescent="0.2">
      <c r="A10" s="2061"/>
      <c r="B10" s="2060"/>
      <c r="C10" s="2065"/>
      <c r="D10" s="1177" t="s">
        <v>188</v>
      </c>
      <c r="E10" s="1374" t="s">
        <v>1860</v>
      </c>
      <c r="F10" s="1374" t="s">
        <v>1858</v>
      </c>
      <c r="G10" s="1178" t="s">
        <v>1829</v>
      </c>
      <c r="H10" s="1172"/>
      <c r="I10" s="1172"/>
      <c r="J10" s="1172"/>
      <c r="K10" s="1172"/>
      <c r="L10" s="1173"/>
      <c r="M10" s="1172"/>
      <c r="N10" s="1172"/>
      <c r="O10" s="1172"/>
      <c r="P10" s="1174"/>
      <c r="Q10" s="1175"/>
      <c r="R10" s="1172"/>
      <c r="S10" s="1172"/>
      <c r="T10" s="1172">
        <v>1839056</v>
      </c>
      <c r="U10" s="1172"/>
      <c r="V10" s="1172"/>
      <c r="W10" s="1172"/>
      <c r="X10" s="1176"/>
    </row>
    <row r="11" spans="1:24" x14ac:dyDescent="0.2">
      <c r="A11" s="2061"/>
      <c r="B11" s="2060"/>
      <c r="C11" s="2065"/>
      <c r="D11" s="1177" t="s">
        <v>188</v>
      </c>
      <c r="E11" s="1374" t="s">
        <v>542</v>
      </c>
      <c r="F11" s="1374" t="s">
        <v>449</v>
      </c>
      <c r="G11" s="1178" t="s">
        <v>1829</v>
      </c>
      <c r="H11" s="1172"/>
      <c r="I11" s="1172"/>
      <c r="J11" s="1172"/>
      <c r="K11" s="1172"/>
      <c r="L11" s="1173"/>
      <c r="M11" s="1172"/>
      <c r="N11" s="1172"/>
      <c r="O11" s="1172"/>
      <c r="P11" s="1174"/>
      <c r="Q11" s="1175"/>
      <c r="R11" s="1172"/>
      <c r="S11" s="1172"/>
      <c r="T11" s="1172">
        <f>8268+2232</f>
        <v>10500</v>
      </c>
      <c r="U11" s="1172"/>
      <c r="V11" s="1172"/>
      <c r="W11" s="1172"/>
      <c r="X11" s="1176"/>
    </row>
    <row r="12" spans="1:24" x14ac:dyDescent="0.2">
      <c r="A12" s="2061"/>
      <c r="B12" s="2060"/>
      <c r="C12" s="2065"/>
      <c r="D12" s="1177" t="s">
        <v>188</v>
      </c>
      <c r="E12" s="1374" t="s">
        <v>1861</v>
      </c>
      <c r="F12" s="1374" t="s">
        <v>1859</v>
      </c>
      <c r="G12" s="1178" t="s">
        <v>1829</v>
      </c>
      <c r="H12" s="1172"/>
      <c r="I12" s="1172"/>
      <c r="J12" s="1172"/>
      <c r="K12" s="1172"/>
      <c r="L12" s="1173"/>
      <c r="M12" s="1172"/>
      <c r="N12" s="1172"/>
      <c r="O12" s="1172"/>
      <c r="P12" s="1174"/>
      <c r="Q12" s="1175"/>
      <c r="R12" s="1172"/>
      <c r="S12" s="1172"/>
      <c r="T12" s="1172">
        <f>261400+70580</f>
        <v>331980</v>
      </c>
      <c r="U12" s="1172"/>
      <c r="V12" s="1172"/>
      <c r="W12" s="1172"/>
      <c r="X12" s="1176"/>
    </row>
    <row r="13" spans="1:24" x14ac:dyDescent="0.2">
      <c r="A13" s="2053"/>
      <c r="B13" s="2055"/>
      <c r="C13" s="2057"/>
      <c r="D13" s="1177" t="s">
        <v>188</v>
      </c>
      <c r="E13" s="1374" t="s">
        <v>64</v>
      </c>
      <c r="F13" s="1374" t="s">
        <v>526</v>
      </c>
      <c r="G13" s="1178" t="s">
        <v>1829</v>
      </c>
      <c r="H13" s="1172"/>
      <c r="I13" s="1172"/>
      <c r="J13" s="1172"/>
      <c r="K13" s="1172"/>
      <c r="L13" s="1173"/>
      <c r="M13" s="1172"/>
      <c r="N13" s="1172"/>
      <c r="O13" s="1172"/>
      <c r="P13" s="1174"/>
      <c r="Q13" s="1175"/>
      <c r="R13" s="1172"/>
      <c r="S13" s="1172"/>
      <c r="T13" s="1172">
        <v>1924500</v>
      </c>
      <c r="U13" s="1172"/>
      <c r="V13" s="1172"/>
      <c r="W13" s="1172"/>
      <c r="X13" s="1176"/>
    </row>
    <row r="14" spans="1:24" x14ac:dyDescent="0.2">
      <c r="A14" s="2052" t="s">
        <v>189</v>
      </c>
      <c r="B14" s="2054" t="s">
        <v>320</v>
      </c>
      <c r="C14" s="2056" t="s">
        <v>1928</v>
      </c>
      <c r="D14" s="1177" t="s">
        <v>188</v>
      </c>
      <c r="E14" s="1374" t="s">
        <v>131</v>
      </c>
      <c r="F14" s="1374" t="s">
        <v>1390</v>
      </c>
      <c r="G14" s="1178" t="s">
        <v>1828</v>
      </c>
      <c r="H14" s="1172"/>
      <c r="I14" s="1172"/>
      <c r="J14" s="1172"/>
      <c r="K14" s="1172"/>
      <c r="L14" s="1173"/>
      <c r="M14" s="1172"/>
      <c r="N14" s="1172"/>
      <c r="O14" s="1172"/>
      <c r="P14" s="1174"/>
      <c r="Q14" s="1175"/>
      <c r="R14" s="1172"/>
      <c r="S14" s="1172">
        <f>-23230602-23960667-8144087-2400</f>
        <v>-55337756</v>
      </c>
      <c r="T14" s="1172"/>
      <c r="U14" s="1172"/>
      <c r="V14" s="1172"/>
      <c r="W14" s="1172"/>
      <c r="X14" s="1176"/>
    </row>
    <row r="15" spans="1:24" x14ac:dyDescent="0.2">
      <c r="A15" s="2053"/>
      <c r="B15" s="2055"/>
      <c r="C15" s="2057"/>
      <c r="D15" s="1177" t="s">
        <v>188</v>
      </c>
      <c r="E15" s="1374" t="s">
        <v>1399</v>
      </c>
      <c r="F15" s="1374" t="s">
        <v>1389</v>
      </c>
      <c r="G15" s="1178" t="s">
        <v>1829</v>
      </c>
      <c r="H15" s="1172"/>
      <c r="I15" s="1172"/>
      <c r="J15" s="1172"/>
      <c r="K15" s="1172"/>
      <c r="L15" s="1173"/>
      <c r="M15" s="1172"/>
      <c r="N15" s="1172"/>
      <c r="O15" s="1172"/>
      <c r="P15" s="1174"/>
      <c r="Q15" s="1175"/>
      <c r="R15" s="1172"/>
      <c r="S15" s="1172">
        <f>23230602+2400+23960667+8144087</f>
        <v>55337756</v>
      </c>
      <c r="T15" s="1172"/>
      <c r="U15" s="1172"/>
      <c r="V15" s="1172"/>
      <c r="W15" s="1172"/>
      <c r="X15" s="1176"/>
    </row>
    <row r="16" spans="1:24" ht="21" customHeight="1" x14ac:dyDescent="0.2">
      <c r="A16" s="2052" t="s">
        <v>190</v>
      </c>
      <c r="B16" s="2054" t="s">
        <v>737</v>
      </c>
      <c r="C16" s="2056" t="s">
        <v>2225</v>
      </c>
      <c r="D16" s="1177" t="s">
        <v>188</v>
      </c>
      <c r="E16" s="1374" t="s">
        <v>813</v>
      </c>
      <c r="F16" s="1374" t="s">
        <v>812</v>
      </c>
      <c r="G16" s="1178" t="s">
        <v>1828</v>
      </c>
      <c r="H16" s="1172"/>
      <c r="I16" s="1172"/>
      <c r="J16" s="1172">
        <f>-305600-82512</f>
        <v>-388112</v>
      </c>
      <c r="K16" s="1172"/>
      <c r="L16" s="1173"/>
      <c r="M16" s="1172"/>
      <c r="N16" s="1172"/>
      <c r="O16" s="1172"/>
      <c r="P16" s="1174"/>
      <c r="Q16" s="1175"/>
      <c r="R16" s="1172"/>
      <c r="S16" s="1172"/>
      <c r="T16" s="1172"/>
      <c r="U16" s="1172"/>
      <c r="V16" s="1172"/>
      <c r="W16" s="1172"/>
      <c r="X16" s="1176"/>
    </row>
    <row r="17" spans="1:24" ht="21" customHeight="1" x14ac:dyDescent="0.2">
      <c r="A17" s="2053"/>
      <c r="B17" s="2055"/>
      <c r="C17" s="2057"/>
      <c r="D17" s="1177" t="s">
        <v>193</v>
      </c>
      <c r="E17" s="1374" t="s">
        <v>813</v>
      </c>
      <c r="F17" s="1374" t="s">
        <v>1862</v>
      </c>
      <c r="G17" s="1178" t="s">
        <v>1829</v>
      </c>
      <c r="H17" s="1172"/>
      <c r="I17" s="1172"/>
      <c r="J17" s="1172"/>
      <c r="K17" s="1172"/>
      <c r="L17" s="1173"/>
      <c r="M17" s="1172">
        <f>305600+82512</f>
        <v>388112</v>
      </c>
      <c r="N17" s="1172"/>
      <c r="O17" s="1172"/>
      <c r="P17" s="1174"/>
      <c r="Q17" s="1175"/>
      <c r="R17" s="1172"/>
      <c r="S17" s="1172"/>
      <c r="T17" s="1172"/>
      <c r="U17" s="1172"/>
      <c r="V17" s="1172"/>
      <c r="W17" s="1172"/>
      <c r="X17" s="1176"/>
    </row>
    <row r="18" spans="1:24" ht="43.5" customHeight="1" x14ac:dyDescent="0.2">
      <c r="A18" s="1491" t="s">
        <v>191</v>
      </c>
      <c r="B18" s="1375" t="s">
        <v>738</v>
      </c>
      <c r="C18" s="1631" t="s">
        <v>1863</v>
      </c>
      <c r="D18" s="1177" t="s">
        <v>188</v>
      </c>
      <c r="E18" s="1374" t="s">
        <v>1865</v>
      </c>
      <c r="F18" s="1374" t="s">
        <v>1864</v>
      </c>
      <c r="G18" s="1178" t="s">
        <v>1837</v>
      </c>
      <c r="H18" s="1172"/>
      <c r="I18" s="1172"/>
      <c r="J18" s="1172">
        <f>-1574803+1574803</f>
        <v>0</v>
      </c>
      <c r="K18" s="1172"/>
      <c r="L18" s="1173"/>
      <c r="M18" s="1172"/>
      <c r="N18" s="1172"/>
      <c r="O18" s="1172"/>
      <c r="P18" s="1174"/>
      <c r="Q18" s="1175"/>
      <c r="R18" s="1172"/>
      <c r="S18" s="1172"/>
      <c r="T18" s="1172"/>
      <c r="U18" s="1172"/>
      <c r="V18" s="1172"/>
      <c r="W18" s="1172"/>
      <c r="X18" s="1176"/>
    </row>
    <row r="19" spans="1:24" ht="53.25" customHeight="1" x14ac:dyDescent="0.2">
      <c r="A19" s="1491" t="s">
        <v>192</v>
      </c>
      <c r="B19" s="1375" t="s">
        <v>739</v>
      </c>
      <c r="C19" s="1631" t="s">
        <v>1866</v>
      </c>
      <c r="D19" s="1177" t="s">
        <v>188</v>
      </c>
      <c r="E19" s="1374" t="s">
        <v>1868</v>
      </c>
      <c r="F19" s="1374" t="s">
        <v>1867</v>
      </c>
      <c r="G19" s="1178" t="s">
        <v>1837</v>
      </c>
      <c r="H19" s="1172"/>
      <c r="I19" s="1172"/>
      <c r="J19" s="1172">
        <f>-500000+500000</f>
        <v>0</v>
      </c>
      <c r="K19" s="1172"/>
      <c r="L19" s="1173"/>
      <c r="M19" s="1172"/>
      <c r="N19" s="1172"/>
      <c r="O19" s="1172"/>
      <c r="P19" s="1174"/>
      <c r="Q19" s="1175"/>
      <c r="R19" s="1172"/>
      <c r="S19" s="1172"/>
      <c r="T19" s="1172"/>
      <c r="U19" s="1172"/>
      <c r="V19" s="1172"/>
      <c r="W19" s="1172"/>
      <c r="X19" s="1176"/>
    </row>
    <row r="20" spans="1:24" ht="16.5" customHeight="1" x14ac:dyDescent="0.2">
      <c r="A20" s="2052" t="s">
        <v>193</v>
      </c>
      <c r="B20" s="2054" t="s">
        <v>740</v>
      </c>
      <c r="C20" s="2056" t="s">
        <v>1836</v>
      </c>
      <c r="D20" s="1177" t="s">
        <v>188</v>
      </c>
      <c r="E20" s="1374" t="s">
        <v>74</v>
      </c>
      <c r="F20" s="1374" t="s">
        <v>538</v>
      </c>
      <c r="G20" s="1178" t="s">
        <v>1837</v>
      </c>
      <c r="H20" s="1172">
        <f>-451200+451200</f>
        <v>0</v>
      </c>
      <c r="I20" s="1172"/>
      <c r="J20" s="1172"/>
      <c r="K20" s="1172"/>
      <c r="L20" s="1173"/>
      <c r="M20" s="1172"/>
      <c r="N20" s="1172"/>
      <c r="O20" s="1172"/>
      <c r="P20" s="1174"/>
      <c r="Q20" s="1175"/>
      <c r="R20" s="1172"/>
      <c r="S20" s="1172"/>
      <c r="T20" s="1172"/>
      <c r="U20" s="1172"/>
      <c r="V20" s="1172"/>
      <c r="W20" s="1172"/>
      <c r="X20" s="1176"/>
    </row>
    <row r="21" spans="1:24" ht="16.5" customHeight="1" x14ac:dyDescent="0.2">
      <c r="A21" s="2061"/>
      <c r="B21" s="2060"/>
      <c r="C21" s="2065"/>
      <c r="D21" s="1177" t="s">
        <v>188</v>
      </c>
      <c r="E21" s="1374" t="s">
        <v>590</v>
      </c>
      <c r="F21" s="1374" t="s">
        <v>442</v>
      </c>
      <c r="G21" s="1178" t="s">
        <v>1837</v>
      </c>
      <c r="H21" s="1172">
        <f>-15600+15600</f>
        <v>0</v>
      </c>
      <c r="I21" s="1172"/>
      <c r="J21" s="1172"/>
      <c r="K21" s="1172"/>
      <c r="L21" s="1173"/>
      <c r="M21" s="1172"/>
      <c r="N21" s="1172"/>
      <c r="O21" s="1172"/>
      <c r="P21" s="1174"/>
      <c r="Q21" s="1175"/>
      <c r="R21" s="1172"/>
      <c r="S21" s="1172"/>
      <c r="T21" s="1172"/>
      <c r="U21" s="1172"/>
      <c r="V21" s="1172"/>
      <c r="W21" s="1172"/>
      <c r="X21" s="1176"/>
    </row>
    <row r="22" spans="1:24" ht="16.5" customHeight="1" x14ac:dyDescent="0.2">
      <c r="A22" s="2061"/>
      <c r="B22" s="2060"/>
      <c r="C22" s="2065"/>
      <c r="D22" s="1177" t="s">
        <v>188</v>
      </c>
      <c r="E22" s="1374" t="s">
        <v>131</v>
      </c>
      <c r="F22" s="1374" t="s">
        <v>444</v>
      </c>
      <c r="G22" s="1178" t="s">
        <v>1837</v>
      </c>
      <c r="H22" s="1172">
        <f>-210000+210000</f>
        <v>0</v>
      </c>
      <c r="I22" s="1172"/>
      <c r="J22" s="1172"/>
      <c r="K22" s="1172"/>
      <c r="L22" s="1173"/>
      <c r="M22" s="1172"/>
      <c r="N22" s="1172"/>
      <c r="O22" s="1172"/>
      <c r="P22" s="1174"/>
      <c r="Q22" s="1175"/>
      <c r="R22" s="1172"/>
      <c r="S22" s="1172"/>
      <c r="T22" s="1172"/>
      <c r="U22" s="1172"/>
      <c r="V22" s="1172"/>
      <c r="W22" s="1172"/>
      <c r="X22" s="1176"/>
    </row>
    <row r="23" spans="1:24" ht="16.5" customHeight="1" x14ac:dyDescent="0.2">
      <c r="A23" s="2061"/>
      <c r="B23" s="2060"/>
      <c r="C23" s="2065"/>
      <c r="D23" s="1177" t="s">
        <v>188</v>
      </c>
      <c r="E23" s="1374" t="s">
        <v>542</v>
      </c>
      <c r="F23" s="1374" t="s">
        <v>447</v>
      </c>
      <c r="G23" s="1178" t="s">
        <v>1837</v>
      </c>
      <c r="H23" s="1172">
        <f>-9000+9000</f>
        <v>0</v>
      </c>
      <c r="I23" s="1172"/>
      <c r="J23" s="1172"/>
      <c r="K23" s="1172"/>
      <c r="L23" s="1173"/>
      <c r="M23" s="1172"/>
      <c r="N23" s="1172"/>
      <c r="O23" s="1172"/>
      <c r="P23" s="1174"/>
      <c r="Q23" s="1175"/>
      <c r="R23" s="1172"/>
      <c r="S23" s="1172"/>
      <c r="T23" s="1172"/>
      <c r="U23" s="1172"/>
      <c r="V23" s="1172"/>
      <c r="W23" s="1172"/>
      <c r="X23" s="1176"/>
    </row>
    <row r="24" spans="1:24" ht="16.5" customHeight="1" x14ac:dyDescent="0.2">
      <c r="A24" s="2053"/>
      <c r="B24" s="2055"/>
      <c r="C24" s="2057"/>
      <c r="D24" s="1177" t="s">
        <v>188</v>
      </c>
      <c r="E24" s="1374" t="s">
        <v>542</v>
      </c>
      <c r="F24" s="1374" t="s">
        <v>449</v>
      </c>
      <c r="G24" s="1178" t="s">
        <v>1837</v>
      </c>
      <c r="H24" s="1172">
        <f>-142000+142000</f>
        <v>0</v>
      </c>
      <c r="I24" s="1172"/>
      <c r="J24" s="1172"/>
      <c r="K24" s="1172"/>
      <c r="L24" s="1173"/>
      <c r="M24" s="1172"/>
      <c r="N24" s="1172"/>
      <c r="O24" s="1172"/>
      <c r="P24" s="1174"/>
      <c r="Q24" s="1175"/>
      <c r="R24" s="1172"/>
      <c r="S24" s="1172"/>
      <c r="T24" s="1172"/>
      <c r="U24" s="1172"/>
      <c r="V24" s="1172"/>
      <c r="W24" s="1172"/>
      <c r="X24" s="1176"/>
    </row>
    <row r="25" spans="1:24" ht="40.5" customHeight="1" x14ac:dyDescent="0.2">
      <c r="A25" s="2052" t="s">
        <v>194</v>
      </c>
      <c r="B25" s="2054" t="s">
        <v>741</v>
      </c>
      <c r="C25" s="2056" t="s">
        <v>2106</v>
      </c>
      <c r="D25" s="1177" t="s">
        <v>195</v>
      </c>
      <c r="E25" s="1374" t="s">
        <v>74</v>
      </c>
      <c r="F25" s="1374" t="s">
        <v>1870</v>
      </c>
      <c r="G25" s="1178" t="s">
        <v>1828</v>
      </c>
      <c r="H25" s="1172"/>
      <c r="I25" s="1172"/>
      <c r="J25" s="1172"/>
      <c r="K25" s="1172"/>
      <c r="L25" s="1173">
        <v>-1942776</v>
      </c>
      <c r="M25" s="1172"/>
      <c r="N25" s="1172"/>
      <c r="O25" s="1172"/>
      <c r="P25" s="1174"/>
      <c r="Q25" s="1175"/>
      <c r="R25" s="1172"/>
      <c r="S25" s="1172"/>
      <c r="T25" s="1172"/>
      <c r="U25" s="1172"/>
      <c r="V25" s="1172"/>
      <c r="W25" s="1172"/>
      <c r="X25" s="1176"/>
    </row>
    <row r="26" spans="1:24" ht="40.5" customHeight="1" x14ac:dyDescent="0.2">
      <c r="A26" s="2053"/>
      <c r="B26" s="2055"/>
      <c r="C26" s="2057"/>
      <c r="D26" s="1177" t="s">
        <v>188</v>
      </c>
      <c r="E26" s="1374" t="s">
        <v>583</v>
      </c>
      <c r="F26" s="1374" t="s">
        <v>1457</v>
      </c>
      <c r="G26" s="1178" t="s">
        <v>1829</v>
      </c>
      <c r="H26" s="1172">
        <v>1739280</v>
      </c>
      <c r="I26" s="1172">
        <v>203496</v>
      </c>
      <c r="J26" s="1172"/>
      <c r="K26" s="1172"/>
      <c r="L26" s="1173"/>
      <c r="M26" s="1172"/>
      <c r="N26" s="1172"/>
      <c r="O26" s="1172"/>
      <c r="P26" s="1174"/>
      <c r="Q26" s="1175"/>
      <c r="R26" s="1172"/>
      <c r="S26" s="1172"/>
      <c r="T26" s="1172"/>
      <c r="U26" s="1172"/>
      <c r="V26" s="1172"/>
      <c r="W26" s="1172"/>
      <c r="X26" s="1176"/>
    </row>
    <row r="27" spans="1:24" ht="21.75" customHeight="1" x14ac:dyDescent="0.2">
      <c r="A27" s="2052" t="s">
        <v>195</v>
      </c>
      <c r="B27" s="2054" t="s">
        <v>742</v>
      </c>
      <c r="C27" s="2056" t="s">
        <v>1841</v>
      </c>
      <c r="D27" s="1177" t="s">
        <v>188</v>
      </c>
      <c r="E27" s="1374" t="s">
        <v>590</v>
      </c>
      <c r="F27" s="1374" t="s">
        <v>442</v>
      </c>
      <c r="G27" s="1178" t="s">
        <v>1837</v>
      </c>
      <c r="H27" s="1172">
        <f>-90000+90000</f>
        <v>0</v>
      </c>
      <c r="I27" s="1172"/>
      <c r="J27" s="1172"/>
      <c r="K27" s="1172"/>
      <c r="L27" s="1173"/>
      <c r="M27" s="1172"/>
      <c r="N27" s="1172"/>
      <c r="O27" s="1172"/>
      <c r="P27" s="1174"/>
      <c r="Q27" s="1175"/>
      <c r="R27" s="1172"/>
      <c r="S27" s="1172"/>
      <c r="T27" s="1172"/>
      <c r="U27" s="1172"/>
      <c r="V27" s="1172"/>
      <c r="W27" s="1172"/>
      <c r="X27" s="1176"/>
    </row>
    <row r="28" spans="1:24" ht="21.75" customHeight="1" x14ac:dyDescent="0.2">
      <c r="A28" s="2053"/>
      <c r="B28" s="2055"/>
      <c r="C28" s="2057"/>
      <c r="D28" s="1177" t="s">
        <v>188</v>
      </c>
      <c r="E28" s="1374" t="s">
        <v>542</v>
      </c>
      <c r="F28" s="1374" t="s">
        <v>449</v>
      </c>
      <c r="G28" s="1178" t="s">
        <v>1837</v>
      </c>
      <c r="H28" s="1172">
        <f>-67000+27000+40000</f>
        <v>0</v>
      </c>
      <c r="I28" s="1172"/>
      <c r="J28" s="1172"/>
      <c r="K28" s="1172"/>
      <c r="L28" s="1173"/>
      <c r="M28" s="1172"/>
      <c r="N28" s="1172"/>
      <c r="O28" s="1172"/>
      <c r="P28" s="1174"/>
      <c r="Q28" s="1175"/>
      <c r="R28" s="1172"/>
      <c r="S28" s="1172"/>
      <c r="T28" s="1172"/>
      <c r="U28" s="1172"/>
      <c r="V28" s="1172"/>
      <c r="W28" s="1172"/>
      <c r="X28" s="1176"/>
    </row>
    <row r="29" spans="1:24" ht="25.5" customHeight="1" x14ac:dyDescent="0.2">
      <c r="A29" s="2052" t="s">
        <v>196</v>
      </c>
      <c r="B29" s="2054" t="s">
        <v>1325</v>
      </c>
      <c r="C29" s="2056" t="s">
        <v>1871</v>
      </c>
      <c r="D29" s="1177" t="s">
        <v>193</v>
      </c>
      <c r="E29" s="1374" t="s">
        <v>130</v>
      </c>
      <c r="F29" s="1374" t="s">
        <v>91</v>
      </c>
      <c r="G29" s="1178" t="s">
        <v>1828</v>
      </c>
      <c r="H29" s="1172"/>
      <c r="I29" s="1172"/>
      <c r="J29" s="1172"/>
      <c r="K29" s="1172"/>
      <c r="L29" s="1173"/>
      <c r="M29" s="1172">
        <f>-716000-193320</f>
        <v>-909320</v>
      </c>
      <c r="N29" s="1172"/>
      <c r="O29" s="1172"/>
      <c r="P29" s="1174"/>
      <c r="Q29" s="1175"/>
      <c r="R29" s="1172"/>
      <c r="S29" s="1172"/>
      <c r="T29" s="1172"/>
      <c r="U29" s="1172"/>
      <c r="V29" s="1172"/>
      <c r="W29" s="1172"/>
      <c r="X29" s="1176"/>
    </row>
    <row r="30" spans="1:24" ht="25.5" customHeight="1" x14ac:dyDescent="0.2">
      <c r="A30" s="2053"/>
      <c r="B30" s="2055"/>
      <c r="C30" s="2057"/>
      <c r="D30" s="1177" t="s">
        <v>193</v>
      </c>
      <c r="E30" s="1374" t="s">
        <v>547</v>
      </c>
      <c r="F30" s="1374" t="s">
        <v>133</v>
      </c>
      <c r="G30" s="1178" t="s">
        <v>1829</v>
      </c>
      <c r="H30" s="1172"/>
      <c r="I30" s="1172"/>
      <c r="J30" s="1172"/>
      <c r="K30" s="1172"/>
      <c r="L30" s="1173"/>
      <c r="M30" s="1172">
        <f>716000+193320</f>
        <v>909320</v>
      </c>
      <c r="N30" s="1172"/>
      <c r="O30" s="1172"/>
      <c r="P30" s="1174"/>
      <c r="Q30" s="1175"/>
      <c r="R30" s="1172"/>
      <c r="S30" s="1172"/>
      <c r="T30" s="1172"/>
      <c r="U30" s="1172"/>
      <c r="V30" s="1172"/>
      <c r="W30" s="1172"/>
      <c r="X30" s="1176"/>
    </row>
    <row r="31" spans="1:24" ht="23.25" customHeight="1" x14ac:dyDescent="0.2">
      <c r="A31" s="2052" t="s">
        <v>197</v>
      </c>
      <c r="B31" s="2054" t="s">
        <v>743</v>
      </c>
      <c r="C31" s="2056" t="s">
        <v>1873</v>
      </c>
      <c r="D31" s="1177" t="s">
        <v>193</v>
      </c>
      <c r="E31" s="1374" t="s">
        <v>130</v>
      </c>
      <c r="F31" s="1374" t="s">
        <v>91</v>
      </c>
      <c r="G31" s="1178" t="s">
        <v>1828</v>
      </c>
      <c r="H31" s="1172"/>
      <c r="I31" s="1172"/>
      <c r="J31" s="1172"/>
      <c r="K31" s="1172"/>
      <c r="L31" s="1173"/>
      <c r="M31" s="1172">
        <f>-572992-154708</f>
        <v>-727700</v>
      </c>
      <c r="N31" s="1172"/>
      <c r="O31" s="1172"/>
      <c r="P31" s="1174"/>
      <c r="Q31" s="1175"/>
      <c r="R31" s="1172"/>
      <c r="S31" s="1172"/>
      <c r="T31" s="1172"/>
      <c r="U31" s="1172"/>
      <c r="V31" s="1172"/>
      <c r="W31" s="1172"/>
      <c r="X31" s="1176"/>
    </row>
    <row r="32" spans="1:24" ht="23.25" customHeight="1" x14ac:dyDescent="0.2">
      <c r="A32" s="2053"/>
      <c r="B32" s="2055"/>
      <c r="C32" s="2057"/>
      <c r="D32" s="1177" t="s">
        <v>193</v>
      </c>
      <c r="E32" s="1374" t="s">
        <v>130</v>
      </c>
      <c r="F32" s="1374" t="s">
        <v>91</v>
      </c>
      <c r="G32" s="1178" t="s">
        <v>1829</v>
      </c>
      <c r="H32" s="1172"/>
      <c r="I32" s="1172"/>
      <c r="J32" s="1172"/>
      <c r="K32" s="1172"/>
      <c r="L32" s="1173"/>
      <c r="M32" s="1172">
        <f>572992+154708</f>
        <v>727700</v>
      </c>
      <c r="N32" s="1172"/>
      <c r="O32" s="1172"/>
      <c r="P32" s="1174"/>
      <c r="Q32" s="1175"/>
      <c r="R32" s="1172"/>
      <c r="S32" s="1172"/>
      <c r="T32" s="1172"/>
      <c r="U32" s="1172"/>
      <c r="V32" s="1172"/>
      <c r="W32" s="1172"/>
      <c r="X32" s="1176"/>
    </row>
    <row r="33" spans="1:24" ht="24" customHeight="1" x14ac:dyDescent="0.2">
      <c r="A33" s="2052" t="s">
        <v>198</v>
      </c>
      <c r="B33" s="2054" t="s">
        <v>874</v>
      </c>
      <c r="C33" s="2056" t="s">
        <v>1874</v>
      </c>
      <c r="D33" s="1177" t="s">
        <v>195</v>
      </c>
      <c r="E33" s="1374" t="s">
        <v>74</v>
      </c>
      <c r="F33" s="1374" t="s">
        <v>1870</v>
      </c>
      <c r="G33" s="1178" t="s">
        <v>1828</v>
      </c>
      <c r="H33" s="1172"/>
      <c r="I33" s="1172"/>
      <c r="J33" s="1172"/>
      <c r="K33" s="1172"/>
      <c r="L33" s="1173">
        <v>-150000</v>
      </c>
      <c r="M33" s="1172"/>
      <c r="N33" s="1172"/>
      <c r="O33" s="1172"/>
      <c r="P33" s="1174"/>
      <c r="Q33" s="1175"/>
      <c r="R33" s="1172"/>
      <c r="S33" s="1172"/>
      <c r="T33" s="1172"/>
      <c r="U33" s="1172"/>
      <c r="V33" s="1172"/>
      <c r="W33" s="1172"/>
      <c r="X33" s="1176"/>
    </row>
    <row r="34" spans="1:24" ht="24" customHeight="1" x14ac:dyDescent="0.2">
      <c r="A34" s="2053"/>
      <c r="B34" s="2055"/>
      <c r="C34" s="2057"/>
      <c r="D34" s="1177" t="s">
        <v>192</v>
      </c>
      <c r="E34" s="1374" t="s">
        <v>602</v>
      </c>
      <c r="F34" s="1374" t="s">
        <v>1875</v>
      </c>
      <c r="G34" s="1178" t="s">
        <v>1829</v>
      </c>
      <c r="H34" s="1172"/>
      <c r="I34" s="1172"/>
      <c r="J34" s="1172"/>
      <c r="K34" s="1172"/>
      <c r="L34" s="1173">
        <v>150000</v>
      </c>
      <c r="M34" s="1172"/>
      <c r="N34" s="1172"/>
      <c r="O34" s="1172"/>
      <c r="P34" s="1174"/>
      <c r="Q34" s="1175"/>
      <c r="R34" s="1172"/>
      <c r="S34" s="1172"/>
      <c r="T34" s="1172"/>
      <c r="U34" s="1172"/>
      <c r="V34" s="1172"/>
      <c r="W34" s="1172"/>
      <c r="X34" s="1176"/>
    </row>
    <row r="35" spans="1:24" ht="33" customHeight="1" x14ac:dyDescent="0.2">
      <c r="A35" s="2052" t="s">
        <v>225</v>
      </c>
      <c r="B35" s="2054" t="s">
        <v>321</v>
      </c>
      <c r="C35" s="2056" t="s">
        <v>2159</v>
      </c>
      <c r="D35" s="1177" t="s">
        <v>195</v>
      </c>
      <c r="E35" s="1374" t="s">
        <v>74</v>
      </c>
      <c r="F35" s="1374" t="s">
        <v>1870</v>
      </c>
      <c r="G35" s="1178" t="s">
        <v>1828</v>
      </c>
      <c r="H35" s="1172"/>
      <c r="I35" s="1172"/>
      <c r="J35" s="1172"/>
      <c r="K35" s="1172"/>
      <c r="L35" s="1173">
        <v>-4445000</v>
      </c>
      <c r="M35" s="1172"/>
      <c r="N35" s="1172"/>
      <c r="O35" s="1172"/>
      <c r="P35" s="1174"/>
      <c r="Q35" s="1175"/>
      <c r="R35" s="1172"/>
      <c r="S35" s="1172"/>
      <c r="T35" s="1172"/>
      <c r="U35" s="1172"/>
      <c r="V35" s="1172"/>
      <c r="W35" s="1172"/>
      <c r="X35" s="1176"/>
    </row>
    <row r="36" spans="1:24" ht="33" customHeight="1" x14ac:dyDescent="0.2">
      <c r="A36" s="2053"/>
      <c r="B36" s="2055"/>
      <c r="C36" s="2057"/>
      <c r="D36" s="1177" t="s">
        <v>193</v>
      </c>
      <c r="E36" s="1374" t="s">
        <v>545</v>
      </c>
      <c r="F36" s="1374" t="s">
        <v>831</v>
      </c>
      <c r="G36" s="1178" t="s">
        <v>1829</v>
      </c>
      <c r="H36" s="1172"/>
      <c r="I36" s="1172"/>
      <c r="J36" s="1172"/>
      <c r="K36" s="1172"/>
      <c r="L36" s="1173"/>
      <c r="M36" s="1172">
        <f>3500000+945000</f>
        <v>4445000</v>
      </c>
      <c r="N36" s="1172"/>
      <c r="O36" s="1172"/>
      <c r="P36" s="1174"/>
      <c r="Q36" s="1175"/>
      <c r="R36" s="1172"/>
      <c r="S36" s="1172"/>
      <c r="T36" s="1172"/>
      <c r="U36" s="1172"/>
      <c r="V36" s="1172"/>
      <c r="W36" s="1172"/>
      <c r="X36" s="1176"/>
    </row>
    <row r="37" spans="1:24" ht="33" customHeight="1" x14ac:dyDescent="0.2">
      <c r="A37" s="2052" t="s">
        <v>226</v>
      </c>
      <c r="B37" s="2054" t="s">
        <v>322</v>
      </c>
      <c r="C37" s="2056" t="s">
        <v>2165</v>
      </c>
      <c r="D37" s="1177" t="s">
        <v>195</v>
      </c>
      <c r="E37" s="1374" t="s">
        <v>74</v>
      </c>
      <c r="F37" s="1374" t="s">
        <v>1870</v>
      </c>
      <c r="G37" s="1178" t="s">
        <v>1828</v>
      </c>
      <c r="H37" s="1172"/>
      <c r="I37" s="1172"/>
      <c r="J37" s="1172"/>
      <c r="K37" s="1172"/>
      <c r="L37" s="1173">
        <v>-1752600</v>
      </c>
      <c r="M37" s="1172"/>
      <c r="N37" s="1172"/>
      <c r="O37" s="1172"/>
      <c r="P37" s="1174"/>
      <c r="Q37" s="1175"/>
      <c r="R37" s="1172"/>
      <c r="S37" s="1172"/>
      <c r="T37" s="1172"/>
      <c r="U37" s="1172"/>
      <c r="V37" s="1172"/>
      <c r="W37" s="1172"/>
      <c r="X37" s="1176"/>
    </row>
    <row r="38" spans="1:24" ht="33" customHeight="1" x14ac:dyDescent="0.2">
      <c r="A38" s="2053"/>
      <c r="B38" s="2055"/>
      <c r="C38" s="2057"/>
      <c r="D38" s="1177" t="s">
        <v>193</v>
      </c>
      <c r="E38" s="1374" t="s">
        <v>545</v>
      </c>
      <c r="F38" s="1374" t="s">
        <v>831</v>
      </c>
      <c r="G38" s="1178" t="s">
        <v>1829</v>
      </c>
      <c r="H38" s="1172"/>
      <c r="I38" s="1172"/>
      <c r="J38" s="1172"/>
      <c r="K38" s="1172"/>
      <c r="L38" s="1173"/>
      <c r="M38" s="1172">
        <f>1380000+372600</f>
        <v>1752600</v>
      </c>
      <c r="N38" s="1172"/>
      <c r="O38" s="1172"/>
      <c r="P38" s="1174"/>
      <c r="Q38" s="1175"/>
      <c r="R38" s="1172"/>
      <c r="S38" s="1172"/>
      <c r="T38" s="1172"/>
      <c r="U38" s="1172"/>
      <c r="V38" s="1172"/>
      <c r="W38" s="1172"/>
      <c r="X38" s="1176"/>
    </row>
    <row r="39" spans="1:24" ht="32.25" customHeight="1" x14ac:dyDescent="0.2">
      <c r="A39" s="2052" t="s">
        <v>227</v>
      </c>
      <c r="B39" s="2054" t="s">
        <v>323</v>
      </c>
      <c r="C39" s="2056" t="s">
        <v>2155</v>
      </c>
      <c r="D39" s="1177" t="s">
        <v>195</v>
      </c>
      <c r="E39" s="1374" t="s">
        <v>74</v>
      </c>
      <c r="F39" s="1374" t="s">
        <v>1870</v>
      </c>
      <c r="G39" s="1178" t="s">
        <v>1828</v>
      </c>
      <c r="H39" s="1172"/>
      <c r="I39" s="1172"/>
      <c r="J39" s="1172"/>
      <c r="K39" s="1172"/>
      <c r="L39" s="1173">
        <v>-2535300</v>
      </c>
      <c r="M39" s="1172"/>
      <c r="N39" s="1172"/>
      <c r="O39" s="1172"/>
      <c r="P39" s="1174"/>
      <c r="Q39" s="1175"/>
      <c r="R39" s="1172"/>
      <c r="S39" s="1172"/>
      <c r="T39" s="1172"/>
      <c r="U39" s="1172"/>
      <c r="V39" s="1172"/>
      <c r="W39" s="1172"/>
      <c r="X39" s="1176"/>
    </row>
    <row r="40" spans="1:24" ht="32.25" customHeight="1" x14ac:dyDescent="0.2">
      <c r="A40" s="2053"/>
      <c r="B40" s="2055"/>
      <c r="C40" s="2057"/>
      <c r="D40" s="1177" t="s">
        <v>197</v>
      </c>
      <c r="E40" s="1374" t="s">
        <v>1288</v>
      </c>
      <c r="F40" s="1374" t="s">
        <v>535</v>
      </c>
      <c r="G40" s="1178" t="s">
        <v>1829</v>
      </c>
      <c r="H40" s="1172"/>
      <c r="I40" s="1172"/>
      <c r="J40" s="1172"/>
      <c r="K40" s="1172"/>
      <c r="L40" s="1173"/>
      <c r="M40" s="1172"/>
      <c r="N40" s="1172"/>
      <c r="O40" s="1172"/>
      <c r="P40" s="1174">
        <v>2535300</v>
      </c>
      <c r="Q40" s="1175"/>
      <c r="R40" s="1172"/>
      <c r="S40" s="1172"/>
      <c r="T40" s="1172"/>
      <c r="U40" s="1172"/>
      <c r="V40" s="1172"/>
      <c r="W40" s="1172"/>
      <c r="X40" s="1176"/>
    </row>
    <row r="41" spans="1:24" ht="28.5" customHeight="1" x14ac:dyDescent="0.2">
      <c r="A41" s="2052" t="s">
        <v>228</v>
      </c>
      <c r="B41" s="2054" t="s">
        <v>324</v>
      </c>
      <c r="C41" s="2056" t="s">
        <v>1877</v>
      </c>
      <c r="D41" s="1177" t="s">
        <v>198</v>
      </c>
      <c r="E41" s="1374" t="s">
        <v>1375</v>
      </c>
      <c r="F41" s="1374" t="s">
        <v>1878</v>
      </c>
      <c r="G41" s="1178" t="s">
        <v>1829</v>
      </c>
      <c r="H41" s="1172"/>
      <c r="I41" s="1172"/>
      <c r="J41" s="1172"/>
      <c r="K41" s="1172"/>
      <c r="L41" s="1173"/>
      <c r="M41" s="1172"/>
      <c r="N41" s="1172"/>
      <c r="O41" s="1172"/>
      <c r="P41" s="1174"/>
      <c r="Q41" s="1175">
        <v>2341175</v>
      </c>
      <c r="R41" s="1172"/>
      <c r="S41" s="1172"/>
      <c r="T41" s="1172"/>
      <c r="U41" s="1172"/>
      <c r="V41" s="1172"/>
      <c r="W41" s="1172"/>
      <c r="X41" s="1176"/>
    </row>
    <row r="42" spans="1:24" ht="28.5" customHeight="1" x14ac:dyDescent="0.2">
      <c r="A42" s="2053"/>
      <c r="B42" s="2055"/>
      <c r="C42" s="2057"/>
      <c r="D42" s="1177" t="s">
        <v>195</v>
      </c>
      <c r="E42" s="1374" t="s">
        <v>74</v>
      </c>
      <c r="F42" s="1374" t="s">
        <v>1870</v>
      </c>
      <c r="G42" s="1178" t="s">
        <v>1829</v>
      </c>
      <c r="H42" s="1172"/>
      <c r="I42" s="1172"/>
      <c r="J42" s="1172"/>
      <c r="K42" s="1172"/>
      <c r="L42" s="1173">
        <v>2341175</v>
      </c>
      <c r="M42" s="1172"/>
      <c r="N42" s="1172"/>
      <c r="O42" s="1172"/>
      <c r="P42" s="1174"/>
      <c r="Q42" s="1175"/>
      <c r="R42" s="1172"/>
      <c r="S42" s="1172"/>
      <c r="T42" s="1172"/>
      <c r="U42" s="1172"/>
      <c r="V42" s="1172"/>
      <c r="W42" s="1172"/>
      <c r="X42" s="1176"/>
    </row>
    <row r="43" spans="1:24" ht="26.25" customHeight="1" x14ac:dyDescent="0.2">
      <c r="A43" s="2052" t="s">
        <v>229</v>
      </c>
      <c r="B43" s="2054" t="s">
        <v>325</v>
      </c>
      <c r="C43" s="2056" t="s">
        <v>1879</v>
      </c>
      <c r="D43" s="1177" t="s">
        <v>198</v>
      </c>
      <c r="E43" s="1374" t="s">
        <v>1375</v>
      </c>
      <c r="F43" s="1374" t="s">
        <v>1878</v>
      </c>
      <c r="G43" s="1178" t="s">
        <v>1829</v>
      </c>
      <c r="H43" s="1172"/>
      <c r="I43" s="1172"/>
      <c r="J43" s="1172"/>
      <c r="K43" s="1172"/>
      <c r="L43" s="1173"/>
      <c r="M43" s="1172"/>
      <c r="N43" s="1172"/>
      <c r="O43" s="1172"/>
      <c r="P43" s="1174"/>
      <c r="Q43" s="1175">
        <v>2438905</v>
      </c>
      <c r="R43" s="1172"/>
      <c r="S43" s="1172"/>
      <c r="T43" s="1172"/>
      <c r="U43" s="1172"/>
      <c r="V43" s="1172"/>
      <c r="W43" s="1172"/>
      <c r="X43" s="1176"/>
    </row>
    <row r="44" spans="1:24" ht="26.25" customHeight="1" x14ac:dyDescent="0.2">
      <c r="A44" s="2053"/>
      <c r="B44" s="2055"/>
      <c r="C44" s="2057"/>
      <c r="D44" s="1177" t="s">
        <v>195</v>
      </c>
      <c r="E44" s="1374" t="s">
        <v>74</v>
      </c>
      <c r="F44" s="1374" t="s">
        <v>1870</v>
      </c>
      <c r="G44" s="1178" t="s">
        <v>1829</v>
      </c>
      <c r="H44" s="1172"/>
      <c r="I44" s="1172"/>
      <c r="J44" s="1172"/>
      <c r="K44" s="1172"/>
      <c r="L44" s="1173">
        <v>2438905</v>
      </c>
      <c r="M44" s="1172"/>
      <c r="N44" s="1172"/>
      <c r="O44" s="1172"/>
      <c r="P44" s="1174"/>
      <c r="Q44" s="1175"/>
      <c r="R44" s="1172"/>
      <c r="S44" s="1172"/>
      <c r="T44" s="1172"/>
      <c r="U44" s="1172"/>
      <c r="V44" s="1172"/>
      <c r="W44" s="1172"/>
      <c r="X44" s="1176"/>
    </row>
    <row r="45" spans="1:24" ht="30.75" customHeight="1" x14ac:dyDescent="0.2">
      <c r="A45" s="1491" t="s">
        <v>230</v>
      </c>
      <c r="B45" s="1375" t="s">
        <v>744</v>
      </c>
      <c r="C45" s="1631" t="s">
        <v>1880</v>
      </c>
      <c r="D45" s="1177" t="s">
        <v>188</v>
      </c>
      <c r="E45" s="1374" t="s">
        <v>131</v>
      </c>
      <c r="F45" s="1374" t="s">
        <v>1881</v>
      </c>
      <c r="G45" s="1178" t="s">
        <v>1837</v>
      </c>
      <c r="H45" s="1172"/>
      <c r="I45" s="1172"/>
      <c r="J45" s="1172">
        <f>-1897181+1496063+401118</f>
        <v>0</v>
      </c>
      <c r="K45" s="1172"/>
      <c r="L45" s="1173"/>
      <c r="M45" s="1172"/>
      <c r="N45" s="1172"/>
      <c r="O45" s="1172"/>
      <c r="P45" s="1174"/>
      <c r="Q45" s="1175"/>
      <c r="R45" s="1172"/>
      <c r="S45" s="1172"/>
      <c r="T45" s="1172"/>
      <c r="U45" s="1172"/>
      <c r="V45" s="1172"/>
      <c r="W45" s="1172"/>
      <c r="X45" s="1176"/>
    </row>
    <row r="46" spans="1:24" ht="42" customHeight="1" x14ac:dyDescent="0.2">
      <c r="A46" s="1491" t="s">
        <v>231</v>
      </c>
      <c r="B46" s="1375" t="s">
        <v>768</v>
      </c>
      <c r="C46" s="1631" t="s">
        <v>1882</v>
      </c>
      <c r="D46" s="1177" t="s">
        <v>188</v>
      </c>
      <c r="E46" s="1374" t="s">
        <v>131</v>
      </c>
      <c r="F46" s="1374" t="s">
        <v>1883</v>
      </c>
      <c r="G46" s="1178" t="s">
        <v>1837</v>
      </c>
      <c r="H46" s="1172"/>
      <c r="I46" s="1172"/>
      <c r="J46" s="1172">
        <f>-3000000+3000000</f>
        <v>0</v>
      </c>
      <c r="K46" s="1172"/>
      <c r="L46" s="1173"/>
      <c r="M46" s="1172"/>
      <c r="N46" s="1172"/>
      <c r="O46" s="1172"/>
      <c r="P46" s="1174"/>
      <c r="Q46" s="1175"/>
      <c r="R46" s="1172"/>
      <c r="S46" s="1172"/>
      <c r="T46" s="1172"/>
      <c r="U46" s="1172"/>
      <c r="V46" s="1172"/>
      <c r="W46" s="1172"/>
      <c r="X46" s="1176"/>
    </row>
    <row r="47" spans="1:24" ht="25.5" customHeight="1" x14ac:dyDescent="0.2">
      <c r="A47" s="2052" t="s">
        <v>232</v>
      </c>
      <c r="B47" s="2054" t="s">
        <v>769</v>
      </c>
      <c r="C47" s="2056" t="s">
        <v>1884</v>
      </c>
      <c r="D47" s="1177" t="s">
        <v>195</v>
      </c>
      <c r="E47" s="1374" t="s">
        <v>74</v>
      </c>
      <c r="F47" s="1374" t="s">
        <v>1870</v>
      </c>
      <c r="G47" s="1178" t="s">
        <v>1828</v>
      </c>
      <c r="H47" s="1172"/>
      <c r="I47" s="1172"/>
      <c r="J47" s="1172"/>
      <c r="K47" s="1172"/>
      <c r="L47" s="1173">
        <v>-1172200</v>
      </c>
      <c r="M47" s="1172"/>
      <c r="N47" s="1172"/>
      <c r="O47" s="1172"/>
      <c r="P47" s="1174"/>
      <c r="Q47" s="1175"/>
      <c r="R47" s="1172"/>
      <c r="S47" s="1172"/>
      <c r="T47" s="1172"/>
      <c r="U47" s="1172"/>
      <c r="V47" s="1172"/>
      <c r="W47" s="1172"/>
      <c r="X47" s="1176"/>
    </row>
    <row r="48" spans="1:24" ht="25.5" customHeight="1" x14ac:dyDescent="0.2">
      <c r="A48" s="2053"/>
      <c r="B48" s="2055"/>
      <c r="C48" s="2057"/>
      <c r="D48" s="1177" t="s">
        <v>188</v>
      </c>
      <c r="E48" s="1374" t="s">
        <v>584</v>
      </c>
      <c r="F48" s="1374" t="s">
        <v>825</v>
      </c>
      <c r="G48" s="1178" t="s">
        <v>1829</v>
      </c>
      <c r="H48" s="1172"/>
      <c r="I48" s="1172"/>
      <c r="J48" s="1172">
        <f>922992+249208</f>
        <v>1172200</v>
      </c>
      <c r="K48" s="1172"/>
      <c r="L48" s="1173"/>
      <c r="M48" s="1172"/>
      <c r="N48" s="1172"/>
      <c r="O48" s="1172"/>
      <c r="P48" s="1174"/>
      <c r="Q48" s="1175"/>
      <c r="R48" s="1172"/>
      <c r="S48" s="1172"/>
      <c r="T48" s="1172"/>
      <c r="U48" s="1172"/>
      <c r="V48" s="1172"/>
      <c r="W48" s="1172"/>
      <c r="X48" s="1176"/>
    </row>
    <row r="49" spans="1:24" ht="35.25" customHeight="1" x14ac:dyDescent="0.2">
      <c r="A49" s="1491" t="s">
        <v>233</v>
      </c>
      <c r="B49" s="1375" t="s">
        <v>770</v>
      </c>
      <c r="C49" s="1631" t="s">
        <v>1853</v>
      </c>
      <c r="D49" s="1177" t="s">
        <v>188</v>
      </c>
      <c r="E49" s="1374" t="s">
        <v>131</v>
      </c>
      <c r="F49" s="1374" t="s">
        <v>153</v>
      </c>
      <c r="G49" s="1178" t="s">
        <v>1829</v>
      </c>
      <c r="H49" s="1172"/>
      <c r="I49" s="1172"/>
      <c r="J49" s="1172">
        <f>10000000+2700000</f>
        <v>12700000</v>
      </c>
      <c r="K49" s="1172"/>
      <c r="L49" s="1173"/>
      <c r="M49" s="1172"/>
      <c r="N49" s="1172"/>
      <c r="O49" s="1172"/>
      <c r="P49" s="1174"/>
      <c r="Q49" s="1175"/>
      <c r="R49" s="1172"/>
      <c r="S49" s="1172"/>
      <c r="T49" s="1172">
        <f>10000000+2700000</f>
        <v>12700000</v>
      </c>
      <c r="U49" s="1172"/>
      <c r="V49" s="1172"/>
      <c r="W49" s="1172"/>
      <c r="X49" s="1176"/>
    </row>
    <row r="50" spans="1:24" ht="30.75" customHeight="1" x14ac:dyDescent="0.2">
      <c r="A50" s="1491" t="s">
        <v>260</v>
      </c>
      <c r="B50" s="1375" t="s">
        <v>773</v>
      </c>
      <c r="C50" s="1631" t="s">
        <v>1885</v>
      </c>
      <c r="D50" s="1177" t="s">
        <v>188</v>
      </c>
      <c r="E50" s="1374" t="s">
        <v>74</v>
      </c>
      <c r="F50" s="1374" t="s">
        <v>440</v>
      </c>
      <c r="G50" s="1178" t="s">
        <v>1837</v>
      </c>
      <c r="H50" s="1172"/>
      <c r="I50" s="1172"/>
      <c r="J50" s="1172">
        <f>-15000+15000</f>
        <v>0</v>
      </c>
      <c r="K50" s="1172"/>
      <c r="L50" s="1173"/>
      <c r="M50" s="1172"/>
      <c r="N50" s="1172"/>
      <c r="O50" s="1172"/>
      <c r="P50" s="1174"/>
      <c r="Q50" s="1175"/>
      <c r="R50" s="1172"/>
      <c r="S50" s="1172"/>
      <c r="T50" s="1172"/>
      <c r="U50" s="1172"/>
      <c r="V50" s="1172"/>
      <c r="W50" s="1172"/>
      <c r="X50" s="1176"/>
    </row>
    <row r="51" spans="1:24" ht="31.5" customHeight="1" x14ac:dyDescent="0.2">
      <c r="A51" s="1491" t="s">
        <v>261</v>
      </c>
      <c r="B51" s="1375" t="s">
        <v>774</v>
      </c>
      <c r="C51" s="1631" t="s">
        <v>1886</v>
      </c>
      <c r="D51" s="1177" t="s">
        <v>188</v>
      </c>
      <c r="E51" s="1374" t="s">
        <v>813</v>
      </c>
      <c r="F51" s="1374" t="s">
        <v>812</v>
      </c>
      <c r="G51" s="1178" t="s">
        <v>1837</v>
      </c>
      <c r="H51" s="1172"/>
      <c r="I51" s="1172"/>
      <c r="J51" s="1172">
        <f>-100000+100000</f>
        <v>0</v>
      </c>
      <c r="K51" s="1172"/>
      <c r="L51" s="1173"/>
      <c r="M51" s="1172"/>
      <c r="N51" s="1172"/>
      <c r="O51" s="1172"/>
      <c r="P51" s="1174"/>
      <c r="Q51" s="1175"/>
      <c r="R51" s="1172"/>
      <c r="S51" s="1172"/>
      <c r="T51" s="1172"/>
      <c r="U51" s="1172"/>
      <c r="V51" s="1172"/>
      <c r="W51" s="1172"/>
      <c r="X51" s="1176"/>
    </row>
    <row r="52" spans="1:24" ht="23.25" customHeight="1" x14ac:dyDescent="0.2">
      <c r="A52" s="2052" t="s">
        <v>262</v>
      </c>
      <c r="B52" s="2054" t="s">
        <v>775</v>
      </c>
      <c r="C52" s="2056" t="s">
        <v>1887</v>
      </c>
      <c r="D52" s="1177" t="s">
        <v>195</v>
      </c>
      <c r="E52" s="1374" t="s">
        <v>74</v>
      </c>
      <c r="F52" s="1374" t="s">
        <v>1870</v>
      </c>
      <c r="G52" s="1178" t="s">
        <v>1828</v>
      </c>
      <c r="H52" s="1172"/>
      <c r="I52" s="1172"/>
      <c r="J52" s="1172"/>
      <c r="K52" s="1172"/>
      <c r="L52" s="1173">
        <v>-11045040</v>
      </c>
      <c r="M52" s="1172"/>
      <c r="N52" s="1172"/>
      <c r="O52" s="1172"/>
      <c r="P52" s="1174"/>
      <c r="Q52" s="1175"/>
      <c r="R52" s="1172"/>
      <c r="S52" s="1172"/>
      <c r="T52" s="1172"/>
      <c r="U52" s="1172"/>
      <c r="V52" s="1172"/>
      <c r="W52" s="1172"/>
      <c r="X52" s="1176"/>
    </row>
    <row r="53" spans="1:24" ht="23.25" customHeight="1" x14ac:dyDescent="0.2">
      <c r="A53" s="2053"/>
      <c r="B53" s="2055"/>
      <c r="C53" s="2057"/>
      <c r="D53" s="1177" t="s">
        <v>188</v>
      </c>
      <c r="E53" s="1374" t="s">
        <v>584</v>
      </c>
      <c r="F53" s="1374" t="s">
        <v>825</v>
      </c>
      <c r="G53" s="1178" t="s">
        <v>1829</v>
      </c>
      <c r="H53" s="1172"/>
      <c r="I53" s="1172"/>
      <c r="J53" s="1172">
        <f>8696882+2348158</f>
        <v>11045040</v>
      </c>
      <c r="K53" s="1172"/>
      <c r="L53" s="1173"/>
      <c r="M53" s="1172"/>
      <c r="N53" s="1172"/>
      <c r="O53" s="1172"/>
      <c r="P53" s="1174"/>
      <c r="Q53" s="1175"/>
      <c r="R53" s="1172"/>
      <c r="S53" s="1172"/>
      <c r="T53" s="1172"/>
      <c r="U53" s="1172"/>
      <c r="V53" s="1172"/>
      <c r="W53" s="1172"/>
      <c r="X53" s="1176"/>
    </row>
    <row r="54" spans="1:24" ht="25.5" customHeight="1" x14ac:dyDescent="0.2">
      <c r="A54" s="2052" t="s">
        <v>263</v>
      </c>
      <c r="B54" s="2054" t="s">
        <v>776</v>
      </c>
      <c r="C54" s="2056" t="s">
        <v>1888</v>
      </c>
      <c r="D54" s="1177" t="s">
        <v>195</v>
      </c>
      <c r="E54" s="1374" t="s">
        <v>74</v>
      </c>
      <c r="F54" s="1374" t="s">
        <v>1870</v>
      </c>
      <c r="G54" s="1178" t="s">
        <v>1828</v>
      </c>
      <c r="H54" s="1172"/>
      <c r="I54" s="1172"/>
      <c r="J54" s="1172"/>
      <c r="K54" s="1172"/>
      <c r="L54" s="1173">
        <v>-86995</v>
      </c>
      <c r="M54" s="1172"/>
      <c r="N54" s="1172"/>
      <c r="O54" s="1172"/>
      <c r="P54" s="1174"/>
      <c r="Q54" s="1175"/>
      <c r="R54" s="1172"/>
      <c r="S54" s="1172"/>
      <c r="T54" s="1172"/>
      <c r="U54" s="1172"/>
      <c r="V54" s="1172"/>
      <c r="W54" s="1172"/>
      <c r="X54" s="1176"/>
    </row>
    <row r="55" spans="1:24" ht="25.5" customHeight="1" x14ac:dyDescent="0.2">
      <c r="A55" s="2053"/>
      <c r="B55" s="2055"/>
      <c r="C55" s="2057"/>
      <c r="D55" s="1177" t="s">
        <v>193</v>
      </c>
      <c r="E55" s="1374" t="s">
        <v>620</v>
      </c>
      <c r="F55" s="1374" t="s">
        <v>134</v>
      </c>
      <c r="G55" s="1178" t="s">
        <v>1829</v>
      </c>
      <c r="H55" s="1172"/>
      <c r="I55" s="1172"/>
      <c r="J55" s="1172"/>
      <c r="K55" s="1172"/>
      <c r="L55" s="1173"/>
      <c r="M55" s="1172">
        <f>68500+18495</f>
        <v>86995</v>
      </c>
      <c r="N55" s="1172"/>
      <c r="O55" s="1172"/>
      <c r="P55" s="1174"/>
      <c r="Q55" s="1175"/>
      <c r="R55" s="1172"/>
      <c r="S55" s="1172"/>
      <c r="T55" s="1172"/>
      <c r="U55" s="1172"/>
      <c r="V55" s="1172"/>
      <c r="W55" s="1172"/>
      <c r="X55" s="1176"/>
    </row>
    <row r="56" spans="1:24" ht="21" customHeight="1" x14ac:dyDescent="0.2">
      <c r="A56" s="2052" t="s">
        <v>264</v>
      </c>
      <c r="B56" s="2054" t="s">
        <v>771</v>
      </c>
      <c r="C56" s="2056" t="s">
        <v>1890</v>
      </c>
      <c r="D56" s="1177" t="s">
        <v>188</v>
      </c>
      <c r="E56" s="1374" t="s">
        <v>626</v>
      </c>
      <c r="F56" s="1374" t="s">
        <v>136</v>
      </c>
      <c r="G56" s="1178" t="s">
        <v>1828</v>
      </c>
      <c r="H56" s="1172"/>
      <c r="I56" s="1172"/>
      <c r="J56" s="1172">
        <f>-100000-27000</f>
        <v>-127000</v>
      </c>
      <c r="K56" s="1172"/>
      <c r="L56" s="1173"/>
      <c r="M56" s="1172"/>
      <c r="N56" s="1172"/>
      <c r="O56" s="1172"/>
      <c r="P56" s="1174"/>
      <c r="Q56" s="1175"/>
      <c r="R56" s="1172"/>
      <c r="S56" s="1172"/>
      <c r="T56" s="1172"/>
      <c r="U56" s="1172"/>
      <c r="V56" s="1172"/>
      <c r="W56" s="1172"/>
      <c r="X56" s="1176"/>
    </row>
    <row r="57" spans="1:24" ht="21" customHeight="1" x14ac:dyDescent="0.2">
      <c r="A57" s="2053"/>
      <c r="B57" s="2055"/>
      <c r="C57" s="2057"/>
      <c r="D57" s="1177" t="s">
        <v>193</v>
      </c>
      <c r="E57" s="1374" t="s">
        <v>626</v>
      </c>
      <c r="F57" s="1374" t="s">
        <v>136</v>
      </c>
      <c r="G57" s="1178" t="s">
        <v>1829</v>
      </c>
      <c r="H57" s="1172"/>
      <c r="I57" s="1172"/>
      <c r="J57" s="1172"/>
      <c r="K57" s="1172"/>
      <c r="L57" s="1173"/>
      <c r="M57" s="1172">
        <f>100000+27000</f>
        <v>127000</v>
      </c>
      <c r="N57" s="1172"/>
      <c r="O57" s="1172"/>
      <c r="P57" s="1174"/>
      <c r="Q57" s="1175"/>
      <c r="R57" s="1172"/>
      <c r="S57" s="1172"/>
      <c r="T57" s="1172"/>
      <c r="U57" s="1172"/>
      <c r="V57" s="1172"/>
      <c r="W57" s="1172"/>
      <c r="X57" s="1176"/>
    </row>
    <row r="58" spans="1:24" ht="29.25" customHeight="1" x14ac:dyDescent="0.2">
      <c r="A58" s="1491" t="s">
        <v>265</v>
      </c>
      <c r="B58" s="1375" t="s">
        <v>772</v>
      </c>
      <c r="C58" s="1631" t="s">
        <v>1891</v>
      </c>
      <c r="D58" s="1177" t="s">
        <v>188</v>
      </c>
      <c r="E58" s="1374" t="s">
        <v>542</v>
      </c>
      <c r="F58" s="1374" t="s">
        <v>447</v>
      </c>
      <c r="G58" s="1178" t="s">
        <v>1837</v>
      </c>
      <c r="H58" s="1172"/>
      <c r="I58" s="1172"/>
      <c r="J58" s="1172">
        <f>-100000+100000</f>
        <v>0</v>
      </c>
      <c r="K58" s="1172"/>
      <c r="L58" s="1173"/>
      <c r="M58" s="1172"/>
      <c r="N58" s="1172"/>
      <c r="O58" s="1172"/>
      <c r="P58" s="1174"/>
      <c r="Q58" s="1175"/>
      <c r="R58" s="1172"/>
      <c r="S58" s="1172"/>
      <c r="T58" s="1172"/>
      <c r="U58" s="1172"/>
      <c r="V58" s="1172"/>
      <c r="W58" s="1172"/>
      <c r="X58" s="1176"/>
    </row>
    <row r="59" spans="1:24" ht="22.5" customHeight="1" x14ac:dyDescent="0.2">
      <c r="A59" s="2052" t="s">
        <v>266</v>
      </c>
      <c r="B59" s="2054" t="s">
        <v>777</v>
      </c>
      <c r="C59" s="2056" t="s">
        <v>1892</v>
      </c>
      <c r="D59" s="1177" t="s">
        <v>188</v>
      </c>
      <c r="E59" s="1374" t="s">
        <v>1861</v>
      </c>
      <c r="F59" s="1374" t="s">
        <v>1859</v>
      </c>
      <c r="G59" s="1178" t="s">
        <v>1828</v>
      </c>
      <c r="H59" s="1172"/>
      <c r="I59" s="1172"/>
      <c r="J59" s="1172">
        <f>-13378-3612</f>
        <v>-16990</v>
      </c>
      <c r="K59" s="1172"/>
      <c r="L59" s="1173"/>
      <c r="M59" s="1172"/>
      <c r="N59" s="1172"/>
      <c r="O59" s="1172"/>
      <c r="P59" s="1174"/>
      <c r="Q59" s="1175"/>
      <c r="R59" s="1172"/>
      <c r="S59" s="1172"/>
      <c r="T59" s="1172"/>
      <c r="U59" s="1172"/>
      <c r="V59" s="1172"/>
      <c r="W59" s="1172"/>
      <c r="X59" s="1176"/>
    </row>
    <row r="60" spans="1:24" ht="22.5" customHeight="1" x14ac:dyDescent="0.2">
      <c r="A60" s="2053"/>
      <c r="B60" s="2055"/>
      <c r="C60" s="2057"/>
      <c r="D60" s="1177" t="s">
        <v>193</v>
      </c>
      <c r="E60" s="1374" t="s">
        <v>1861</v>
      </c>
      <c r="F60" s="1374" t="s">
        <v>1859</v>
      </c>
      <c r="G60" s="1178" t="s">
        <v>1829</v>
      </c>
      <c r="H60" s="1172"/>
      <c r="I60" s="1172"/>
      <c r="J60" s="1172"/>
      <c r="K60" s="1172"/>
      <c r="L60" s="1173"/>
      <c r="M60" s="1172">
        <f>13378+3612</f>
        <v>16990</v>
      </c>
      <c r="N60" s="1172"/>
      <c r="O60" s="1172"/>
      <c r="P60" s="1174"/>
      <c r="Q60" s="1175"/>
      <c r="R60" s="1172"/>
      <c r="S60" s="1172"/>
      <c r="T60" s="1172"/>
      <c r="U60" s="1172"/>
      <c r="V60" s="1172"/>
      <c r="W60" s="1172"/>
      <c r="X60" s="1176"/>
    </row>
    <row r="61" spans="1:24" ht="21" customHeight="1" x14ac:dyDescent="0.2">
      <c r="A61" s="2052" t="s">
        <v>267</v>
      </c>
      <c r="B61" s="2054" t="s">
        <v>778</v>
      </c>
      <c r="C61" s="2056" t="s">
        <v>1894</v>
      </c>
      <c r="D61" s="1177" t="s">
        <v>188</v>
      </c>
      <c r="E61" s="1374" t="s">
        <v>620</v>
      </c>
      <c r="F61" s="1374" t="s">
        <v>68</v>
      </c>
      <c r="G61" s="1178" t="s">
        <v>1829</v>
      </c>
      <c r="H61" s="1172"/>
      <c r="I61" s="1172"/>
      <c r="J61" s="1172"/>
      <c r="K61" s="1172"/>
      <c r="L61" s="1173"/>
      <c r="M61" s="1172"/>
      <c r="N61" s="1172"/>
      <c r="O61" s="1172"/>
      <c r="P61" s="1174"/>
      <c r="Q61" s="1175"/>
      <c r="R61" s="1172"/>
      <c r="S61" s="1172"/>
      <c r="T61" s="1172">
        <f>112598+30402</f>
        <v>143000</v>
      </c>
      <c r="U61" s="1172"/>
      <c r="V61" s="1172"/>
      <c r="W61" s="1172"/>
      <c r="X61" s="1176"/>
    </row>
    <row r="62" spans="1:24" ht="21" customHeight="1" x14ac:dyDescent="0.2">
      <c r="A62" s="2053"/>
      <c r="B62" s="2055"/>
      <c r="C62" s="2057"/>
      <c r="D62" s="1177" t="s">
        <v>195</v>
      </c>
      <c r="E62" s="1374" t="s">
        <v>74</v>
      </c>
      <c r="F62" s="1374" t="s">
        <v>1870</v>
      </c>
      <c r="G62" s="1178" t="s">
        <v>1829</v>
      </c>
      <c r="H62" s="1172"/>
      <c r="I62" s="1172"/>
      <c r="J62" s="1172"/>
      <c r="K62" s="1172"/>
      <c r="L62" s="1173">
        <v>143000</v>
      </c>
      <c r="M62" s="1172"/>
      <c r="N62" s="1172"/>
      <c r="O62" s="1172"/>
      <c r="P62" s="1174"/>
      <c r="Q62" s="1175"/>
      <c r="R62" s="1172"/>
      <c r="S62" s="1172"/>
      <c r="T62" s="1172"/>
      <c r="U62" s="1172"/>
      <c r="V62" s="1172"/>
      <c r="W62" s="1172"/>
      <c r="X62" s="1176"/>
    </row>
    <row r="63" spans="1:24" ht="40.5" customHeight="1" x14ac:dyDescent="0.2">
      <c r="A63" s="1491" t="s">
        <v>268</v>
      </c>
      <c r="B63" s="1375" t="s">
        <v>779</v>
      </c>
      <c r="C63" s="1631" t="s">
        <v>1895</v>
      </c>
      <c r="D63" s="1177" t="s">
        <v>188</v>
      </c>
      <c r="E63" s="1374" t="s">
        <v>542</v>
      </c>
      <c r="F63" s="1374" t="s">
        <v>449</v>
      </c>
      <c r="G63" s="1178" t="s">
        <v>1829</v>
      </c>
      <c r="H63" s="1172"/>
      <c r="I63" s="1172"/>
      <c r="J63" s="1172">
        <f>378833+102285</f>
        <v>481118</v>
      </c>
      <c r="K63" s="1172"/>
      <c r="L63" s="1173"/>
      <c r="M63" s="1172"/>
      <c r="N63" s="1172"/>
      <c r="O63" s="1172"/>
      <c r="P63" s="1174"/>
      <c r="Q63" s="1175"/>
      <c r="R63" s="1172"/>
      <c r="S63" s="1172"/>
      <c r="T63" s="1172">
        <v>481118</v>
      </c>
      <c r="U63" s="1172"/>
      <c r="V63" s="1172"/>
      <c r="W63" s="1172"/>
      <c r="X63" s="1176"/>
    </row>
    <row r="64" spans="1:24" ht="19.5" customHeight="1" x14ac:dyDescent="0.2">
      <c r="A64" s="2052" t="s">
        <v>269</v>
      </c>
      <c r="B64" s="2054" t="s">
        <v>780</v>
      </c>
      <c r="C64" s="2056" t="s">
        <v>2006</v>
      </c>
      <c r="D64" s="1177" t="s">
        <v>193</v>
      </c>
      <c r="E64" s="1374" t="s">
        <v>813</v>
      </c>
      <c r="F64" s="1374" t="s">
        <v>1293</v>
      </c>
      <c r="G64" s="1178" t="s">
        <v>1828</v>
      </c>
      <c r="H64" s="1172"/>
      <c r="I64" s="1172"/>
      <c r="J64" s="1172"/>
      <c r="K64" s="1172"/>
      <c r="L64" s="1173"/>
      <c r="M64" s="1172">
        <v>-23017532</v>
      </c>
      <c r="N64" s="1172"/>
      <c r="O64" s="1172"/>
      <c r="P64" s="1174"/>
      <c r="Q64" s="1175"/>
      <c r="R64" s="1172"/>
      <c r="S64" s="1172"/>
      <c r="T64" s="1172"/>
      <c r="U64" s="1172"/>
      <c r="V64" s="1172"/>
      <c r="W64" s="1172"/>
      <c r="X64" s="1176"/>
    </row>
    <row r="65" spans="1:24" ht="19.5" customHeight="1" x14ac:dyDescent="0.2">
      <c r="A65" s="2053"/>
      <c r="B65" s="2055"/>
      <c r="C65" s="2057"/>
      <c r="D65" s="1177" t="s">
        <v>188</v>
      </c>
      <c r="E65" s="1374" t="s">
        <v>813</v>
      </c>
      <c r="F65" s="1374" t="s">
        <v>1293</v>
      </c>
      <c r="G65" s="1178" t="s">
        <v>1829</v>
      </c>
      <c r="H65" s="1172"/>
      <c r="I65" s="1172"/>
      <c r="J65" s="1172">
        <v>23017532</v>
      </c>
      <c r="K65" s="1172"/>
      <c r="L65" s="1173"/>
      <c r="M65" s="1172"/>
      <c r="N65" s="1172"/>
      <c r="O65" s="1172"/>
      <c r="P65" s="1174"/>
      <c r="Q65" s="1175"/>
      <c r="R65" s="1172"/>
      <c r="S65" s="1172"/>
      <c r="T65" s="1172"/>
      <c r="U65" s="1172"/>
      <c r="V65" s="1172"/>
      <c r="W65" s="1172"/>
      <c r="X65" s="1176"/>
    </row>
    <row r="66" spans="1:24" ht="27" customHeight="1" x14ac:dyDescent="0.2">
      <c r="A66" s="2052" t="s">
        <v>270</v>
      </c>
      <c r="B66" s="2054" t="s">
        <v>1989</v>
      </c>
      <c r="C66" s="2056" t="s">
        <v>1896</v>
      </c>
      <c r="D66" s="1177" t="s">
        <v>188</v>
      </c>
      <c r="E66" s="1374" t="s">
        <v>813</v>
      </c>
      <c r="F66" s="1374" t="s">
        <v>1897</v>
      </c>
      <c r="G66" s="1178" t="s">
        <v>1828</v>
      </c>
      <c r="H66" s="1172"/>
      <c r="I66" s="1172"/>
      <c r="J66" s="1172">
        <f>-64000-17280</f>
        <v>-81280</v>
      </c>
      <c r="K66" s="1172"/>
      <c r="L66" s="1173"/>
      <c r="M66" s="1172"/>
      <c r="N66" s="1172"/>
      <c r="O66" s="1172"/>
      <c r="P66" s="1174"/>
      <c r="Q66" s="1175"/>
      <c r="R66" s="1172"/>
      <c r="S66" s="1172"/>
      <c r="T66" s="1172"/>
      <c r="U66" s="1172"/>
      <c r="V66" s="1172"/>
      <c r="W66" s="1172"/>
      <c r="X66" s="1176"/>
    </row>
    <row r="67" spans="1:24" ht="27" customHeight="1" x14ac:dyDescent="0.2">
      <c r="A67" s="2053"/>
      <c r="B67" s="2055"/>
      <c r="C67" s="2057"/>
      <c r="D67" s="1177" t="s">
        <v>193</v>
      </c>
      <c r="E67" s="1374" t="s">
        <v>813</v>
      </c>
      <c r="F67" s="1374" t="s">
        <v>1293</v>
      </c>
      <c r="G67" s="1178" t="s">
        <v>1829</v>
      </c>
      <c r="H67" s="1172"/>
      <c r="I67" s="1172"/>
      <c r="J67" s="1172"/>
      <c r="K67" s="1172"/>
      <c r="L67" s="1173"/>
      <c r="M67" s="1172">
        <f>64000+17280</f>
        <v>81280</v>
      </c>
      <c r="N67" s="1172"/>
      <c r="O67" s="1172"/>
      <c r="P67" s="1174"/>
      <c r="Q67" s="1175"/>
      <c r="R67" s="1172"/>
      <c r="S67" s="1172"/>
      <c r="T67" s="1172"/>
      <c r="U67" s="1172"/>
      <c r="V67" s="1172"/>
      <c r="W67" s="1172"/>
      <c r="X67" s="1176"/>
    </row>
    <row r="68" spans="1:24" ht="22.5" customHeight="1" x14ac:dyDescent="0.2">
      <c r="A68" s="2052" t="s">
        <v>271</v>
      </c>
      <c r="B68" s="2054" t="s">
        <v>783</v>
      </c>
      <c r="C68" s="2056" t="s">
        <v>1898</v>
      </c>
      <c r="D68" s="1177" t="s">
        <v>195</v>
      </c>
      <c r="E68" s="1374" t="s">
        <v>74</v>
      </c>
      <c r="F68" s="1374" t="s">
        <v>1870</v>
      </c>
      <c r="G68" s="1178" t="s">
        <v>1828</v>
      </c>
      <c r="H68" s="1172"/>
      <c r="I68" s="1172"/>
      <c r="J68" s="1172"/>
      <c r="K68" s="1172"/>
      <c r="L68" s="1173">
        <v>-445156</v>
      </c>
      <c r="M68" s="1172"/>
      <c r="N68" s="1172"/>
      <c r="O68" s="1172"/>
      <c r="P68" s="1174"/>
      <c r="Q68" s="1175"/>
      <c r="R68" s="1172"/>
      <c r="S68" s="1172"/>
      <c r="T68" s="1172"/>
      <c r="U68" s="1172"/>
      <c r="V68" s="1172"/>
      <c r="W68" s="1172"/>
      <c r="X68" s="1176"/>
    </row>
    <row r="69" spans="1:24" ht="22.5" customHeight="1" x14ac:dyDescent="0.2">
      <c r="A69" s="2053"/>
      <c r="B69" s="2055"/>
      <c r="C69" s="2057"/>
      <c r="D69" s="1177" t="s">
        <v>188</v>
      </c>
      <c r="E69" s="1374" t="s">
        <v>1900</v>
      </c>
      <c r="F69" s="1374" t="s">
        <v>1899</v>
      </c>
      <c r="G69" s="1178" t="s">
        <v>1829</v>
      </c>
      <c r="H69" s="1172"/>
      <c r="I69" s="1172"/>
      <c r="J69" s="1172">
        <f>423958+21198</f>
        <v>445156</v>
      </c>
      <c r="K69" s="1172"/>
      <c r="L69" s="1173"/>
      <c r="M69" s="1172"/>
      <c r="N69" s="1172"/>
      <c r="O69" s="1172"/>
      <c r="P69" s="1174"/>
      <c r="Q69" s="1175"/>
      <c r="R69" s="1172"/>
      <c r="S69" s="1172"/>
      <c r="T69" s="1172"/>
      <c r="U69" s="1172"/>
      <c r="V69" s="1172"/>
      <c r="W69" s="1172"/>
      <c r="X69" s="1176"/>
    </row>
    <row r="70" spans="1:24" ht="39" customHeight="1" x14ac:dyDescent="0.2">
      <c r="A70" s="2052" t="s">
        <v>272</v>
      </c>
      <c r="B70" s="2054" t="s">
        <v>784</v>
      </c>
      <c r="C70" s="2056" t="s">
        <v>2107</v>
      </c>
      <c r="D70" s="1177" t="s">
        <v>195</v>
      </c>
      <c r="E70" s="1374" t="s">
        <v>74</v>
      </c>
      <c r="F70" s="1374" t="s">
        <v>1870</v>
      </c>
      <c r="G70" s="1178" t="s">
        <v>1828</v>
      </c>
      <c r="H70" s="1172"/>
      <c r="I70" s="1172"/>
      <c r="J70" s="1172"/>
      <c r="K70" s="1172"/>
      <c r="L70" s="1173">
        <v>-2032000</v>
      </c>
      <c r="M70" s="1172"/>
      <c r="N70" s="1172"/>
      <c r="O70" s="1172"/>
      <c r="P70" s="1174"/>
      <c r="Q70" s="1175"/>
      <c r="R70" s="1172"/>
      <c r="S70" s="1172"/>
      <c r="T70" s="1172"/>
      <c r="U70" s="1172"/>
      <c r="V70" s="1172"/>
      <c r="W70" s="1172"/>
      <c r="X70" s="1176"/>
    </row>
    <row r="71" spans="1:24" ht="39" customHeight="1" x14ac:dyDescent="0.2">
      <c r="A71" s="2053"/>
      <c r="B71" s="2055"/>
      <c r="C71" s="2057"/>
      <c r="D71" s="1177" t="s">
        <v>188</v>
      </c>
      <c r="E71" s="1374" t="s">
        <v>583</v>
      </c>
      <c r="F71" s="1374" t="s">
        <v>1457</v>
      </c>
      <c r="G71" s="1178" t="s">
        <v>1829</v>
      </c>
      <c r="H71" s="1172"/>
      <c r="I71" s="1172"/>
      <c r="J71" s="1172">
        <f>1600000+432000</f>
        <v>2032000</v>
      </c>
      <c r="K71" s="1172"/>
      <c r="L71" s="1173"/>
      <c r="M71" s="1172"/>
      <c r="N71" s="1172"/>
      <c r="O71" s="1172"/>
      <c r="P71" s="1174"/>
      <c r="Q71" s="1175"/>
      <c r="R71" s="1172"/>
      <c r="S71" s="1172"/>
      <c r="T71" s="1172"/>
      <c r="U71" s="1172"/>
      <c r="V71" s="1172"/>
      <c r="W71" s="1172"/>
      <c r="X71" s="1176"/>
    </row>
    <row r="72" spans="1:24" ht="15.75" customHeight="1" x14ac:dyDescent="0.2">
      <c r="A72" s="2052" t="s">
        <v>276</v>
      </c>
      <c r="B72" s="2054" t="s">
        <v>1990</v>
      </c>
      <c r="C72" s="2056" t="s">
        <v>2160</v>
      </c>
      <c r="D72" s="1177" t="s">
        <v>195</v>
      </c>
      <c r="E72" s="1374" t="s">
        <v>74</v>
      </c>
      <c r="F72" s="1374" t="s">
        <v>1870</v>
      </c>
      <c r="G72" s="1178" t="s">
        <v>1828</v>
      </c>
      <c r="H72" s="1172"/>
      <c r="I72" s="1172"/>
      <c r="J72" s="1172"/>
      <c r="K72" s="1172"/>
      <c r="L72" s="1173">
        <v>-15368553</v>
      </c>
      <c r="M72" s="1172"/>
      <c r="N72" s="1172"/>
      <c r="O72" s="1172"/>
      <c r="P72" s="1174"/>
      <c r="Q72" s="1175"/>
      <c r="R72" s="1172"/>
      <c r="S72" s="1172"/>
      <c r="T72" s="1172"/>
      <c r="U72" s="1172"/>
      <c r="V72" s="1172"/>
      <c r="W72" s="1172"/>
      <c r="X72" s="1176"/>
    </row>
    <row r="73" spans="1:24" ht="15.75" customHeight="1" x14ac:dyDescent="0.2">
      <c r="A73" s="2061"/>
      <c r="B73" s="2060"/>
      <c r="C73" s="2065"/>
      <c r="D73" s="1177" t="s">
        <v>188</v>
      </c>
      <c r="E73" s="1374" t="s">
        <v>626</v>
      </c>
      <c r="F73" s="1374" t="s">
        <v>136</v>
      </c>
      <c r="G73" s="1178" t="s">
        <v>1829</v>
      </c>
      <c r="H73" s="1172"/>
      <c r="I73" s="1172"/>
      <c r="J73" s="1172">
        <f>4315024+1165056</f>
        <v>5480080</v>
      </c>
      <c r="K73" s="1172"/>
      <c r="L73" s="1173"/>
      <c r="M73" s="1172"/>
      <c r="N73" s="1172"/>
      <c r="O73" s="1172"/>
      <c r="P73" s="1174"/>
      <c r="Q73" s="1175"/>
      <c r="R73" s="1172"/>
      <c r="S73" s="1172"/>
      <c r="T73" s="1172"/>
      <c r="U73" s="1172"/>
      <c r="V73" s="1172"/>
      <c r="W73" s="1172"/>
      <c r="X73" s="1176"/>
    </row>
    <row r="74" spans="1:24" ht="15.75" customHeight="1" x14ac:dyDescent="0.2">
      <c r="A74" s="2061"/>
      <c r="B74" s="2060"/>
      <c r="C74" s="2065"/>
      <c r="D74" s="1177" t="s">
        <v>188</v>
      </c>
      <c r="E74" s="1374" t="s">
        <v>620</v>
      </c>
      <c r="F74" s="1374" t="s">
        <v>1857</v>
      </c>
      <c r="G74" s="1178" t="s">
        <v>1829</v>
      </c>
      <c r="H74" s="1172"/>
      <c r="I74" s="1172"/>
      <c r="J74" s="1172">
        <f>100000+27000</f>
        <v>127000</v>
      </c>
      <c r="K74" s="1172"/>
      <c r="L74" s="1173"/>
      <c r="M74" s="1172"/>
      <c r="N74" s="1172"/>
      <c r="O74" s="1172"/>
      <c r="P74" s="1174"/>
      <c r="Q74" s="1175"/>
      <c r="R74" s="1172"/>
      <c r="S74" s="1172"/>
      <c r="T74" s="1172"/>
      <c r="U74" s="1172"/>
      <c r="V74" s="1172"/>
      <c r="W74" s="1172"/>
      <c r="X74" s="1176"/>
    </row>
    <row r="75" spans="1:24" ht="15.75" customHeight="1" x14ac:dyDescent="0.2">
      <c r="A75" s="2061"/>
      <c r="B75" s="2060"/>
      <c r="C75" s="2065"/>
      <c r="D75" s="1177" t="s">
        <v>188</v>
      </c>
      <c r="E75" s="1374" t="s">
        <v>1860</v>
      </c>
      <c r="F75" s="1374" t="s">
        <v>1858</v>
      </c>
      <c r="G75" s="1178" t="s">
        <v>1829</v>
      </c>
      <c r="H75" s="1172"/>
      <c r="I75" s="1172"/>
      <c r="J75" s="1172">
        <f>1000000+270000</f>
        <v>1270000</v>
      </c>
      <c r="K75" s="1172"/>
      <c r="L75" s="1173"/>
      <c r="M75" s="1172"/>
      <c r="N75" s="1172"/>
      <c r="O75" s="1172"/>
      <c r="P75" s="1174"/>
      <c r="Q75" s="1175"/>
      <c r="R75" s="1172"/>
      <c r="S75" s="1172"/>
      <c r="T75" s="1172"/>
      <c r="U75" s="1172"/>
      <c r="V75" s="1172"/>
      <c r="W75" s="1172"/>
      <c r="X75" s="1176"/>
    </row>
    <row r="76" spans="1:24" ht="15.75" customHeight="1" x14ac:dyDescent="0.2">
      <c r="A76" s="2061"/>
      <c r="B76" s="2060"/>
      <c r="C76" s="2065"/>
      <c r="D76" s="1177" t="s">
        <v>188</v>
      </c>
      <c r="E76" s="1374" t="s">
        <v>131</v>
      </c>
      <c r="F76" s="1374" t="s">
        <v>1902</v>
      </c>
      <c r="G76" s="1178" t="s">
        <v>1829</v>
      </c>
      <c r="H76" s="1172"/>
      <c r="I76" s="1172"/>
      <c r="J76" s="1172">
        <f>4270473+1300000</f>
        <v>5570473</v>
      </c>
      <c r="K76" s="1172"/>
      <c r="L76" s="1173"/>
      <c r="M76" s="1172"/>
      <c r="N76" s="1172"/>
      <c r="O76" s="1172"/>
      <c r="P76" s="1174"/>
      <c r="Q76" s="1175"/>
      <c r="R76" s="1172"/>
      <c r="S76" s="1172"/>
      <c r="T76" s="1172"/>
      <c r="U76" s="1172"/>
      <c r="V76" s="1172"/>
      <c r="W76" s="1172"/>
      <c r="X76" s="1176"/>
    </row>
    <row r="77" spans="1:24" ht="15.75" customHeight="1" x14ac:dyDescent="0.2">
      <c r="A77" s="2061"/>
      <c r="B77" s="2060"/>
      <c r="C77" s="2065"/>
      <c r="D77" s="1177" t="s">
        <v>188</v>
      </c>
      <c r="E77" s="1374" t="s">
        <v>545</v>
      </c>
      <c r="F77" s="1374" t="s">
        <v>831</v>
      </c>
      <c r="G77" s="1178" t="s">
        <v>1829</v>
      </c>
      <c r="H77" s="1172"/>
      <c r="I77" s="1172"/>
      <c r="J77" s="1172">
        <f>300000+81000</f>
        <v>381000</v>
      </c>
      <c r="K77" s="1172"/>
      <c r="L77" s="1173"/>
      <c r="M77" s="1172"/>
      <c r="N77" s="1172"/>
      <c r="O77" s="1172"/>
      <c r="P77" s="1174"/>
      <c r="Q77" s="1175"/>
      <c r="R77" s="1172"/>
      <c r="S77" s="1172"/>
      <c r="T77" s="1172"/>
      <c r="U77" s="1172"/>
      <c r="V77" s="1172"/>
      <c r="W77" s="1172"/>
      <c r="X77" s="1176"/>
    </row>
    <row r="78" spans="1:24" ht="15.75" customHeight="1" x14ac:dyDescent="0.2">
      <c r="A78" s="2053"/>
      <c r="B78" s="2055"/>
      <c r="C78" s="2057"/>
      <c r="D78" s="1177" t="s">
        <v>188</v>
      </c>
      <c r="E78" s="1374" t="s">
        <v>131</v>
      </c>
      <c r="F78" s="1374" t="s">
        <v>1881</v>
      </c>
      <c r="G78" s="1178" t="s">
        <v>1829</v>
      </c>
      <c r="H78" s="1172"/>
      <c r="I78" s="1172"/>
      <c r="J78" s="1172">
        <f>2000000+540000</f>
        <v>2540000</v>
      </c>
      <c r="K78" s="1172"/>
      <c r="L78" s="1173"/>
      <c r="M78" s="1172"/>
      <c r="N78" s="1172"/>
      <c r="O78" s="1172"/>
      <c r="P78" s="1174"/>
      <c r="Q78" s="1175"/>
      <c r="R78" s="1172"/>
      <c r="S78" s="1172"/>
      <c r="T78" s="1172"/>
      <c r="U78" s="1172"/>
      <c r="V78" s="1172"/>
      <c r="W78" s="1172"/>
      <c r="X78" s="1176"/>
    </row>
    <row r="79" spans="1:24" ht="42" customHeight="1" x14ac:dyDescent="0.2">
      <c r="A79" s="1491" t="s">
        <v>277</v>
      </c>
      <c r="B79" s="1375" t="s">
        <v>787</v>
      </c>
      <c r="C79" s="1631" t="s">
        <v>2396</v>
      </c>
      <c r="D79" s="1177" t="s">
        <v>193</v>
      </c>
      <c r="E79" s="1374" t="s">
        <v>583</v>
      </c>
      <c r="F79" s="1374" t="s">
        <v>128</v>
      </c>
      <c r="G79" s="1178" t="s">
        <v>1837</v>
      </c>
      <c r="H79" s="1172"/>
      <c r="I79" s="1172"/>
      <c r="J79" s="1172"/>
      <c r="K79" s="1172"/>
      <c r="L79" s="1173"/>
      <c r="M79" s="1172">
        <f>-1150320-310586+1150320+310586</f>
        <v>0</v>
      </c>
      <c r="N79" s="1172"/>
      <c r="O79" s="1172"/>
      <c r="P79" s="1174"/>
      <c r="Q79" s="1175"/>
      <c r="R79" s="1172"/>
      <c r="S79" s="1172"/>
      <c r="T79" s="1172"/>
      <c r="U79" s="1172"/>
      <c r="V79" s="1172"/>
      <c r="W79" s="1172"/>
      <c r="X79" s="1176"/>
    </row>
    <row r="80" spans="1:24" ht="26.25" customHeight="1" x14ac:dyDescent="0.2">
      <c r="A80" s="2052" t="s">
        <v>278</v>
      </c>
      <c r="B80" s="2054" t="s">
        <v>788</v>
      </c>
      <c r="C80" s="2056" t="s">
        <v>1904</v>
      </c>
      <c r="D80" s="1177" t="s">
        <v>198</v>
      </c>
      <c r="E80" s="1374" t="s">
        <v>1375</v>
      </c>
      <c r="F80" s="1374" t="s">
        <v>1878</v>
      </c>
      <c r="G80" s="1178" t="s">
        <v>1829</v>
      </c>
      <c r="H80" s="1172"/>
      <c r="I80" s="1172"/>
      <c r="J80" s="1172"/>
      <c r="K80" s="1172"/>
      <c r="L80" s="1173"/>
      <c r="M80" s="1172"/>
      <c r="N80" s="1172"/>
      <c r="O80" s="1172"/>
      <c r="P80" s="1174"/>
      <c r="Q80" s="1175">
        <f>15049440+97847411+29820208+10031736+1481000</f>
        <v>154229795</v>
      </c>
      <c r="R80" s="1172"/>
      <c r="S80" s="1172"/>
      <c r="T80" s="1172"/>
      <c r="U80" s="1172"/>
      <c r="V80" s="1172"/>
      <c r="W80" s="1172"/>
      <c r="X80" s="1176"/>
    </row>
    <row r="81" spans="1:24" ht="26.25" customHeight="1" x14ac:dyDescent="0.2">
      <c r="A81" s="2053"/>
      <c r="B81" s="2055"/>
      <c r="C81" s="2057"/>
      <c r="D81" s="1177" t="s">
        <v>195</v>
      </c>
      <c r="E81" s="1374" t="s">
        <v>74</v>
      </c>
      <c r="F81" s="1374" t="s">
        <v>1870</v>
      </c>
      <c r="G81" s="1178" t="s">
        <v>1829</v>
      </c>
      <c r="H81" s="1172"/>
      <c r="I81" s="1172"/>
      <c r="J81" s="1172"/>
      <c r="K81" s="1172"/>
      <c r="L81" s="1173">
        <v>154229795</v>
      </c>
      <c r="M81" s="1172"/>
      <c r="N81" s="1172"/>
      <c r="O81" s="1172"/>
      <c r="P81" s="1174"/>
      <c r="Q81" s="1175"/>
      <c r="R81" s="1172"/>
      <c r="S81" s="1172"/>
      <c r="T81" s="1172"/>
      <c r="U81" s="1172"/>
      <c r="V81" s="1172"/>
      <c r="W81" s="1172"/>
      <c r="X81" s="1176"/>
    </row>
    <row r="82" spans="1:24" ht="21.75" customHeight="1" x14ac:dyDescent="0.2">
      <c r="A82" s="2052" t="s">
        <v>279</v>
      </c>
      <c r="B82" s="2054" t="s">
        <v>789</v>
      </c>
      <c r="C82" s="2056" t="s">
        <v>1919</v>
      </c>
      <c r="D82" s="1177" t="s">
        <v>195</v>
      </c>
      <c r="E82" s="1374" t="s">
        <v>74</v>
      </c>
      <c r="F82" s="1374" t="s">
        <v>1870</v>
      </c>
      <c r="G82" s="1178" t="s">
        <v>1828</v>
      </c>
      <c r="H82" s="1172"/>
      <c r="I82" s="1172"/>
      <c r="J82" s="1172"/>
      <c r="K82" s="1172"/>
      <c r="L82" s="1173">
        <v>-130000000</v>
      </c>
      <c r="M82" s="1172"/>
      <c r="N82" s="1172"/>
      <c r="O82" s="1172"/>
      <c r="P82" s="1174"/>
      <c r="Q82" s="1175"/>
      <c r="R82" s="1172"/>
      <c r="S82" s="1172"/>
      <c r="T82" s="1172"/>
      <c r="U82" s="1172"/>
      <c r="V82" s="1172"/>
      <c r="W82" s="1172"/>
      <c r="X82" s="1176"/>
    </row>
    <row r="83" spans="1:24" ht="21.75" customHeight="1" x14ac:dyDescent="0.2">
      <c r="A83" s="2061"/>
      <c r="B83" s="2060"/>
      <c r="C83" s="2065"/>
      <c r="D83" s="1177" t="s">
        <v>195</v>
      </c>
      <c r="E83" s="1374" t="s">
        <v>74</v>
      </c>
      <c r="F83" s="1374" t="s">
        <v>1870</v>
      </c>
      <c r="G83" s="1178" t="s">
        <v>1828</v>
      </c>
      <c r="H83" s="1172"/>
      <c r="I83" s="1172"/>
      <c r="J83" s="1172"/>
      <c r="K83" s="1172"/>
      <c r="L83" s="1173">
        <v>-40025971</v>
      </c>
      <c r="M83" s="1172"/>
      <c r="N83" s="1172"/>
      <c r="O83" s="1172"/>
      <c r="P83" s="1174"/>
      <c r="Q83" s="1175"/>
      <c r="R83" s="1172"/>
      <c r="S83" s="1172"/>
      <c r="T83" s="1172"/>
      <c r="U83" s="1172"/>
      <c r="V83" s="1172"/>
      <c r="W83" s="1172"/>
      <c r="X83" s="1176"/>
    </row>
    <row r="84" spans="1:24" ht="21.75" customHeight="1" x14ac:dyDescent="0.2">
      <c r="A84" s="2061"/>
      <c r="B84" s="2060"/>
      <c r="C84" s="2065"/>
      <c r="D84" s="1177" t="s">
        <v>193</v>
      </c>
      <c r="E84" s="1374" t="s">
        <v>545</v>
      </c>
      <c r="F84" s="1374" t="s">
        <v>830</v>
      </c>
      <c r="G84" s="1178" t="s">
        <v>1829</v>
      </c>
      <c r="H84" s="1172"/>
      <c r="I84" s="1172"/>
      <c r="J84" s="1172"/>
      <c r="K84" s="1172"/>
      <c r="L84" s="1173"/>
      <c r="M84" s="1172">
        <v>133878717</v>
      </c>
      <c r="N84" s="1172"/>
      <c r="O84" s="1172"/>
      <c r="P84" s="1174"/>
      <c r="Q84" s="1175"/>
      <c r="R84" s="1172"/>
      <c r="S84" s="1172"/>
      <c r="T84" s="1172"/>
      <c r="U84" s="1172"/>
      <c r="V84" s="1172"/>
      <c r="W84" s="1172"/>
      <c r="X84" s="1176"/>
    </row>
    <row r="85" spans="1:24" ht="21.75" customHeight="1" x14ac:dyDescent="0.2">
      <c r="A85" s="2053"/>
      <c r="B85" s="2055"/>
      <c r="C85" s="2057"/>
      <c r="D85" s="1177" t="s">
        <v>188</v>
      </c>
      <c r="E85" s="1374" t="s">
        <v>545</v>
      </c>
      <c r="F85" s="1374" t="s">
        <v>830</v>
      </c>
      <c r="G85" s="1178" t="s">
        <v>1829</v>
      </c>
      <c r="H85" s="1172"/>
      <c r="I85" s="1172"/>
      <c r="J85" s="1172">
        <v>36147254</v>
      </c>
      <c r="K85" s="1172"/>
      <c r="L85" s="1173"/>
      <c r="M85" s="1172"/>
      <c r="N85" s="1172"/>
      <c r="O85" s="1172"/>
      <c r="P85" s="1174"/>
      <c r="Q85" s="1175"/>
      <c r="R85" s="1172"/>
      <c r="S85" s="1172"/>
      <c r="T85" s="1172"/>
      <c r="U85" s="1172"/>
      <c r="V85" s="1172"/>
      <c r="W85" s="1172"/>
      <c r="X85" s="1176"/>
    </row>
    <row r="86" spans="1:24" ht="27" customHeight="1" x14ac:dyDescent="0.2">
      <c r="A86" s="2068" t="s">
        <v>280</v>
      </c>
      <c r="B86" s="2067" t="s">
        <v>790</v>
      </c>
      <c r="C86" s="2087" t="s">
        <v>2161</v>
      </c>
      <c r="D86" s="1177" t="s">
        <v>193</v>
      </c>
      <c r="E86" s="1374" t="s">
        <v>545</v>
      </c>
      <c r="F86" s="1374" t="s">
        <v>830</v>
      </c>
      <c r="G86" s="1178" t="s">
        <v>1828</v>
      </c>
      <c r="H86" s="1172"/>
      <c r="I86" s="1172"/>
      <c r="J86" s="1172"/>
      <c r="K86" s="1172"/>
      <c r="L86" s="1173"/>
      <c r="M86" s="1172">
        <v>-201278982</v>
      </c>
      <c r="N86" s="1172"/>
      <c r="O86" s="1172"/>
      <c r="P86" s="1174"/>
      <c r="Q86" s="1175"/>
      <c r="R86" s="1172"/>
      <c r="S86" s="1172"/>
      <c r="T86" s="1172"/>
      <c r="U86" s="1172"/>
      <c r="V86" s="1172"/>
      <c r="W86" s="1172"/>
      <c r="X86" s="1176"/>
    </row>
    <row r="87" spans="1:24" ht="27" customHeight="1" x14ac:dyDescent="0.2">
      <c r="A87" s="2068"/>
      <c r="B87" s="2067"/>
      <c r="C87" s="2087"/>
      <c r="D87" s="1177" t="s">
        <v>188</v>
      </c>
      <c r="E87" s="1374" t="s">
        <v>545</v>
      </c>
      <c r="F87" s="1374" t="s">
        <v>830</v>
      </c>
      <c r="G87" s="1178" t="s">
        <v>1829</v>
      </c>
      <c r="H87" s="1172"/>
      <c r="I87" s="1172"/>
      <c r="J87" s="1172">
        <v>201278982</v>
      </c>
      <c r="K87" s="1172"/>
      <c r="L87" s="1173"/>
      <c r="M87" s="1172"/>
      <c r="N87" s="1172"/>
      <c r="O87" s="1172"/>
      <c r="P87" s="1174"/>
      <c r="Q87" s="1175"/>
      <c r="R87" s="1172"/>
      <c r="S87" s="1172"/>
      <c r="T87" s="1172"/>
      <c r="U87" s="1172"/>
      <c r="V87" s="1172"/>
      <c r="W87" s="1172"/>
      <c r="X87" s="1176"/>
    </row>
    <row r="88" spans="1:24" ht="22.5" customHeight="1" x14ac:dyDescent="0.2">
      <c r="A88" s="2052" t="s">
        <v>281</v>
      </c>
      <c r="B88" s="2054" t="s">
        <v>791</v>
      </c>
      <c r="C88" s="2056" t="s">
        <v>1920</v>
      </c>
      <c r="D88" s="1177" t="s">
        <v>195</v>
      </c>
      <c r="E88" s="1374" t="s">
        <v>74</v>
      </c>
      <c r="F88" s="1374" t="s">
        <v>1870</v>
      </c>
      <c r="G88" s="1178" t="s">
        <v>1828</v>
      </c>
      <c r="H88" s="1172"/>
      <c r="I88" s="1172"/>
      <c r="J88" s="1172"/>
      <c r="K88" s="1172"/>
      <c r="L88" s="1173">
        <v>-3000000</v>
      </c>
      <c r="M88" s="1172"/>
      <c r="N88" s="1172"/>
      <c r="O88" s="1172"/>
      <c r="P88" s="1174"/>
      <c r="Q88" s="1175"/>
      <c r="R88" s="1172"/>
      <c r="S88" s="1172"/>
      <c r="T88" s="1172"/>
      <c r="U88" s="1172"/>
      <c r="V88" s="1172"/>
      <c r="W88" s="1172"/>
      <c r="X88" s="1176"/>
    </row>
    <row r="89" spans="1:24" ht="22.5" customHeight="1" x14ac:dyDescent="0.2">
      <c r="A89" s="2053"/>
      <c r="B89" s="2055"/>
      <c r="C89" s="2057"/>
      <c r="D89" s="1177" t="s">
        <v>188</v>
      </c>
      <c r="E89" s="1374" t="s">
        <v>620</v>
      </c>
      <c r="F89" s="1374" t="s">
        <v>1857</v>
      </c>
      <c r="G89" s="1178" t="s">
        <v>1829</v>
      </c>
      <c r="H89" s="1172"/>
      <c r="I89" s="1172"/>
      <c r="J89" s="1172">
        <f>2047244+637796+157480+157480</f>
        <v>3000000</v>
      </c>
      <c r="K89" s="1172"/>
      <c r="L89" s="1173"/>
      <c r="M89" s="1172"/>
      <c r="N89" s="1172"/>
      <c r="O89" s="1172"/>
      <c r="P89" s="1174"/>
      <c r="Q89" s="1175"/>
      <c r="R89" s="1172"/>
      <c r="S89" s="1172"/>
      <c r="T89" s="1172"/>
      <c r="U89" s="1172"/>
      <c r="V89" s="1172"/>
      <c r="W89" s="1172"/>
      <c r="X89" s="1176"/>
    </row>
    <row r="90" spans="1:24" ht="33" customHeight="1" x14ac:dyDescent="0.2">
      <c r="A90" s="2052" t="s">
        <v>282</v>
      </c>
      <c r="B90" s="2054" t="s">
        <v>792</v>
      </c>
      <c r="C90" s="2056" t="s">
        <v>1921</v>
      </c>
      <c r="D90" s="1177" t="s">
        <v>195</v>
      </c>
      <c r="E90" s="1374" t="s">
        <v>74</v>
      </c>
      <c r="F90" s="1374" t="s">
        <v>1870</v>
      </c>
      <c r="G90" s="1178" t="s">
        <v>1828</v>
      </c>
      <c r="H90" s="1172"/>
      <c r="I90" s="1172"/>
      <c r="J90" s="1172"/>
      <c r="K90" s="1172"/>
      <c r="L90" s="1173">
        <v>-500000</v>
      </c>
      <c r="M90" s="1172"/>
      <c r="N90" s="1172"/>
      <c r="O90" s="1172"/>
      <c r="P90" s="1174"/>
      <c r="Q90" s="1175"/>
      <c r="R90" s="1172"/>
      <c r="S90" s="1172"/>
      <c r="T90" s="1172"/>
      <c r="U90" s="1172"/>
      <c r="V90" s="1172"/>
      <c r="W90" s="1172"/>
      <c r="X90" s="1176"/>
    </row>
    <row r="91" spans="1:24" ht="33" customHeight="1" x14ac:dyDescent="0.2">
      <c r="A91" s="2053"/>
      <c r="B91" s="2055"/>
      <c r="C91" s="2057"/>
      <c r="D91" s="1177" t="s">
        <v>192</v>
      </c>
      <c r="E91" s="1374" t="s">
        <v>71</v>
      </c>
      <c r="F91" s="1374" t="s">
        <v>1875</v>
      </c>
      <c r="G91" s="1178" t="s">
        <v>1829</v>
      </c>
      <c r="H91" s="1172"/>
      <c r="I91" s="1172"/>
      <c r="J91" s="1172"/>
      <c r="K91" s="1172"/>
      <c r="L91" s="1173">
        <v>500000</v>
      </c>
      <c r="M91" s="1172"/>
      <c r="N91" s="1172"/>
      <c r="O91" s="1172"/>
      <c r="P91" s="1174"/>
      <c r="Q91" s="1175"/>
      <c r="R91" s="1172"/>
      <c r="S91" s="1172"/>
      <c r="T91" s="1172"/>
      <c r="U91" s="1172"/>
      <c r="V91" s="1172"/>
      <c r="W91" s="1172"/>
      <c r="X91" s="1176"/>
    </row>
    <row r="92" spans="1:24" ht="22.5" customHeight="1" x14ac:dyDescent="0.2">
      <c r="A92" s="2052" t="s">
        <v>283</v>
      </c>
      <c r="B92" s="2054" t="s">
        <v>793</v>
      </c>
      <c r="C92" s="2056" t="s">
        <v>1923</v>
      </c>
      <c r="D92" s="1177" t="s">
        <v>193</v>
      </c>
      <c r="E92" s="1374" t="s">
        <v>130</v>
      </c>
      <c r="F92" s="1374" t="s">
        <v>91</v>
      </c>
      <c r="G92" s="1178" t="s">
        <v>1828</v>
      </c>
      <c r="H92" s="1172"/>
      <c r="I92" s="1172"/>
      <c r="J92" s="1172"/>
      <c r="K92" s="1172"/>
      <c r="L92" s="1173"/>
      <c r="M92" s="1172">
        <f>-1390100-375327</f>
        <v>-1765427</v>
      </c>
      <c r="N92" s="1172"/>
      <c r="O92" s="1172"/>
      <c r="P92" s="1174"/>
      <c r="Q92" s="1175"/>
      <c r="R92" s="1172"/>
      <c r="S92" s="1172"/>
      <c r="T92" s="1172"/>
      <c r="U92" s="1172"/>
      <c r="V92" s="1172"/>
      <c r="W92" s="1172"/>
      <c r="X92" s="1176"/>
    </row>
    <row r="93" spans="1:24" ht="22.5" customHeight="1" x14ac:dyDescent="0.2">
      <c r="A93" s="2053"/>
      <c r="B93" s="2055"/>
      <c r="C93" s="2057"/>
      <c r="D93" s="1177" t="s">
        <v>194</v>
      </c>
      <c r="E93" s="1374" t="s">
        <v>130</v>
      </c>
      <c r="F93" s="1374" t="s">
        <v>91</v>
      </c>
      <c r="G93" s="1178" t="s">
        <v>1829</v>
      </c>
      <c r="H93" s="1172"/>
      <c r="I93" s="1172"/>
      <c r="J93" s="1172"/>
      <c r="K93" s="1172"/>
      <c r="L93" s="1173"/>
      <c r="M93" s="1172"/>
      <c r="N93" s="1172">
        <f>1390100+375327</f>
        <v>1765427</v>
      </c>
      <c r="O93" s="1172"/>
      <c r="P93" s="1174"/>
      <c r="Q93" s="1175"/>
      <c r="R93" s="1172"/>
      <c r="S93" s="1172"/>
      <c r="T93" s="1172"/>
      <c r="U93" s="1172"/>
      <c r="V93" s="1172"/>
      <c r="W93" s="1172"/>
      <c r="X93" s="1176"/>
    </row>
    <row r="94" spans="1:24" ht="19.5" customHeight="1" x14ac:dyDescent="0.2">
      <c r="A94" s="2052" t="s">
        <v>284</v>
      </c>
      <c r="B94" s="2054" t="s">
        <v>801</v>
      </c>
      <c r="C94" s="2056" t="s">
        <v>1925</v>
      </c>
      <c r="D94" s="1177" t="s">
        <v>188</v>
      </c>
      <c r="E94" s="1374" t="s">
        <v>1288</v>
      </c>
      <c r="F94" s="1374" t="s">
        <v>1926</v>
      </c>
      <c r="G94" s="1178" t="s">
        <v>1829</v>
      </c>
      <c r="H94" s="1172"/>
      <c r="I94" s="1172"/>
      <c r="J94" s="1172"/>
      <c r="K94" s="1172"/>
      <c r="L94" s="1173"/>
      <c r="M94" s="1172"/>
      <c r="N94" s="1172"/>
      <c r="O94" s="1172"/>
      <c r="P94" s="1174"/>
      <c r="Q94" s="1175">
        <v>665000</v>
      </c>
      <c r="R94" s="1172"/>
      <c r="S94" s="1172"/>
      <c r="T94" s="1172"/>
      <c r="U94" s="1172"/>
      <c r="V94" s="1172"/>
      <c r="W94" s="1172"/>
      <c r="X94" s="1176"/>
    </row>
    <row r="95" spans="1:24" ht="19.5" customHeight="1" x14ac:dyDescent="0.2">
      <c r="A95" s="2053"/>
      <c r="B95" s="2055"/>
      <c r="C95" s="2057"/>
      <c r="D95" s="1177" t="s">
        <v>195</v>
      </c>
      <c r="E95" s="1374" t="s">
        <v>74</v>
      </c>
      <c r="F95" s="1374" t="s">
        <v>1870</v>
      </c>
      <c r="G95" s="1178" t="s">
        <v>1829</v>
      </c>
      <c r="H95" s="1172"/>
      <c r="I95" s="1172"/>
      <c r="J95" s="1172"/>
      <c r="K95" s="1172"/>
      <c r="L95" s="1173">
        <v>665000</v>
      </c>
      <c r="M95" s="1172"/>
      <c r="N95" s="1172"/>
      <c r="O95" s="1172"/>
      <c r="P95" s="1174"/>
      <c r="Q95" s="1175"/>
      <c r="R95" s="1172"/>
      <c r="S95" s="1172"/>
      <c r="T95" s="1172"/>
      <c r="U95" s="1172"/>
      <c r="V95" s="1172"/>
      <c r="W95" s="1172"/>
      <c r="X95" s="1176"/>
    </row>
    <row r="96" spans="1:24" ht="17.25" customHeight="1" x14ac:dyDescent="0.2">
      <c r="A96" s="2052" t="s">
        <v>285</v>
      </c>
      <c r="B96" s="2054" t="s">
        <v>800</v>
      </c>
      <c r="C96" s="2056" t="s">
        <v>1956</v>
      </c>
      <c r="D96" s="1177" t="s">
        <v>188</v>
      </c>
      <c r="E96" s="1374" t="s">
        <v>64</v>
      </c>
      <c r="F96" s="1374" t="s">
        <v>526</v>
      </c>
      <c r="G96" s="1178" t="s">
        <v>1828</v>
      </c>
      <c r="H96" s="1172"/>
      <c r="I96" s="1172"/>
      <c r="J96" s="1172">
        <f>-1037630-280160</f>
        <v>-1317790</v>
      </c>
      <c r="K96" s="1172"/>
      <c r="L96" s="1173"/>
      <c r="M96" s="1172">
        <f>1037630+280160</f>
        <v>1317790</v>
      </c>
      <c r="N96" s="1172"/>
      <c r="O96" s="1172"/>
      <c r="P96" s="1174"/>
      <c r="Q96" s="1175"/>
      <c r="R96" s="1172"/>
      <c r="S96" s="1172"/>
      <c r="T96" s="1172"/>
      <c r="U96" s="1172"/>
      <c r="V96" s="1172"/>
      <c r="W96" s="1172"/>
      <c r="X96" s="1176"/>
    </row>
    <row r="97" spans="1:24" ht="17.25" customHeight="1" x14ac:dyDescent="0.2">
      <c r="A97" s="2053"/>
      <c r="B97" s="2055"/>
      <c r="C97" s="2057"/>
      <c r="D97" s="1177" t="s">
        <v>193</v>
      </c>
      <c r="E97" s="1374" t="s">
        <v>64</v>
      </c>
      <c r="F97" s="1374" t="s">
        <v>526</v>
      </c>
      <c r="G97" s="1178" t="s">
        <v>1829</v>
      </c>
      <c r="H97" s="1172"/>
      <c r="I97" s="1172"/>
      <c r="J97" s="1172"/>
      <c r="K97" s="1172"/>
      <c r="L97" s="1173"/>
      <c r="M97" s="1172"/>
      <c r="N97" s="1172"/>
      <c r="O97" s="1172"/>
      <c r="P97" s="1174"/>
      <c r="Q97" s="1175"/>
      <c r="R97" s="1172"/>
      <c r="S97" s="1172"/>
      <c r="T97" s="1172"/>
      <c r="U97" s="1172"/>
      <c r="V97" s="1172"/>
      <c r="W97" s="1172"/>
      <c r="X97" s="1176"/>
    </row>
    <row r="98" spans="1:24" ht="45.75" customHeight="1" x14ac:dyDescent="0.2">
      <c r="A98" s="2052" t="s">
        <v>286</v>
      </c>
      <c r="B98" s="2054" t="s">
        <v>802</v>
      </c>
      <c r="C98" s="2056" t="s">
        <v>1957</v>
      </c>
      <c r="D98" s="1177" t="s">
        <v>195</v>
      </c>
      <c r="E98" s="1374" t="s">
        <v>74</v>
      </c>
      <c r="F98" s="1374" t="s">
        <v>1870</v>
      </c>
      <c r="G98" s="1178" t="s">
        <v>1828</v>
      </c>
      <c r="H98" s="1172"/>
      <c r="I98" s="1172"/>
      <c r="J98" s="1172"/>
      <c r="K98" s="1172"/>
      <c r="L98" s="1173">
        <v>-100000</v>
      </c>
      <c r="M98" s="1172"/>
      <c r="N98" s="1172"/>
      <c r="O98" s="1172"/>
      <c r="P98" s="1174"/>
      <c r="Q98" s="1175"/>
      <c r="R98" s="1172"/>
      <c r="S98" s="1172"/>
      <c r="T98" s="1172"/>
      <c r="U98" s="1172"/>
      <c r="V98" s="1172"/>
      <c r="W98" s="1172"/>
      <c r="X98" s="1176"/>
    </row>
    <row r="99" spans="1:24" ht="45.75" customHeight="1" x14ac:dyDescent="0.2">
      <c r="A99" s="2053"/>
      <c r="B99" s="2055"/>
      <c r="C99" s="2057"/>
      <c r="D99" s="1177" t="s">
        <v>197</v>
      </c>
      <c r="E99" s="1374" t="s">
        <v>1288</v>
      </c>
      <c r="F99" s="1374" t="s">
        <v>535</v>
      </c>
      <c r="G99" s="1178" t="s">
        <v>1829</v>
      </c>
      <c r="H99" s="1172"/>
      <c r="I99" s="1172"/>
      <c r="J99" s="1172"/>
      <c r="K99" s="1172"/>
      <c r="L99" s="1173"/>
      <c r="M99" s="1172"/>
      <c r="N99" s="1172"/>
      <c r="O99" s="1172"/>
      <c r="P99" s="1174">
        <v>100000</v>
      </c>
      <c r="Q99" s="1175"/>
      <c r="R99" s="1172"/>
      <c r="S99" s="1172"/>
      <c r="T99" s="1172"/>
      <c r="U99" s="1172"/>
      <c r="V99" s="1172"/>
      <c r="W99" s="1172"/>
      <c r="X99" s="1176"/>
    </row>
    <row r="100" spans="1:24" ht="43.5" customHeight="1" x14ac:dyDescent="0.2">
      <c r="A100" s="1491" t="s">
        <v>287</v>
      </c>
      <c r="B100" s="1490" t="s">
        <v>799</v>
      </c>
      <c r="C100" s="1631" t="s">
        <v>1958</v>
      </c>
      <c r="D100" s="1177" t="s">
        <v>188</v>
      </c>
      <c r="E100" s="1374" t="s">
        <v>542</v>
      </c>
      <c r="F100" s="1374" t="s">
        <v>449</v>
      </c>
      <c r="G100" s="1178" t="s">
        <v>1837</v>
      </c>
      <c r="H100" s="1172"/>
      <c r="I100" s="1172"/>
      <c r="J100" s="1172">
        <f>-100000+100000</f>
        <v>0</v>
      </c>
      <c r="K100" s="1172"/>
      <c r="L100" s="1173"/>
      <c r="M100" s="1172"/>
      <c r="N100" s="1172"/>
      <c r="O100" s="1172"/>
      <c r="P100" s="1174"/>
      <c r="Q100" s="1175"/>
      <c r="R100" s="1172"/>
      <c r="S100" s="1172"/>
      <c r="T100" s="1172"/>
      <c r="U100" s="1172"/>
      <c r="V100" s="1172"/>
      <c r="W100" s="1172"/>
      <c r="X100" s="1176"/>
    </row>
    <row r="101" spans="1:24" ht="45" customHeight="1" x14ac:dyDescent="0.2">
      <c r="A101" s="2052" t="s">
        <v>288</v>
      </c>
      <c r="B101" s="2054" t="s">
        <v>804</v>
      </c>
      <c r="C101" s="2056" t="s">
        <v>2149</v>
      </c>
      <c r="D101" s="1177" t="s">
        <v>195</v>
      </c>
      <c r="E101" s="1374" t="s">
        <v>74</v>
      </c>
      <c r="F101" s="1374" t="s">
        <v>1870</v>
      </c>
      <c r="G101" s="1178" t="s">
        <v>1828</v>
      </c>
      <c r="H101" s="1172"/>
      <c r="I101" s="1172"/>
      <c r="J101" s="1172"/>
      <c r="K101" s="1172"/>
      <c r="L101" s="1173">
        <v>-4874282</v>
      </c>
      <c r="M101" s="1172"/>
      <c r="N101" s="1172"/>
      <c r="O101" s="1172"/>
      <c r="P101" s="1174"/>
      <c r="Q101" s="1175"/>
      <c r="R101" s="1172"/>
      <c r="S101" s="1172"/>
      <c r="T101" s="1172"/>
      <c r="U101" s="1172"/>
      <c r="V101" s="1172"/>
      <c r="W101" s="1172"/>
      <c r="X101" s="1176"/>
    </row>
    <row r="102" spans="1:24" ht="45" customHeight="1" x14ac:dyDescent="0.2">
      <c r="A102" s="2053"/>
      <c r="B102" s="2055"/>
      <c r="C102" s="2057"/>
      <c r="D102" s="1177" t="s">
        <v>197</v>
      </c>
      <c r="E102" s="1374" t="s">
        <v>1288</v>
      </c>
      <c r="F102" s="1374" t="s">
        <v>535</v>
      </c>
      <c r="G102" s="1178" t="s">
        <v>1829</v>
      </c>
      <c r="H102" s="1172"/>
      <c r="I102" s="1172"/>
      <c r="J102" s="1172"/>
      <c r="K102" s="1172"/>
      <c r="L102" s="1173"/>
      <c r="M102" s="1172"/>
      <c r="N102" s="1172"/>
      <c r="O102" s="1172"/>
      <c r="P102" s="1174">
        <v>4874282</v>
      </c>
      <c r="Q102" s="1175"/>
      <c r="R102" s="1172"/>
      <c r="S102" s="1172"/>
      <c r="T102" s="1172"/>
      <c r="U102" s="1172"/>
      <c r="V102" s="1172"/>
      <c r="W102" s="1172"/>
      <c r="X102" s="1176"/>
    </row>
    <row r="103" spans="1:24" ht="30" customHeight="1" x14ac:dyDescent="0.2">
      <c r="A103" s="2052" t="s">
        <v>289</v>
      </c>
      <c r="B103" s="2054" t="s">
        <v>798</v>
      </c>
      <c r="C103" s="2056" t="s">
        <v>2158</v>
      </c>
      <c r="D103" s="1177" t="s">
        <v>195</v>
      </c>
      <c r="E103" s="1374" t="s">
        <v>74</v>
      </c>
      <c r="F103" s="1374" t="s">
        <v>1870</v>
      </c>
      <c r="G103" s="1178" t="s">
        <v>1828</v>
      </c>
      <c r="H103" s="1172"/>
      <c r="I103" s="1172"/>
      <c r="J103" s="1172"/>
      <c r="K103" s="1172"/>
      <c r="L103" s="1173">
        <v>-540291</v>
      </c>
      <c r="M103" s="1172"/>
      <c r="N103" s="1172"/>
      <c r="O103" s="1172"/>
      <c r="P103" s="1174"/>
      <c r="Q103" s="1175"/>
      <c r="R103" s="1172"/>
      <c r="S103" s="1172"/>
      <c r="T103" s="1172"/>
      <c r="U103" s="1172"/>
      <c r="V103" s="1172"/>
      <c r="W103" s="1172"/>
      <c r="X103" s="1176"/>
    </row>
    <row r="104" spans="1:24" ht="30" customHeight="1" x14ac:dyDescent="0.2">
      <c r="A104" s="2053"/>
      <c r="B104" s="2055"/>
      <c r="C104" s="2057"/>
      <c r="D104" s="1177" t="s">
        <v>197</v>
      </c>
      <c r="E104" s="1374" t="s">
        <v>1288</v>
      </c>
      <c r="F104" s="1374" t="s">
        <v>535</v>
      </c>
      <c r="G104" s="1178" t="s">
        <v>1829</v>
      </c>
      <c r="H104" s="1172"/>
      <c r="I104" s="1172"/>
      <c r="J104" s="1172"/>
      <c r="K104" s="1172"/>
      <c r="L104" s="1173"/>
      <c r="M104" s="1172"/>
      <c r="N104" s="1172"/>
      <c r="O104" s="1172"/>
      <c r="P104" s="1174">
        <v>540291</v>
      </c>
      <c r="Q104" s="1175"/>
      <c r="R104" s="1172"/>
      <c r="S104" s="1172"/>
      <c r="T104" s="1172"/>
      <c r="U104" s="1172"/>
      <c r="V104" s="1172"/>
      <c r="W104" s="1172"/>
      <c r="X104" s="1176"/>
    </row>
    <row r="105" spans="1:24" ht="24" customHeight="1" x14ac:dyDescent="0.2">
      <c r="A105" s="2052" t="s">
        <v>290</v>
      </c>
      <c r="B105" s="2054" t="s">
        <v>1988</v>
      </c>
      <c r="C105" s="2056" t="s">
        <v>1959</v>
      </c>
      <c r="D105" s="1177" t="s">
        <v>195</v>
      </c>
      <c r="E105" s="1374" t="s">
        <v>74</v>
      </c>
      <c r="F105" s="1374" t="s">
        <v>1870</v>
      </c>
      <c r="G105" s="1178" t="s">
        <v>1828</v>
      </c>
      <c r="H105" s="1172"/>
      <c r="I105" s="1172"/>
      <c r="J105" s="1172"/>
      <c r="K105" s="1172"/>
      <c r="L105" s="1173">
        <v>-1000000</v>
      </c>
      <c r="M105" s="1172"/>
      <c r="N105" s="1172"/>
      <c r="O105" s="1172"/>
      <c r="P105" s="1174"/>
      <c r="Q105" s="1175"/>
      <c r="R105" s="1172"/>
      <c r="S105" s="1172"/>
      <c r="T105" s="1172"/>
      <c r="U105" s="1172"/>
      <c r="V105" s="1172"/>
      <c r="W105" s="1172"/>
      <c r="X105" s="1176"/>
    </row>
    <row r="106" spans="1:24" ht="24" customHeight="1" x14ac:dyDescent="0.2">
      <c r="A106" s="2053"/>
      <c r="B106" s="2055"/>
      <c r="C106" s="2057"/>
      <c r="D106" s="1177" t="s">
        <v>192</v>
      </c>
      <c r="E106" s="1374" t="s">
        <v>77</v>
      </c>
      <c r="F106" s="1374" t="s">
        <v>1875</v>
      </c>
      <c r="G106" s="1178" t="s">
        <v>1829</v>
      </c>
      <c r="H106" s="1172"/>
      <c r="I106" s="1172"/>
      <c r="J106" s="1172"/>
      <c r="K106" s="1172"/>
      <c r="L106" s="1173">
        <v>1000000</v>
      </c>
      <c r="M106" s="1172"/>
      <c r="N106" s="1172"/>
      <c r="O106" s="1172"/>
      <c r="P106" s="1174"/>
      <c r="Q106" s="1175"/>
      <c r="R106" s="1172"/>
      <c r="S106" s="1172"/>
      <c r="T106" s="1172"/>
      <c r="U106" s="1172"/>
      <c r="V106" s="1172"/>
      <c r="W106" s="1172"/>
      <c r="X106" s="1176"/>
    </row>
    <row r="107" spans="1:24" ht="18.75" customHeight="1" x14ac:dyDescent="0.2">
      <c r="A107" s="2052" t="s">
        <v>291</v>
      </c>
      <c r="B107" s="2054" t="s">
        <v>806</v>
      </c>
      <c r="C107" s="2056" t="s">
        <v>1939</v>
      </c>
      <c r="D107" s="1177" t="s">
        <v>188</v>
      </c>
      <c r="E107" s="1374" t="s">
        <v>590</v>
      </c>
      <c r="F107" s="1374" t="s">
        <v>442</v>
      </c>
      <c r="G107" s="1178" t="s">
        <v>1837</v>
      </c>
      <c r="H107" s="1172">
        <f>-90000+90000</f>
        <v>0</v>
      </c>
      <c r="I107" s="1172"/>
      <c r="J107" s="1172"/>
      <c r="K107" s="1172"/>
      <c r="L107" s="1173"/>
      <c r="M107" s="1172"/>
      <c r="N107" s="1172"/>
      <c r="O107" s="1172"/>
      <c r="P107" s="1174"/>
      <c r="Q107" s="1175"/>
      <c r="R107" s="1172"/>
      <c r="S107" s="1172"/>
      <c r="T107" s="1172"/>
      <c r="U107" s="1172"/>
      <c r="V107" s="1172"/>
      <c r="W107" s="1172"/>
      <c r="X107" s="1176"/>
    </row>
    <row r="108" spans="1:24" ht="18.75" customHeight="1" x14ac:dyDescent="0.2">
      <c r="A108" s="2061"/>
      <c r="B108" s="2060"/>
      <c r="C108" s="2065"/>
      <c r="D108" s="1177" t="s">
        <v>188</v>
      </c>
      <c r="E108" s="1374" t="s">
        <v>626</v>
      </c>
      <c r="F108" s="1374" t="s">
        <v>136</v>
      </c>
      <c r="G108" s="1178" t="s">
        <v>1837</v>
      </c>
      <c r="H108" s="1172">
        <f>-61855+61855</f>
        <v>0</v>
      </c>
      <c r="I108" s="1172"/>
      <c r="J108" s="1172"/>
      <c r="K108" s="1172"/>
      <c r="L108" s="1173"/>
      <c r="M108" s="1172"/>
      <c r="N108" s="1172"/>
      <c r="O108" s="1172"/>
      <c r="P108" s="1174"/>
      <c r="Q108" s="1175"/>
      <c r="R108" s="1172"/>
      <c r="S108" s="1172"/>
      <c r="T108" s="1172"/>
      <c r="U108" s="1172"/>
      <c r="V108" s="1172"/>
      <c r="W108" s="1172"/>
      <c r="X108" s="1176"/>
    </row>
    <row r="109" spans="1:24" ht="18.75" customHeight="1" x14ac:dyDescent="0.2">
      <c r="A109" s="2061"/>
      <c r="B109" s="2060"/>
      <c r="C109" s="2065"/>
      <c r="D109" s="1177" t="s">
        <v>188</v>
      </c>
      <c r="E109" s="1374" t="s">
        <v>542</v>
      </c>
      <c r="F109" s="1374" t="s">
        <v>449</v>
      </c>
      <c r="G109" s="1178" t="s">
        <v>1837</v>
      </c>
      <c r="H109" s="1172">
        <f>-40000+40000</f>
        <v>0</v>
      </c>
      <c r="I109" s="1172"/>
      <c r="J109" s="1172"/>
      <c r="K109" s="1172"/>
      <c r="L109" s="1173"/>
      <c r="M109" s="1172"/>
      <c r="N109" s="1172"/>
      <c r="O109" s="1172"/>
      <c r="P109" s="1174"/>
      <c r="Q109" s="1175"/>
      <c r="R109" s="1172"/>
      <c r="S109" s="1172"/>
      <c r="T109" s="1172"/>
      <c r="U109" s="1172"/>
      <c r="V109" s="1172"/>
      <c r="W109" s="1172"/>
      <c r="X109" s="1176"/>
    </row>
    <row r="110" spans="1:24" ht="18.75" customHeight="1" x14ac:dyDescent="0.2">
      <c r="A110" s="2053"/>
      <c r="B110" s="2055"/>
      <c r="C110" s="2057"/>
      <c r="D110" s="1177" t="s">
        <v>188</v>
      </c>
      <c r="E110" s="1374" t="s">
        <v>64</v>
      </c>
      <c r="F110" s="1374" t="s">
        <v>526</v>
      </c>
      <c r="G110" s="1178" t="s">
        <v>1837</v>
      </c>
      <c r="H110" s="1172">
        <f>-85750+85750</f>
        <v>0</v>
      </c>
      <c r="I110" s="1172"/>
      <c r="J110" s="1172"/>
      <c r="K110" s="1172"/>
      <c r="L110" s="1173"/>
      <c r="M110" s="1172"/>
      <c r="N110" s="1172"/>
      <c r="O110" s="1172"/>
      <c r="P110" s="1174"/>
      <c r="Q110" s="1175"/>
      <c r="R110" s="1172"/>
      <c r="S110" s="1172"/>
      <c r="T110" s="1172"/>
      <c r="U110" s="1172"/>
      <c r="V110" s="1172"/>
      <c r="W110" s="1172"/>
      <c r="X110" s="1176"/>
    </row>
    <row r="111" spans="1:24" ht="39.75" customHeight="1" x14ac:dyDescent="0.2">
      <c r="A111" s="2052" t="s">
        <v>292</v>
      </c>
      <c r="B111" s="2054" t="s">
        <v>796</v>
      </c>
      <c r="C111" s="2056" t="s">
        <v>2007</v>
      </c>
      <c r="D111" s="1177" t="s">
        <v>195</v>
      </c>
      <c r="E111" s="1374" t="s">
        <v>74</v>
      </c>
      <c r="F111" s="1374" t="s">
        <v>1870</v>
      </c>
      <c r="G111" s="1178" t="s">
        <v>1828</v>
      </c>
      <c r="H111" s="1172"/>
      <c r="I111" s="1172"/>
      <c r="J111" s="1172"/>
      <c r="K111" s="1172"/>
      <c r="L111" s="1173">
        <v>-2004484</v>
      </c>
      <c r="M111" s="1172"/>
      <c r="N111" s="1172"/>
      <c r="O111" s="1172"/>
      <c r="P111" s="1174"/>
      <c r="Q111" s="1175"/>
      <c r="R111" s="1172"/>
      <c r="S111" s="1172"/>
      <c r="T111" s="1172"/>
      <c r="U111" s="1172"/>
      <c r="V111" s="1172"/>
      <c r="W111" s="1172"/>
      <c r="X111" s="1176"/>
    </row>
    <row r="112" spans="1:24" ht="39.75" customHeight="1" x14ac:dyDescent="0.2">
      <c r="A112" s="2053"/>
      <c r="B112" s="2055"/>
      <c r="C112" s="2057"/>
      <c r="D112" s="1177" t="s">
        <v>193</v>
      </c>
      <c r="E112" s="1374" t="s">
        <v>813</v>
      </c>
      <c r="F112" s="1374" t="s">
        <v>1420</v>
      </c>
      <c r="G112" s="1178" t="s">
        <v>1829</v>
      </c>
      <c r="H112" s="1172"/>
      <c r="I112" s="1172"/>
      <c r="J112" s="1172">
        <v>2004484</v>
      </c>
      <c r="K112" s="1172"/>
      <c r="L112" s="1173"/>
      <c r="M112" s="1172"/>
      <c r="N112" s="1172"/>
      <c r="O112" s="1172"/>
      <c r="P112" s="1174"/>
      <c r="Q112" s="1175"/>
      <c r="R112" s="1172"/>
      <c r="S112" s="1172"/>
      <c r="T112" s="1172"/>
      <c r="U112" s="1172"/>
      <c r="V112" s="1172"/>
      <c r="W112" s="1172"/>
      <c r="X112" s="1176"/>
    </row>
    <row r="113" spans="1:24" ht="33" customHeight="1" x14ac:dyDescent="0.2">
      <c r="A113" s="2052" t="s">
        <v>293</v>
      </c>
      <c r="B113" s="2054" t="s">
        <v>795</v>
      </c>
      <c r="C113" s="2056" t="s">
        <v>1965</v>
      </c>
      <c r="D113" s="1177" t="s">
        <v>195</v>
      </c>
      <c r="E113" s="1374" t="s">
        <v>74</v>
      </c>
      <c r="F113" s="1374" t="s">
        <v>1870</v>
      </c>
      <c r="G113" s="1178" t="s">
        <v>1828</v>
      </c>
      <c r="H113" s="1172"/>
      <c r="I113" s="1172"/>
      <c r="J113" s="1172"/>
      <c r="K113" s="1172"/>
      <c r="L113" s="1173">
        <v>-228600</v>
      </c>
      <c r="M113" s="1172"/>
      <c r="N113" s="1172"/>
      <c r="O113" s="1172"/>
      <c r="P113" s="1174"/>
      <c r="Q113" s="1175"/>
      <c r="R113" s="1172"/>
      <c r="S113" s="1172"/>
      <c r="T113" s="1172"/>
      <c r="U113" s="1172"/>
      <c r="V113" s="1172"/>
      <c r="W113" s="1172"/>
      <c r="X113" s="1176"/>
    </row>
    <row r="114" spans="1:24" ht="33" customHeight="1" x14ac:dyDescent="0.2">
      <c r="A114" s="2053"/>
      <c r="B114" s="2055"/>
      <c r="C114" s="2057"/>
      <c r="D114" s="1177" t="s">
        <v>188</v>
      </c>
      <c r="E114" s="1374" t="s">
        <v>620</v>
      </c>
      <c r="F114" s="1374" t="s">
        <v>1857</v>
      </c>
      <c r="G114" s="1178" t="s">
        <v>1829</v>
      </c>
      <c r="H114" s="1172"/>
      <c r="I114" s="1172"/>
      <c r="J114" s="1172">
        <f>180000+48600</f>
        <v>228600</v>
      </c>
      <c r="K114" s="1172"/>
      <c r="L114" s="1173"/>
      <c r="M114" s="1172"/>
      <c r="N114" s="1172"/>
      <c r="O114" s="1172"/>
      <c r="P114" s="1174"/>
      <c r="Q114" s="1175"/>
      <c r="R114" s="1172"/>
      <c r="S114" s="1172"/>
      <c r="T114" s="1172"/>
      <c r="U114" s="1172"/>
      <c r="V114" s="1172"/>
      <c r="W114" s="1172"/>
      <c r="X114" s="1176"/>
    </row>
    <row r="115" spans="1:24" ht="27" customHeight="1" x14ac:dyDescent="0.2">
      <c r="A115" s="2068" t="s">
        <v>1966</v>
      </c>
      <c r="B115" s="2067" t="s">
        <v>1967</v>
      </c>
      <c r="C115" s="2087" t="s">
        <v>1968</v>
      </c>
      <c r="D115" s="1177" t="s">
        <v>195</v>
      </c>
      <c r="E115" s="1374" t="s">
        <v>74</v>
      </c>
      <c r="F115" s="1374" t="s">
        <v>1870</v>
      </c>
      <c r="G115" s="1178" t="s">
        <v>1828</v>
      </c>
      <c r="H115" s="1172"/>
      <c r="I115" s="1172"/>
      <c r="J115" s="1172"/>
      <c r="K115" s="1172"/>
      <c r="L115" s="1173">
        <v>-109804</v>
      </c>
      <c r="M115" s="1172"/>
      <c r="N115" s="1172"/>
      <c r="O115" s="1172"/>
      <c r="P115" s="1174"/>
      <c r="Q115" s="1175"/>
      <c r="R115" s="1172"/>
      <c r="S115" s="1172"/>
      <c r="T115" s="1172"/>
      <c r="U115" s="1172"/>
      <c r="V115" s="1172"/>
      <c r="W115" s="1172"/>
      <c r="X115" s="1176"/>
    </row>
    <row r="116" spans="1:24" ht="27" customHeight="1" x14ac:dyDescent="0.2">
      <c r="A116" s="2068"/>
      <c r="B116" s="2067"/>
      <c r="C116" s="2087"/>
      <c r="D116" s="1177" t="s">
        <v>193</v>
      </c>
      <c r="E116" s="1374" t="s">
        <v>584</v>
      </c>
      <c r="F116" s="1374" t="s">
        <v>135</v>
      </c>
      <c r="G116" s="1178" t="s">
        <v>1829</v>
      </c>
      <c r="H116" s="1172"/>
      <c r="I116" s="1172"/>
      <c r="J116" s="1172"/>
      <c r="K116" s="1172"/>
      <c r="L116" s="1173"/>
      <c r="M116" s="1172">
        <f>86460+23344</f>
        <v>109804</v>
      </c>
      <c r="N116" s="1172"/>
      <c r="O116" s="1172"/>
      <c r="P116" s="1174"/>
      <c r="Q116" s="1175"/>
      <c r="R116" s="1172"/>
      <c r="S116" s="1172"/>
      <c r="T116" s="1172"/>
      <c r="U116" s="1172"/>
      <c r="V116" s="1172"/>
      <c r="W116" s="1172"/>
      <c r="X116" s="1176"/>
    </row>
    <row r="117" spans="1:24" ht="23.25" customHeight="1" x14ac:dyDescent="0.2">
      <c r="A117" s="2068" t="s">
        <v>295</v>
      </c>
      <c r="B117" s="2067" t="s">
        <v>808</v>
      </c>
      <c r="C117" s="2087" t="s">
        <v>1969</v>
      </c>
      <c r="D117" s="1177" t="s">
        <v>195</v>
      </c>
      <c r="E117" s="1374" t="s">
        <v>74</v>
      </c>
      <c r="F117" s="1374" t="s">
        <v>1870</v>
      </c>
      <c r="G117" s="1178" t="s">
        <v>1828</v>
      </c>
      <c r="H117" s="1172"/>
      <c r="I117" s="1172"/>
      <c r="J117" s="1172"/>
      <c r="K117" s="1172"/>
      <c r="L117" s="1173">
        <v>-4274261</v>
      </c>
      <c r="M117" s="1172"/>
      <c r="N117" s="1172"/>
      <c r="O117" s="1172"/>
      <c r="P117" s="1174"/>
      <c r="Q117" s="1175"/>
      <c r="R117" s="1172"/>
      <c r="S117" s="1172"/>
      <c r="T117" s="1172"/>
      <c r="U117" s="1172"/>
      <c r="V117" s="1172"/>
      <c r="W117" s="1172"/>
      <c r="X117" s="1176"/>
    </row>
    <row r="118" spans="1:24" ht="23.25" customHeight="1" x14ac:dyDescent="0.2">
      <c r="A118" s="2068"/>
      <c r="B118" s="2067"/>
      <c r="C118" s="2087"/>
      <c r="D118" s="1177" t="s">
        <v>188</v>
      </c>
      <c r="E118" s="1374" t="s">
        <v>1971</v>
      </c>
      <c r="F118" s="1374" t="s">
        <v>1970</v>
      </c>
      <c r="G118" s="1178" t="s">
        <v>1829</v>
      </c>
      <c r="H118" s="1172"/>
      <c r="I118" s="1172"/>
      <c r="J118" s="1172">
        <f>3365560+908701</f>
        <v>4274261</v>
      </c>
      <c r="K118" s="1172"/>
      <c r="L118" s="1173"/>
      <c r="M118" s="1172"/>
      <c r="N118" s="1172"/>
      <c r="O118" s="1172"/>
      <c r="P118" s="1174"/>
      <c r="Q118" s="1175"/>
      <c r="R118" s="1172"/>
      <c r="S118" s="1172"/>
      <c r="T118" s="1172"/>
      <c r="U118" s="1172"/>
      <c r="V118" s="1172"/>
      <c r="W118" s="1172"/>
      <c r="X118" s="1176"/>
    </row>
    <row r="119" spans="1:24" ht="18.75" customHeight="1" x14ac:dyDescent="0.2">
      <c r="A119" s="2068" t="s">
        <v>731</v>
      </c>
      <c r="B119" s="2067" t="s">
        <v>809</v>
      </c>
      <c r="C119" s="2092" t="s">
        <v>1972</v>
      </c>
      <c r="D119" s="1177" t="s">
        <v>188</v>
      </c>
      <c r="E119" s="1374" t="s">
        <v>813</v>
      </c>
      <c r="F119" s="1374" t="s">
        <v>1420</v>
      </c>
      <c r="G119" s="1178" t="s">
        <v>1829</v>
      </c>
      <c r="H119" s="1172"/>
      <c r="I119" s="1172"/>
      <c r="J119" s="1172"/>
      <c r="K119" s="1172"/>
      <c r="L119" s="1173"/>
      <c r="M119" s="1172"/>
      <c r="N119" s="1172"/>
      <c r="O119" s="1172"/>
      <c r="P119" s="1174"/>
      <c r="Q119" s="1175"/>
      <c r="R119" s="1172">
        <v>314960630</v>
      </c>
      <c r="S119" s="1172"/>
      <c r="T119" s="1172"/>
      <c r="U119" s="1172"/>
      <c r="V119" s="1172"/>
      <c r="W119" s="1172"/>
      <c r="X119" s="1176"/>
    </row>
    <row r="120" spans="1:24" ht="18.75" customHeight="1" x14ac:dyDescent="0.2">
      <c r="A120" s="2068"/>
      <c r="B120" s="2067"/>
      <c r="C120" s="2092"/>
      <c r="D120" s="1177" t="s">
        <v>193</v>
      </c>
      <c r="E120" s="1374" t="s">
        <v>813</v>
      </c>
      <c r="F120" s="1374" t="s">
        <v>1420</v>
      </c>
      <c r="G120" s="1178" t="s">
        <v>1829</v>
      </c>
      <c r="H120" s="1172"/>
      <c r="I120" s="1172"/>
      <c r="J120" s="1172"/>
      <c r="K120" s="1172"/>
      <c r="L120" s="1173"/>
      <c r="M120" s="1172">
        <v>279298425</v>
      </c>
      <c r="N120" s="1172"/>
      <c r="O120" s="1172"/>
      <c r="P120" s="1174"/>
      <c r="Q120" s="1175"/>
      <c r="R120" s="1172"/>
      <c r="S120" s="1172"/>
      <c r="T120" s="1172"/>
      <c r="U120" s="1172"/>
      <c r="V120" s="1172"/>
      <c r="W120" s="1172"/>
      <c r="X120" s="1176"/>
    </row>
    <row r="121" spans="1:24" ht="18.75" customHeight="1" x14ac:dyDescent="0.2">
      <c r="A121" s="2068"/>
      <c r="B121" s="2067"/>
      <c r="C121" s="2092"/>
      <c r="D121" s="1177" t="s">
        <v>190</v>
      </c>
      <c r="E121" s="1374" t="s">
        <v>813</v>
      </c>
      <c r="F121" s="1374" t="s">
        <v>1420</v>
      </c>
      <c r="G121" s="1178" t="s">
        <v>1829</v>
      </c>
      <c r="H121" s="1172"/>
      <c r="I121" s="1172"/>
      <c r="J121" s="1172">
        <f>34662205+1000000</f>
        <v>35662205</v>
      </c>
      <c r="K121" s="1172"/>
      <c r="L121" s="1173"/>
      <c r="M121" s="1172"/>
      <c r="N121" s="1172"/>
      <c r="O121" s="1172"/>
      <c r="P121" s="1174"/>
      <c r="Q121" s="1175"/>
      <c r="R121" s="1172"/>
      <c r="S121" s="1172"/>
      <c r="T121" s="1172"/>
      <c r="U121" s="1172"/>
      <c r="V121" s="1172"/>
      <c r="W121" s="1172"/>
      <c r="X121" s="1176"/>
    </row>
    <row r="122" spans="1:24" ht="33.75" customHeight="1" x14ac:dyDescent="0.2">
      <c r="A122" s="1494" t="s">
        <v>296</v>
      </c>
      <c r="B122" s="1493" t="s">
        <v>1295</v>
      </c>
      <c r="C122" s="1638" t="s">
        <v>1973</v>
      </c>
      <c r="D122" s="1177" t="s">
        <v>188</v>
      </c>
      <c r="E122" s="1374" t="s">
        <v>1375</v>
      </c>
      <c r="F122" s="1374" t="s">
        <v>1878</v>
      </c>
      <c r="G122" s="1178" t="s">
        <v>1829</v>
      </c>
      <c r="H122" s="1172"/>
      <c r="I122" s="1172"/>
      <c r="J122" s="1172"/>
      <c r="K122" s="1172"/>
      <c r="L122" s="1173"/>
      <c r="M122" s="1172"/>
      <c r="N122" s="1172"/>
      <c r="O122" s="1172"/>
      <c r="P122" s="1174">
        <v>53187987</v>
      </c>
      <c r="Q122" s="1175"/>
      <c r="R122" s="1172"/>
      <c r="S122" s="1172"/>
      <c r="T122" s="1172"/>
      <c r="U122" s="1172"/>
      <c r="V122" s="1172"/>
      <c r="W122" s="1172"/>
      <c r="X122" s="1176">
        <v>53187987</v>
      </c>
    </row>
    <row r="123" spans="1:24" ht="34.5" customHeight="1" x14ac:dyDescent="0.2">
      <c r="A123" s="1494" t="s">
        <v>297</v>
      </c>
      <c r="B123" s="1493" t="s">
        <v>1362</v>
      </c>
      <c r="C123" s="1638" t="s">
        <v>1974</v>
      </c>
      <c r="D123" s="1177" t="s">
        <v>188</v>
      </c>
      <c r="E123" s="1374" t="s">
        <v>1375</v>
      </c>
      <c r="F123" s="1374" t="s">
        <v>1878</v>
      </c>
      <c r="G123" s="1178" t="s">
        <v>1829</v>
      </c>
      <c r="H123" s="1172"/>
      <c r="I123" s="1172"/>
      <c r="J123" s="1172"/>
      <c r="K123" s="1172"/>
      <c r="L123" s="1173"/>
      <c r="M123" s="1172"/>
      <c r="N123" s="1172"/>
      <c r="O123" s="1172"/>
      <c r="P123" s="1174">
        <v>8712101</v>
      </c>
      <c r="Q123" s="1175"/>
      <c r="R123" s="1172"/>
      <c r="S123" s="1172"/>
      <c r="T123" s="1172"/>
      <c r="U123" s="1172"/>
      <c r="V123" s="1172"/>
      <c r="W123" s="1172"/>
      <c r="X123" s="1176">
        <v>8712101</v>
      </c>
    </row>
    <row r="124" spans="1:24" ht="27.75" customHeight="1" x14ac:dyDescent="0.2">
      <c r="A124" s="1494" t="s">
        <v>298</v>
      </c>
      <c r="B124" s="1493" t="s">
        <v>1363</v>
      </c>
      <c r="C124" s="1638" t="s">
        <v>2008</v>
      </c>
      <c r="D124" s="1177" t="s">
        <v>188</v>
      </c>
      <c r="E124" s="1374" t="s">
        <v>1375</v>
      </c>
      <c r="F124" s="1374" t="s">
        <v>1878</v>
      </c>
      <c r="G124" s="1178" t="s">
        <v>1829</v>
      </c>
      <c r="H124" s="1172"/>
      <c r="I124" s="1172"/>
      <c r="J124" s="1172"/>
      <c r="K124" s="1172"/>
      <c r="L124" s="1173"/>
      <c r="M124" s="1172"/>
      <c r="N124" s="1172"/>
      <c r="O124" s="1172"/>
      <c r="P124" s="1174">
        <v>7191662</v>
      </c>
      <c r="Q124" s="1175"/>
      <c r="R124" s="1172"/>
      <c r="S124" s="1172"/>
      <c r="T124" s="1172"/>
      <c r="U124" s="1172"/>
      <c r="V124" s="1172"/>
      <c r="W124" s="1172"/>
      <c r="X124" s="1176">
        <v>7191662</v>
      </c>
    </row>
    <row r="125" spans="1:24" ht="28.5" customHeight="1" x14ac:dyDescent="0.2">
      <c r="A125" s="2052" t="s">
        <v>299</v>
      </c>
      <c r="B125" s="2054" t="s">
        <v>1364</v>
      </c>
      <c r="C125" s="2056" t="s">
        <v>2009</v>
      </c>
      <c r="D125" s="1177" t="s">
        <v>198</v>
      </c>
      <c r="E125" s="1374" t="s">
        <v>1375</v>
      </c>
      <c r="F125" s="1374" t="s">
        <v>1878</v>
      </c>
      <c r="G125" s="1178" t="s">
        <v>1829</v>
      </c>
      <c r="H125" s="1172"/>
      <c r="I125" s="1172"/>
      <c r="J125" s="1172"/>
      <c r="K125" s="1172"/>
      <c r="L125" s="1173"/>
      <c r="M125" s="1172"/>
      <c r="N125" s="1172"/>
      <c r="O125" s="1172"/>
      <c r="P125" s="1174"/>
      <c r="Q125" s="1175">
        <v>2415415</v>
      </c>
      <c r="R125" s="1172"/>
      <c r="S125" s="1172"/>
      <c r="T125" s="1172"/>
      <c r="U125" s="1172"/>
      <c r="V125" s="1172"/>
      <c r="W125" s="1172"/>
      <c r="X125" s="1176"/>
    </row>
    <row r="126" spans="1:24" ht="28.5" customHeight="1" x14ac:dyDescent="0.2">
      <c r="A126" s="2053"/>
      <c r="B126" s="2055"/>
      <c r="C126" s="2057"/>
      <c r="D126" s="1177" t="s">
        <v>195</v>
      </c>
      <c r="E126" s="1374" t="s">
        <v>74</v>
      </c>
      <c r="F126" s="1374" t="s">
        <v>1870</v>
      </c>
      <c r="G126" s="1178" t="s">
        <v>1829</v>
      </c>
      <c r="H126" s="1172"/>
      <c r="I126" s="1172"/>
      <c r="J126" s="1172"/>
      <c r="K126" s="1172"/>
      <c r="L126" s="1173">
        <v>2415415</v>
      </c>
      <c r="M126" s="1172"/>
      <c r="N126" s="1172"/>
      <c r="O126" s="1172"/>
      <c r="P126" s="1174"/>
      <c r="Q126" s="1175"/>
      <c r="R126" s="1172"/>
      <c r="S126" s="1172"/>
      <c r="T126" s="1172"/>
      <c r="U126" s="1172"/>
      <c r="V126" s="1172"/>
      <c r="W126" s="1172"/>
      <c r="X126" s="1176"/>
    </row>
    <row r="127" spans="1:24" ht="30" customHeight="1" x14ac:dyDescent="0.2">
      <c r="A127" s="2052" t="s">
        <v>300</v>
      </c>
      <c r="B127" s="2054" t="s">
        <v>1365</v>
      </c>
      <c r="C127" s="2056" t="s">
        <v>1978</v>
      </c>
      <c r="D127" s="1177" t="s">
        <v>195</v>
      </c>
      <c r="E127" s="1374" t="s">
        <v>74</v>
      </c>
      <c r="F127" s="1374" t="s">
        <v>1870</v>
      </c>
      <c r="G127" s="1178" t="s">
        <v>1828</v>
      </c>
      <c r="H127" s="1172"/>
      <c r="I127" s="1172"/>
      <c r="J127" s="1172"/>
      <c r="K127" s="1172"/>
      <c r="L127" s="1173">
        <v>-83034886</v>
      </c>
      <c r="M127" s="1172"/>
      <c r="N127" s="1172"/>
      <c r="O127" s="1172"/>
      <c r="P127" s="1174"/>
      <c r="Q127" s="1175"/>
      <c r="R127" s="1172"/>
      <c r="S127" s="1172"/>
      <c r="T127" s="1172"/>
      <c r="U127" s="1172"/>
      <c r="V127" s="1172"/>
      <c r="W127" s="1172"/>
      <c r="X127" s="1176"/>
    </row>
    <row r="128" spans="1:24" ht="30" customHeight="1" x14ac:dyDescent="0.2">
      <c r="A128" s="2061"/>
      <c r="B128" s="2060"/>
      <c r="C128" s="2065"/>
      <c r="D128" s="1177" t="s">
        <v>188</v>
      </c>
      <c r="E128" s="1374" t="s">
        <v>813</v>
      </c>
      <c r="F128" s="1374" t="s">
        <v>1420</v>
      </c>
      <c r="G128" s="1178" t="s">
        <v>1829</v>
      </c>
      <c r="H128" s="1172"/>
      <c r="I128" s="1172"/>
      <c r="J128" s="1172">
        <v>7624311</v>
      </c>
      <c r="K128" s="1172"/>
      <c r="L128" s="1173"/>
      <c r="M128" s="1172"/>
      <c r="N128" s="1172"/>
      <c r="O128" s="1172"/>
      <c r="P128" s="1174"/>
      <c r="Q128" s="1175"/>
      <c r="R128" s="1172"/>
      <c r="S128" s="1172"/>
      <c r="T128" s="1172"/>
      <c r="U128" s="1172"/>
      <c r="V128" s="1172"/>
      <c r="W128" s="1172"/>
      <c r="X128" s="1176"/>
    </row>
    <row r="129" spans="1:24" ht="30" customHeight="1" x14ac:dyDescent="0.2">
      <c r="A129" s="2053"/>
      <c r="B129" s="2055"/>
      <c r="C129" s="2057"/>
      <c r="D129" s="1177" t="s">
        <v>193</v>
      </c>
      <c r="E129" s="1374" t="s">
        <v>813</v>
      </c>
      <c r="F129" s="1374" t="s">
        <v>1420</v>
      </c>
      <c r="G129" s="1178" t="s">
        <v>1829</v>
      </c>
      <c r="H129" s="1172"/>
      <c r="I129" s="1172"/>
      <c r="J129" s="1172"/>
      <c r="K129" s="1172"/>
      <c r="L129" s="1173"/>
      <c r="M129" s="1172">
        <v>75410575</v>
      </c>
      <c r="N129" s="1172"/>
      <c r="O129" s="1172"/>
      <c r="P129" s="1174"/>
      <c r="Q129" s="1175"/>
      <c r="R129" s="1172"/>
      <c r="S129" s="1172"/>
      <c r="T129" s="1172"/>
      <c r="U129" s="1172"/>
      <c r="V129" s="1172"/>
      <c r="W129" s="1172"/>
      <c r="X129" s="1176"/>
    </row>
    <row r="130" spans="1:24" ht="27" customHeight="1" x14ac:dyDescent="0.2">
      <c r="A130" s="2052" t="s">
        <v>301</v>
      </c>
      <c r="B130" s="2054" t="s">
        <v>1366</v>
      </c>
      <c r="C130" s="2056" t="s">
        <v>2146</v>
      </c>
      <c r="D130" s="1177" t="s">
        <v>195</v>
      </c>
      <c r="E130" s="1374" t="s">
        <v>74</v>
      </c>
      <c r="F130" s="1374" t="s">
        <v>1870</v>
      </c>
      <c r="G130" s="1178" t="s">
        <v>1828</v>
      </c>
      <c r="H130" s="1172"/>
      <c r="I130" s="1172"/>
      <c r="J130" s="1172"/>
      <c r="K130" s="1172"/>
      <c r="L130" s="1173">
        <v>-1129588</v>
      </c>
      <c r="M130" s="1172"/>
      <c r="N130" s="1172"/>
      <c r="O130" s="1172"/>
      <c r="P130" s="1174"/>
      <c r="Q130" s="1175"/>
      <c r="R130" s="1172"/>
      <c r="S130" s="1172"/>
      <c r="T130" s="1172"/>
      <c r="U130" s="1172"/>
      <c r="V130" s="1172"/>
      <c r="W130" s="1172"/>
      <c r="X130" s="1176"/>
    </row>
    <row r="131" spans="1:24" ht="27" customHeight="1" x14ac:dyDescent="0.2">
      <c r="A131" s="2053"/>
      <c r="B131" s="2055"/>
      <c r="C131" s="2057"/>
      <c r="D131" s="1177" t="s">
        <v>197</v>
      </c>
      <c r="E131" s="1374" t="s">
        <v>1288</v>
      </c>
      <c r="F131" s="1374" t="s">
        <v>535</v>
      </c>
      <c r="G131" s="1178" t="s">
        <v>1829</v>
      </c>
      <c r="H131" s="1172"/>
      <c r="I131" s="1172"/>
      <c r="J131" s="1172"/>
      <c r="K131" s="1172"/>
      <c r="L131" s="1173"/>
      <c r="M131" s="1172"/>
      <c r="N131" s="1172"/>
      <c r="O131" s="1172"/>
      <c r="P131" s="1174">
        <v>1129588</v>
      </c>
      <c r="Q131" s="1175"/>
      <c r="R131" s="1172"/>
      <c r="S131" s="1172"/>
      <c r="T131" s="1172"/>
      <c r="U131" s="1172"/>
      <c r="V131" s="1172"/>
      <c r="W131" s="1172"/>
      <c r="X131" s="1176"/>
    </row>
    <row r="132" spans="1:24" ht="18.75" customHeight="1" x14ac:dyDescent="0.2">
      <c r="A132" s="2052" t="s">
        <v>302</v>
      </c>
      <c r="B132" s="2054" t="s">
        <v>1367</v>
      </c>
      <c r="C132" s="2056" t="s">
        <v>2226</v>
      </c>
      <c r="D132" s="1177" t="s">
        <v>188</v>
      </c>
      <c r="E132" s="1374" t="s">
        <v>1980</v>
      </c>
      <c r="F132" s="1374" t="s">
        <v>1979</v>
      </c>
      <c r="G132" s="1178" t="s">
        <v>1828</v>
      </c>
      <c r="H132" s="1172"/>
      <c r="I132" s="1172"/>
      <c r="J132" s="1172">
        <f>-265000-71550</f>
        <v>-336550</v>
      </c>
      <c r="K132" s="1172"/>
      <c r="L132" s="1173"/>
      <c r="M132" s="1172"/>
      <c r="N132" s="1172"/>
      <c r="O132" s="1172"/>
      <c r="P132" s="1174"/>
      <c r="Q132" s="1175"/>
      <c r="R132" s="1172"/>
      <c r="S132" s="1172"/>
      <c r="T132" s="1172"/>
      <c r="U132" s="1172"/>
      <c r="V132" s="1172"/>
      <c r="W132" s="1172"/>
      <c r="X132" s="1176"/>
    </row>
    <row r="133" spans="1:24" ht="18.75" customHeight="1" x14ac:dyDescent="0.2">
      <c r="A133" s="2053"/>
      <c r="B133" s="2055"/>
      <c r="C133" s="2057"/>
      <c r="D133" s="1177" t="s">
        <v>193</v>
      </c>
      <c r="E133" s="1374" t="s">
        <v>1980</v>
      </c>
      <c r="F133" s="1374" t="s">
        <v>1979</v>
      </c>
      <c r="G133" s="1178" t="s">
        <v>1829</v>
      </c>
      <c r="H133" s="1172"/>
      <c r="I133" s="1172"/>
      <c r="J133" s="1172"/>
      <c r="K133" s="1172"/>
      <c r="L133" s="1173"/>
      <c r="M133" s="1172">
        <f>265000+71550</f>
        <v>336550</v>
      </c>
      <c r="N133" s="1172"/>
      <c r="O133" s="1172"/>
      <c r="P133" s="1174"/>
      <c r="Q133" s="1175"/>
      <c r="R133" s="1172"/>
      <c r="S133" s="1172"/>
      <c r="T133" s="1172"/>
      <c r="U133" s="1172"/>
      <c r="V133" s="1172"/>
      <c r="W133" s="1172"/>
      <c r="X133" s="1176"/>
    </row>
    <row r="134" spans="1:24" ht="39" customHeight="1" x14ac:dyDescent="0.2">
      <c r="A134" s="1494" t="s">
        <v>303</v>
      </c>
      <c r="B134" s="1313" t="s">
        <v>1306</v>
      </c>
      <c r="C134" s="1492" t="s">
        <v>1981</v>
      </c>
      <c r="D134" s="1177" t="s">
        <v>188</v>
      </c>
      <c r="E134" s="1374" t="s">
        <v>813</v>
      </c>
      <c r="F134" s="1374" t="s">
        <v>1897</v>
      </c>
      <c r="G134" s="1178" t="s">
        <v>1837</v>
      </c>
      <c r="H134" s="1172"/>
      <c r="I134" s="1172"/>
      <c r="J134" s="1172">
        <f>-5200000+200000+4000000+1000000</f>
        <v>0</v>
      </c>
      <c r="K134" s="1172"/>
      <c r="L134" s="1173"/>
      <c r="M134" s="1172"/>
      <c r="N134" s="1172"/>
      <c r="O134" s="1172"/>
      <c r="P134" s="1174"/>
      <c r="Q134" s="1175"/>
      <c r="R134" s="1172"/>
      <c r="S134" s="1172"/>
      <c r="T134" s="1172"/>
      <c r="U134" s="1172"/>
      <c r="V134" s="1172"/>
      <c r="W134" s="1172"/>
      <c r="X134" s="1176"/>
    </row>
    <row r="135" spans="1:24" ht="38.25" customHeight="1" x14ac:dyDescent="0.2">
      <c r="A135" s="1494" t="s">
        <v>304</v>
      </c>
      <c r="B135" s="1493" t="s">
        <v>1307</v>
      </c>
      <c r="C135" s="1492" t="s">
        <v>1982</v>
      </c>
      <c r="D135" s="1177" t="s">
        <v>188</v>
      </c>
      <c r="E135" s="1374" t="s">
        <v>813</v>
      </c>
      <c r="F135" s="1374" t="s">
        <v>812</v>
      </c>
      <c r="G135" s="1178" t="s">
        <v>1837</v>
      </c>
      <c r="H135" s="1172"/>
      <c r="I135" s="1172"/>
      <c r="J135" s="1172">
        <f>-70000+70000</f>
        <v>0</v>
      </c>
      <c r="K135" s="1172"/>
      <c r="L135" s="1173"/>
      <c r="M135" s="1172"/>
      <c r="N135" s="1172"/>
      <c r="O135" s="1172"/>
      <c r="P135" s="1174"/>
      <c r="Q135" s="1175"/>
      <c r="R135" s="1172"/>
      <c r="S135" s="1172"/>
      <c r="T135" s="1172"/>
      <c r="U135" s="1172"/>
      <c r="V135" s="1172"/>
      <c r="W135" s="1172"/>
      <c r="X135" s="1176"/>
    </row>
    <row r="136" spans="1:24" ht="23.25" customHeight="1" x14ac:dyDescent="0.2">
      <c r="A136" s="2052" t="s">
        <v>305</v>
      </c>
      <c r="B136" s="2054" t="s">
        <v>1412</v>
      </c>
      <c r="C136" s="2056" t="s">
        <v>1983</v>
      </c>
      <c r="D136" s="1177" t="s">
        <v>195</v>
      </c>
      <c r="E136" s="1374" t="s">
        <v>74</v>
      </c>
      <c r="F136" s="1374" t="s">
        <v>1870</v>
      </c>
      <c r="G136" s="1178" t="s">
        <v>1828</v>
      </c>
      <c r="H136" s="1172"/>
      <c r="I136" s="1172"/>
      <c r="J136" s="1172"/>
      <c r="K136" s="1172"/>
      <c r="L136" s="1173">
        <v>-500000</v>
      </c>
      <c r="M136" s="1172"/>
      <c r="N136" s="1172"/>
      <c r="O136" s="1172"/>
      <c r="P136" s="1174"/>
      <c r="Q136" s="1175"/>
      <c r="R136" s="1172"/>
      <c r="S136" s="1172"/>
      <c r="T136" s="1172"/>
      <c r="U136" s="1172"/>
      <c r="V136" s="1172"/>
      <c r="W136" s="1172"/>
      <c r="X136" s="1176"/>
    </row>
    <row r="137" spans="1:24" ht="23.25" customHeight="1" x14ac:dyDescent="0.2">
      <c r="A137" s="2053"/>
      <c r="B137" s="2055"/>
      <c r="C137" s="2057"/>
      <c r="D137" s="1177" t="s">
        <v>188</v>
      </c>
      <c r="E137" s="1374" t="s">
        <v>1985</v>
      </c>
      <c r="F137" s="1374" t="s">
        <v>1984</v>
      </c>
      <c r="G137" s="1178" t="s">
        <v>1829</v>
      </c>
      <c r="H137" s="1172"/>
      <c r="I137" s="1172"/>
      <c r="J137" s="1172">
        <f>393701+106299</f>
        <v>500000</v>
      </c>
      <c r="K137" s="1172"/>
      <c r="L137" s="1173"/>
      <c r="M137" s="1172"/>
      <c r="N137" s="1172"/>
      <c r="O137" s="1172"/>
      <c r="P137" s="1174"/>
      <c r="Q137" s="1175"/>
      <c r="R137" s="1172"/>
      <c r="S137" s="1172"/>
      <c r="T137" s="1172"/>
      <c r="U137" s="1172"/>
      <c r="V137" s="1172"/>
      <c r="W137" s="1172"/>
      <c r="X137" s="1176"/>
    </row>
    <row r="138" spans="1:24" ht="27" customHeight="1" x14ac:dyDescent="0.2">
      <c r="A138" s="1494" t="s">
        <v>306</v>
      </c>
      <c r="B138" s="1493" t="s">
        <v>1413</v>
      </c>
      <c r="C138" s="1492" t="s">
        <v>1986</v>
      </c>
      <c r="D138" s="1177" t="s">
        <v>188</v>
      </c>
      <c r="E138" s="1374" t="s">
        <v>131</v>
      </c>
      <c r="F138" s="1374" t="s">
        <v>67</v>
      </c>
      <c r="G138" s="1178" t="s">
        <v>1829</v>
      </c>
      <c r="H138" s="1172"/>
      <c r="I138" s="1172"/>
      <c r="J138" s="1172"/>
      <c r="K138" s="1172"/>
      <c r="L138" s="1173"/>
      <c r="M138" s="1172"/>
      <c r="N138" s="1172"/>
      <c r="O138" s="1172">
        <v>968750</v>
      </c>
      <c r="P138" s="1174"/>
      <c r="Q138" s="1175"/>
      <c r="R138" s="1172"/>
      <c r="S138" s="1172"/>
      <c r="T138" s="1172"/>
      <c r="U138" s="1172"/>
      <c r="V138" s="1172"/>
      <c r="W138" s="1172">
        <v>968750</v>
      </c>
      <c r="X138" s="1176"/>
    </row>
    <row r="139" spans="1:24" ht="16.5" customHeight="1" x14ac:dyDescent="0.2">
      <c r="A139" s="2052" t="s">
        <v>307</v>
      </c>
      <c r="B139" s="2054" t="s">
        <v>1414</v>
      </c>
      <c r="C139" s="2056" t="s">
        <v>2010</v>
      </c>
      <c r="D139" s="1177" t="s">
        <v>193</v>
      </c>
      <c r="E139" s="1374" t="s">
        <v>130</v>
      </c>
      <c r="F139" s="1374" t="s">
        <v>129</v>
      </c>
      <c r="G139" s="1178" t="s">
        <v>1828</v>
      </c>
      <c r="H139" s="1172"/>
      <c r="I139" s="1172"/>
      <c r="J139" s="1172"/>
      <c r="K139" s="1172"/>
      <c r="L139" s="1173"/>
      <c r="M139" s="1172">
        <v>-1626378</v>
      </c>
      <c r="N139" s="1172"/>
      <c r="O139" s="1172"/>
      <c r="P139" s="1174"/>
      <c r="Q139" s="1175"/>
      <c r="R139" s="1172"/>
      <c r="S139" s="1172"/>
      <c r="T139" s="1172"/>
      <c r="U139" s="1172"/>
      <c r="V139" s="1172"/>
      <c r="W139" s="1172"/>
      <c r="X139" s="1176"/>
    </row>
    <row r="140" spans="1:24" ht="16.5" customHeight="1" x14ac:dyDescent="0.2">
      <c r="A140" s="2061"/>
      <c r="B140" s="2060"/>
      <c r="C140" s="2065"/>
      <c r="D140" s="1177" t="s">
        <v>193</v>
      </c>
      <c r="E140" s="1374" t="s">
        <v>547</v>
      </c>
      <c r="F140" s="1374" t="s">
        <v>748</v>
      </c>
      <c r="G140" s="1178" t="s">
        <v>1828</v>
      </c>
      <c r="H140" s="1172"/>
      <c r="I140" s="1172"/>
      <c r="J140" s="1172"/>
      <c r="K140" s="1172"/>
      <c r="L140" s="1173"/>
      <c r="M140" s="1172">
        <v>-9347819</v>
      </c>
      <c r="N140" s="1172"/>
      <c r="O140" s="1172"/>
      <c r="P140" s="1174"/>
      <c r="Q140" s="1175"/>
      <c r="R140" s="1172"/>
      <c r="S140" s="1172"/>
      <c r="T140" s="1172"/>
      <c r="U140" s="1172"/>
      <c r="V140" s="1172"/>
      <c r="W140" s="1172"/>
      <c r="X140" s="1176"/>
    </row>
    <row r="141" spans="1:24" ht="16.5" customHeight="1" x14ac:dyDescent="0.2">
      <c r="A141" s="2061"/>
      <c r="B141" s="2060"/>
      <c r="C141" s="2065"/>
      <c r="D141" s="1177" t="s">
        <v>188</v>
      </c>
      <c r="E141" s="1374" t="s">
        <v>130</v>
      </c>
      <c r="F141" s="1374" t="s">
        <v>129</v>
      </c>
      <c r="G141" s="1178" t="s">
        <v>1829</v>
      </c>
      <c r="H141" s="1172"/>
      <c r="I141" s="1172"/>
      <c r="J141" s="1172">
        <v>1626378</v>
      </c>
      <c r="K141" s="1172"/>
      <c r="L141" s="1173"/>
      <c r="M141" s="1172"/>
      <c r="N141" s="1172"/>
      <c r="O141" s="1172"/>
      <c r="P141" s="1174"/>
      <c r="Q141" s="1175"/>
      <c r="R141" s="1172"/>
      <c r="S141" s="1172"/>
      <c r="T141" s="1172"/>
      <c r="U141" s="1172"/>
      <c r="V141" s="1172"/>
      <c r="W141" s="1172"/>
      <c r="X141" s="1176"/>
    </row>
    <row r="142" spans="1:24" ht="16.5" customHeight="1" x14ac:dyDescent="0.2">
      <c r="A142" s="2053"/>
      <c r="B142" s="2055"/>
      <c r="C142" s="2057"/>
      <c r="D142" s="1177" t="s">
        <v>188</v>
      </c>
      <c r="E142" s="1374" t="s">
        <v>547</v>
      </c>
      <c r="F142" s="1374" t="s">
        <v>748</v>
      </c>
      <c r="G142" s="1178" t="s">
        <v>1829</v>
      </c>
      <c r="H142" s="1172"/>
      <c r="I142" s="1172"/>
      <c r="J142" s="1172">
        <v>9347819</v>
      </c>
      <c r="K142" s="1172"/>
      <c r="L142" s="1173"/>
      <c r="M142" s="1172"/>
      <c r="N142" s="1172"/>
      <c r="O142" s="1172"/>
      <c r="P142" s="1174"/>
      <c r="Q142" s="1175"/>
      <c r="R142" s="1172"/>
      <c r="S142" s="1172"/>
      <c r="T142" s="1172"/>
      <c r="U142" s="1172"/>
      <c r="V142" s="1172"/>
      <c r="W142" s="1172"/>
      <c r="X142" s="1176"/>
    </row>
    <row r="143" spans="1:24" ht="15.75" customHeight="1" x14ac:dyDescent="0.2">
      <c r="A143" s="2052" t="s">
        <v>308</v>
      </c>
      <c r="B143" s="2054" t="s">
        <v>1424</v>
      </c>
      <c r="C143" s="2056" t="s">
        <v>1991</v>
      </c>
      <c r="D143" s="1177" t="s">
        <v>194</v>
      </c>
      <c r="E143" s="1374" t="s">
        <v>130</v>
      </c>
      <c r="F143" s="1374" t="s">
        <v>129</v>
      </c>
      <c r="G143" s="1178" t="s">
        <v>1837</v>
      </c>
      <c r="H143" s="1172"/>
      <c r="I143" s="1172"/>
      <c r="J143" s="1172"/>
      <c r="K143" s="1172"/>
      <c r="L143" s="1173"/>
      <c r="M143" s="1172"/>
      <c r="N143" s="1172">
        <f>-13896653+13896653</f>
        <v>0</v>
      </c>
      <c r="O143" s="1172"/>
      <c r="P143" s="1174"/>
      <c r="Q143" s="1175"/>
      <c r="R143" s="1172"/>
      <c r="S143" s="1172"/>
      <c r="T143" s="1172"/>
      <c r="U143" s="1172"/>
      <c r="V143" s="1172"/>
      <c r="W143" s="1172"/>
      <c r="X143" s="1176"/>
    </row>
    <row r="144" spans="1:24" ht="15.75" customHeight="1" x14ac:dyDescent="0.2">
      <c r="A144" s="2061"/>
      <c r="B144" s="2060"/>
      <c r="C144" s="2065"/>
      <c r="D144" s="1177" t="s">
        <v>194</v>
      </c>
      <c r="E144" s="1374" t="s">
        <v>547</v>
      </c>
      <c r="F144" s="1374" t="s">
        <v>748</v>
      </c>
      <c r="G144" s="1178" t="s">
        <v>1828</v>
      </c>
      <c r="H144" s="1172"/>
      <c r="I144" s="1172"/>
      <c r="J144" s="1172"/>
      <c r="K144" s="1172"/>
      <c r="L144" s="1173"/>
      <c r="M144" s="1172"/>
      <c r="N144" s="1172">
        <f>-765815-206770</f>
        <v>-972585</v>
      </c>
      <c r="O144" s="1172"/>
      <c r="P144" s="1174"/>
      <c r="Q144" s="1175"/>
      <c r="R144" s="1172"/>
      <c r="S144" s="1172"/>
      <c r="T144" s="1172"/>
      <c r="U144" s="1172"/>
      <c r="V144" s="1172"/>
      <c r="W144" s="1172"/>
      <c r="X144" s="1176"/>
    </row>
    <row r="145" spans="1:24" ht="15.75" customHeight="1" x14ac:dyDescent="0.2">
      <c r="A145" s="2053"/>
      <c r="B145" s="2055"/>
      <c r="C145" s="2057"/>
      <c r="D145" s="1177" t="s">
        <v>193</v>
      </c>
      <c r="E145" s="1374" t="s">
        <v>547</v>
      </c>
      <c r="F145" s="1374" t="s">
        <v>748</v>
      </c>
      <c r="G145" s="1178" t="s">
        <v>1829</v>
      </c>
      <c r="H145" s="1172"/>
      <c r="I145" s="1172"/>
      <c r="J145" s="1172"/>
      <c r="K145" s="1172"/>
      <c r="L145" s="1173"/>
      <c r="M145" s="1172">
        <f>765815+206770</f>
        <v>972585</v>
      </c>
      <c r="N145" s="1172"/>
      <c r="O145" s="1172"/>
      <c r="P145" s="1174"/>
      <c r="Q145" s="1175"/>
      <c r="R145" s="1172"/>
      <c r="S145" s="1172"/>
      <c r="T145" s="1172"/>
      <c r="U145" s="1172"/>
      <c r="V145" s="1172"/>
      <c r="W145" s="1172"/>
      <c r="X145" s="1176"/>
    </row>
    <row r="146" spans="1:24" ht="22.5" customHeight="1" x14ac:dyDescent="0.2">
      <c r="A146" s="2052" t="s">
        <v>309</v>
      </c>
      <c r="B146" s="2054" t="s">
        <v>1472</v>
      </c>
      <c r="C146" s="2056" t="s">
        <v>1992</v>
      </c>
      <c r="D146" s="1177" t="s">
        <v>188</v>
      </c>
      <c r="E146" s="1374" t="s">
        <v>131</v>
      </c>
      <c r="F146" s="1374" t="s">
        <v>154</v>
      </c>
      <c r="G146" s="1178" t="s">
        <v>1829</v>
      </c>
      <c r="H146" s="1172"/>
      <c r="I146" s="1172"/>
      <c r="J146" s="1172"/>
      <c r="K146" s="1172"/>
      <c r="L146" s="1173"/>
      <c r="M146" s="1172"/>
      <c r="N146" s="1172"/>
      <c r="O146" s="1172"/>
      <c r="P146" s="1174"/>
      <c r="Q146" s="1175"/>
      <c r="R146" s="1172"/>
      <c r="S146" s="1172"/>
      <c r="T146" s="1172">
        <v>4729641</v>
      </c>
      <c r="U146" s="1172"/>
      <c r="V146" s="1172"/>
      <c r="W146" s="1172"/>
      <c r="X146" s="1176"/>
    </row>
    <row r="147" spans="1:24" ht="22.5" customHeight="1" x14ac:dyDescent="0.2">
      <c r="A147" s="2053"/>
      <c r="B147" s="2055"/>
      <c r="C147" s="2057"/>
      <c r="D147" s="1177" t="s">
        <v>195</v>
      </c>
      <c r="E147" s="1374" t="s">
        <v>74</v>
      </c>
      <c r="F147" s="1374" t="s">
        <v>1870</v>
      </c>
      <c r="G147" s="1178" t="s">
        <v>1829</v>
      </c>
      <c r="H147" s="1172"/>
      <c r="I147" s="1172"/>
      <c r="J147" s="1172"/>
      <c r="K147" s="1172"/>
      <c r="L147" s="1173">
        <v>4729641</v>
      </c>
      <c r="M147" s="1172"/>
      <c r="N147" s="1172"/>
      <c r="O147" s="1172"/>
      <c r="P147" s="1174"/>
      <c r="Q147" s="1175"/>
      <c r="R147" s="1172"/>
      <c r="S147" s="1172"/>
      <c r="T147" s="1172"/>
      <c r="U147" s="1172"/>
      <c r="V147" s="1172"/>
      <c r="W147" s="1172"/>
      <c r="X147" s="1176"/>
    </row>
    <row r="148" spans="1:24" ht="33.75" customHeight="1" x14ac:dyDescent="0.2">
      <c r="A148" s="2052" t="s">
        <v>732</v>
      </c>
      <c r="B148" s="2054" t="s">
        <v>1563</v>
      </c>
      <c r="C148" s="2056" t="s">
        <v>2162</v>
      </c>
      <c r="D148" s="1177" t="s">
        <v>195</v>
      </c>
      <c r="E148" s="1374" t="s">
        <v>74</v>
      </c>
      <c r="F148" s="1374" t="s">
        <v>1870</v>
      </c>
      <c r="G148" s="1178" t="s">
        <v>1828</v>
      </c>
      <c r="H148" s="1172"/>
      <c r="I148" s="1172"/>
      <c r="J148" s="1172"/>
      <c r="K148" s="1172"/>
      <c r="L148" s="1173">
        <v>-79347</v>
      </c>
      <c r="M148" s="1172"/>
      <c r="N148" s="1172"/>
      <c r="O148" s="1172"/>
      <c r="P148" s="1174"/>
      <c r="Q148" s="1175"/>
      <c r="R148" s="1172"/>
      <c r="S148" s="1172"/>
      <c r="T148" s="1172"/>
      <c r="U148" s="1172"/>
      <c r="V148" s="1172"/>
      <c r="W148" s="1172"/>
      <c r="X148" s="1176"/>
    </row>
    <row r="149" spans="1:24" ht="33.75" customHeight="1" x14ac:dyDescent="0.2">
      <c r="A149" s="2053"/>
      <c r="B149" s="2055"/>
      <c r="C149" s="2057"/>
      <c r="D149" s="1177" t="s">
        <v>188</v>
      </c>
      <c r="E149" s="1374" t="s">
        <v>545</v>
      </c>
      <c r="F149" s="1374" t="s">
        <v>831</v>
      </c>
      <c r="G149" s="1178" t="s">
        <v>1829</v>
      </c>
      <c r="H149" s="1172"/>
      <c r="I149" s="1172"/>
      <c r="J149" s="1172">
        <f>62478+16869</f>
        <v>79347</v>
      </c>
      <c r="K149" s="1172"/>
      <c r="L149" s="1173"/>
      <c r="M149" s="1172"/>
      <c r="N149" s="1172"/>
      <c r="O149" s="1172"/>
      <c r="P149" s="1174"/>
      <c r="Q149" s="1175"/>
      <c r="R149" s="1172"/>
      <c r="S149" s="1172"/>
      <c r="T149" s="1172"/>
      <c r="U149" s="1172"/>
      <c r="V149" s="1172"/>
      <c r="W149" s="1172"/>
      <c r="X149" s="1176"/>
    </row>
    <row r="150" spans="1:24" ht="21" customHeight="1" x14ac:dyDescent="0.2">
      <c r="A150" s="2052" t="s">
        <v>310</v>
      </c>
      <c r="B150" s="2054" t="s">
        <v>1564</v>
      </c>
      <c r="C150" s="2056" t="s">
        <v>1993</v>
      </c>
      <c r="D150" s="1177" t="s">
        <v>188</v>
      </c>
      <c r="E150" s="1374" t="s">
        <v>1399</v>
      </c>
      <c r="F150" s="1374" t="s">
        <v>1389</v>
      </c>
      <c r="G150" s="1178" t="s">
        <v>1829</v>
      </c>
      <c r="H150" s="1172"/>
      <c r="I150" s="1172"/>
      <c r="J150" s="1172"/>
      <c r="K150" s="1172"/>
      <c r="L150" s="1173"/>
      <c r="M150" s="1172"/>
      <c r="N150" s="1172"/>
      <c r="O150" s="1172"/>
      <c r="P150" s="1174"/>
      <c r="Q150" s="1175"/>
      <c r="R150" s="1172"/>
      <c r="S150" s="1172">
        <v>1083679</v>
      </c>
      <c r="T150" s="1172"/>
      <c r="U150" s="1172"/>
      <c r="V150" s="1172"/>
      <c r="W150" s="1172"/>
      <c r="X150" s="1176"/>
    </row>
    <row r="151" spans="1:24" ht="21" customHeight="1" x14ac:dyDescent="0.2">
      <c r="A151" s="2053"/>
      <c r="B151" s="2055"/>
      <c r="C151" s="2057"/>
      <c r="D151" s="1177" t="s">
        <v>195</v>
      </c>
      <c r="E151" s="1374" t="s">
        <v>74</v>
      </c>
      <c r="F151" s="1374" t="s">
        <v>1870</v>
      </c>
      <c r="G151" s="1178" t="s">
        <v>1829</v>
      </c>
      <c r="H151" s="1172"/>
      <c r="I151" s="1172"/>
      <c r="J151" s="1172"/>
      <c r="K151" s="1172"/>
      <c r="L151" s="1173">
        <v>1083679</v>
      </c>
      <c r="M151" s="1172"/>
      <c r="N151" s="1172"/>
      <c r="O151" s="1172"/>
      <c r="P151" s="1174"/>
      <c r="Q151" s="1175"/>
      <c r="R151" s="1172"/>
      <c r="S151" s="1172"/>
      <c r="T151" s="1172"/>
      <c r="U151" s="1172"/>
      <c r="V151" s="1172"/>
      <c r="W151" s="1172"/>
      <c r="X151" s="1176"/>
    </row>
    <row r="152" spans="1:24" ht="33" customHeight="1" x14ac:dyDescent="0.2">
      <c r="A152" s="2052" t="s">
        <v>311</v>
      </c>
      <c r="B152" s="2054" t="s">
        <v>1566</v>
      </c>
      <c r="C152" s="2056" t="s">
        <v>2156</v>
      </c>
      <c r="D152" s="1177" t="s">
        <v>195</v>
      </c>
      <c r="E152" s="1374" t="s">
        <v>74</v>
      </c>
      <c r="F152" s="1374" t="s">
        <v>1870</v>
      </c>
      <c r="G152" s="1178" t="s">
        <v>1828</v>
      </c>
      <c r="H152" s="1172"/>
      <c r="I152" s="1172"/>
      <c r="J152" s="1172"/>
      <c r="K152" s="1172"/>
      <c r="L152" s="1173">
        <v>-320000</v>
      </c>
      <c r="M152" s="1172"/>
      <c r="N152" s="1172"/>
      <c r="O152" s="1172"/>
      <c r="P152" s="1174"/>
      <c r="Q152" s="1175"/>
      <c r="R152" s="1172"/>
      <c r="S152" s="1172"/>
      <c r="T152" s="1172"/>
      <c r="U152" s="1172"/>
      <c r="V152" s="1172"/>
      <c r="W152" s="1172"/>
      <c r="X152" s="1176"/>
    </row>
    <row r="153" spans="1:24" ht="33" customHeight="1" x14ac:dyDescent="0.2">
      <c r="A153" s="2053"/>
      <c r="B153" s="2055"/>
      <c r="C153" s="2057"/>
      <c r="D153" s="1177" t="s">
        <v>197</v>
      </c>
      <c r="E153" s="1374" t="s">
        <v>1288</v>
      </c>
      <c r="F153" s="1374" t="s">
        <v>535</v>
      </c>
      <c r="G153" s="1178" t="s">
        <v>1829</v>
      </c>
      <c r="H153" s="1172"/>
      <c r="I153" s="1172"/>
      <c r="J153" s="1172"/>
      <c r="K153" s="1172"/>
      <c r="L153" s="1173"/>
      <c r="M153" s="1172"/>
      <c r="N153" s="1172"/>
      <c r="O153" s="1172"/>
      <c r="P153" s="1174">
        <v>320000</v>
      </c>
      <c r="Q153" s="1175"/>
      <c r="R153" s="1172"/>
      <c r="S153" s="1172"/>
      <c r="T153" s="1172"/>
      <c r="U153" s="1172"/>
      <c r="V153" s="1172"/>
      <c r="W153" s="1172"/>
      <c r="X153" s="1176"/>
    </row>
    <row r="154" spans="1:24" ht="33.75" customHeight="1" x14ac:dyDescent="0.2">
      <c r="A154" s="2052" t="s">
        <v>733</v>
      </c>
      <c r="B154" s="2054" t="s">
        <v>1567</v>
      </c>
      <c r="C154" s="2056" t="s">
        <v>2150</v>
      </c>
      <c r="D154" s="1177" t="s">
        <v>195</v>
      </c>
      <c r="E154" s="1374" t="s">
        <v>74</v>
      </c>
      <c r="F154" s="1374" t="s">
        <v>1870</v>
      </c>
      <c r="G154" s="1178" t="s">
        <v>1828</v>
      </c>
      <c r="H154" s="1172"/>
      <c r="I154" s="1172"/>
      <c r="J154" s="1172"/>
      <c r="K154" s="1172"/>
      <c r="L154" s="1173">
        <v>-320000</v>
      </c>
      <c r="M154" s="1172"/>
      <c r="N154" s="1172"/>
      <c r="O154" s="1172"/>
      <c r="P154" s="1174"/>
      <c r="Q154" s="1175"/>
      <c r="R154" s="1172"/>
      <c r="S154" s="1172"/>
      <c r="T154" s="1172"/>
      <c r="U154" s="1172"/>
      <c r="V154" s="1172"/>
      <c r="W154" s="1172"/>
      <c r="X154" s="1176"/>
    </row>
    <row r="155" spans="1:24" ht="33.75" customHeight="1" x14ac:dyDescent="0.2">
      <c r="A155" s="2053"/>
      <c r="B155" s="2055"/>
      <c r="C155" s="2057"/>
      <c r="D155" s="1177" t="s">
        <v>197</v>
      </c>
      <c r="E155" s="1374" t="s">
        <v>1288</v>
      </c>
      <c r="F155" s="1374" t="s">
        <v>535</v>
      </c>
      <c r="G155" s="1178" t="s">
        <v>1829</v>
      </c>
      <c r="H155" s="1172"/>
      <c r="I155" s="1172"/>
      <c r="J155" s="1172"/>
      <c r="K155" s="1172"/>
      <c r="L155" s="1173"/>
      <c r="M155" s="1172"/>
      <c r="N155" s="1172"/>
      <c r="O155" s="1172"/>
      <c r="P155" s="1174">
        <v>320000</v>
      </c>
      <c r="Q155" s="1175"/>
      <c r="R155" s="1172"/>
      <c r="S155" s="1172"/>
      <c r="T155" s="1172"/>
      <c r="U155" s="1172"/>
      <c r="V155" s="1172"/>
      <c r="W155" s="1172"/>
      <c r="X155" s="1176"/>
    </row>
    <row r="156" spans="1:24" ht="35.25" customHeight="1" x14ac:dyDescent="0.2">
      <c r="A156" s="2052" t="s">
        <v>734</v>
      </c>
      <c r="B156" s="2054" t="s">
        <v>1568</v>
      </c>
      <c r="C156" s="2056" t="s">
        <v>2172</v>
      </c>
      <c r="D156" s="1170" t="s">
        <v>195</v>
      </c>
      <c r="E156" s="1374" t="s">
        <v>74</v>
      </c>
      <c r="F156" s="1374" t="s">
        <v>1870</v>
      </c>
      <c r="G156" s="1178" t="s">
        <v>1828</v>
      </c>
      <c r="H156" s="1172"/>
      <c r="I156" s="1172"/>
      <c r="J156" s="1172"/>
      <c r="K156" s="1172"/>
      <c r="L156" s="1173">
        <v>-320000</v>
      </c>
      <c r="M156" s="1172"/>
      <c r="N156" s="1172"/>
      <c r="O156" s="1172"/>
      <c r="P156" s="1174"/>
      <c r="Q156" s="1175"/>
      <c r="R156" s="1172"/>
      <c r="S156" s="1172"/>
      <c r="T156" s="1172"/>
      <c r="U156" s="1172"/>
      <c r="V156" s="1172"/>
      <c r="W156" s="1172"/>
      <c r="X156" s="1176"/>
    </row>
    <row r="157" spans="1:24" ht="35.25" customHeight="1" x14ac:dyDescent="0.2">
      <c r="A157" s="2053"/>
      <c r="B157" s="2055"/>
      <c r="C157" s="2057"/>
      <c r="D157" s="1170" t="s">
        <v>197</v>
      </c>
      <c r="E157" s="1374" t="s">
        <v>1288</v>
      </c>
      <c r="F157" s="1374" t="s">
        <v>535</v>
      </c>
      <c r="G157" s="1178" t="s">
        <v>1829</v>
      </c>
      <c r="H157" s="1172"/>
      <c r="I157" s="1172"/>
      <c r="J157" s="1172"/>
      <c r="K157" s="1172"/>
      <c r="L157" s="1173"/>
      <c r="M157" s="1172"/>
      <c r="N157" s="1172"/>
      <c r="O157" s="1172"/>
      <c r="P157" s="1174">
        <v>320000</v>
      </c>
      <c r="Q157" s="1175"/>
      <c r="R157" s="1172"/>
      <c r="S157" s="1172"/>
      <c r="T157" s="1172"/>
      <c r="U157" s="1172"/>
      <c r="V157" s="1172"/>
      <c r="W157" s="1172"/>
      <c r="X157" s="1176"/>
    </row>
    <row r="158" spans="1:24" ht="59.25" customHeight="1" x14ac:dyDescent="0.2">
      <c r="A158" s="2052" t="s">
        <v>156</v>
      </c>
      <c r="B158" s="2054" t="s">
        <v>1569</v>
      </c>
      <c r="C158" s="2056" t="s">
        <v>2025</v>
      </c>
      <c r="D158" s="1177" t="s">
        <v>195</v>
      </c>
      <c r="E158" s="1374" t="s">
        <v>74</v>
      </c>
      <c r="F158" s="1374" t="s">
        <v>1870</v>
      </c>
      <c r="G158" s="1178" t="s">
        <v>1828</v>
      </c>
      <c r="H158" s="1172"/>
      <c r="I158" s="1172"/>
      <c r="J158" s="1172"/>
      <c r="K158" s="1172"/>
      <c r="L158" s="1173">
        <v>-1540000</v>
      </c>
      <c r="M158" s="1172"/>
      <c r="N158" s="1172"/>
      <c r="O158" s="1172"/>
      <c r="P158" s="1174"/>
      <c r="Q158" s="1175"/>
      <c r="R158" s="1172"/>
      <c r="S158" s="1172"/>
      <c r="T158" s="1172"/>
      <c r="U158" s="1172"/>
      <c r="V158" s="1172"/>
      <c r="W158" s="1172"/>
      <c r="X158" s="1176"/>
    </row>
    <row r="159" spans="1:24" ht="59.25" customHeight="1" x14ac:dyDescent="0.2">
      <c r="A159" s="2053"/>
      <c r="B159" s="2055"/>
      <c r="C159" s="2057"/>
      <c r="D159" s="1177" t="s">
        <v>192</v>
      </c>
      <c r="E159" s="1374" t="s">
        <v>1288</v>
      </c>
      <c r="F159" s="1374" t="s">
        <v>2026</v>
      </c>
      <c r="G159" s="1178" t="s">
        <v>1829</v>
      </c>
      <c r="H159" s="1172"/>
      <c r="I159" s="1172"/>
      <c r="J159" s="1172"/>
      <c r="K159" s="1172"/>
      <c r="L159" s="1173">
        <v>1540000</v>
      </c>
      <c r="M159" s="1172"/>
      <c r="N159" s="1172"/>
      <c r="O159" s="1172"/>
      <c r="P159" s="1174"/>
      <c r="Q159" s="1175"/>
      <c r="R159" s="1172"/>
      <c r="S159" s="1172"/>
      <c r="T159" s="1172"/>
      <c r="U159" s="1172"/>
      <c r="V159" s="1172"/>
      <c r="W159" s="1172"/>
      <c r="X159" s="1176"/>
    </row>
    <row r="160" spans="1:24" ht="14.25" customHeight="1" x14ac:dyDescent="0.2">
      <c r="A160" s="2052" t="s">
        <v>312</v>
      </c>
      <c r="B160" s="2054" t="s">
        <v>2033</v>
      </c>
      <c r="C160" s="2056" t="s">
        <v>2032</v>
      </c>
      <c r="D160" s="1177" t="s">
        <v>188</v>
      </c>
      <c r="E160" s="1374" t="s">
        <v>590</v>
      </c>
      <c r="F160" s="1374" t="s">
        <v>442</v>
      </c>
      <c r="G160" s="1178" t="s">
        <v>1837</v>
      </c>
      <c r="H160" s="1172">
        <f>-90000+90000</f>
        <v>0</v>
      </c>
      <c r="I160" s="1172"/>
      <c r="J160" s="1172"/>
      <c r="K160" s="1172"/>
      <c r="L160" s="1173"/>
      <c r="M160" s="1172"/>
      <c r="N160" s="1172"/>
      <c r="O160" s="1172"/>
      <c r="P160" s="1174"/>
      <c r="Q160" s="1175"/>
      <c r="R160" s="1172"/>
      <c r="S160" s="1172"/>
      <c r="T160" s="1172"/>
      <c r="U160" s="1172"/>
      <c r="V160" s="1172"/>
      <c r="W160" s="1172"/>
      <c r="X160" s="1176"/>
    </row>
    <row r="161" spans="1:24" ht="14.25" customHeight="1" x14ac:dyDescent="0.2">
      <c r="A161" s="2061"/>
      <c r="B161" s="2060"/>
      <c r="C161" s="2065"/>
      <c r="D161" s="1177">
        <v>1</v>
      </c>
      <c r="E161" s="1374" t="s">
        <v>626</v>
      </c>
      <c r="F161" s="1374" t="s">
        <v>136</v>
      </c>
      <c r="G161" s="1178" t="s">
        <v>1837</v>
      </c>
      <c r="H161" s="1172">
        <f>-6872+6872</f>
        <v>0</v>
      </c>
      <c r="I161" s="1172"/>
      <c r="J161" s="1172"/>
      <c r="K161" s="1172"/>
      <c r="L161" s="1173"/>
      <c r="M161" s="1172"/>
      <c r="N161" s="1172"/>
      <c r="O161" s="1172"/>
      <c r="P161" s="1174"/>
      <c r="Q161" s="1175"/>
      <c r="R161" s="1172"/>
      <c r="S161" s="1172"/>
      <c r="T161" s="1172"/>
      <c r="U161" s="1172"/>
      <c r="V161" s="1172"/>
      <c r="W161" s="1172"/>
      <c r="X161" s="1176"/>
    </row>
    <row r="162" spans="1:24" ht="14.25" customHeight="1" x14ac:dyDescent="0.2">
      <c r="A162" s="2061"/>
      <c r="B162" s="2060"/>
      <c r="C162" s="2065"/>
      <c r="D162" s="1177" t="s">
        <v>188</v>
      </c>
      <c r="E162" s="1374" t="s">
        <v>542</v>
      </c>
      <c r="F162" s="1374" t="s">
        <v>447</v>
      </c>
      <c r="G162" s="1178" t="s">
        <v>1837</v>
      </c>
      <c r="H162" s="1172">
        <f>-46800+9000+37800</f>
        <v>0</v>
      </c>
      <c r="I162" s="1172"/>
      <c r="J162" s="1172"/>
      <c r="K162" s="1172"/>
      <c r="L162" s="1173"/>
      <c r="M162" s="1172"/>
      <c r="N162" s="1172"/>
      <c r="O162" s="1172"/>
      <c r="P162" s="1174"/>
      <c r="Q162" s="1175"/>
      <c r="R162" s="1172"/>
      <c r="S162" s="1172"/>
      <c r="T162" s="1172"/>
      <c r="U162" s="1172"/>
      <c r="V162" s="1172"/>
      <c r="W162" s="1172"/>
      <c r="X162" s="1176"/>
    </row>
    <row r="163" spans="1:24" ht="14.25" customHeight="1" x14ac:dyDescent="0.2">
      <c r="A163" s="2061"/>
      <c r="B163" s="2060"/>
      <c r="C163" s="2065"/>
      <c r="D163" s="1177" t="s">
        <v>188</v>
      </c>
      <c r="E163" s="1374" t="s">
        <v>542</v>
      </c>
      <c r="F163" s="1374" t="s">
        <v>449</v>
      </c>
      <c r="G163" s="1178" t="s">
        <v>1837</v>
      </c>
      <c r="H163" s="1172">
        <f>-74200+9000+65200</f>
        <v>0</v>
      </c>
      <c r="I163" s="1172"/>
      <c r="J163" s="1172"/>
      <c r="K163" s="1172"/>
      <c r="L163" s="1173"/>
      <c r="M163" s="1172"/>
      <c r="N163" s="1172"/>
      <c r="O163" s="1172"/>
      <c r="P163" s="1174"/>
      <c r="Q163" s="1175"/>
      <c r="R163" s="1172"/>
      <c r="S163" s="1172"/>
      <c r="T163" s="1172"/>
      <c r="U163" s="1172"/>
      <c r="V163" s="1172"/>
      <c r="W163" s="1172"/>
      <c r="X163" s="1176"/>
    </row>
    <row r="164" spans="1:24" ht="14.25" customHeight="1" x14ac:dyDescent="0.2">
      <c r="A164" s="2053"/>
      <c r="B164" s="2055"/>
      <c r="C164" s="2057"/>
      <c r="D164" s="1177" t="s">
        <v>188</v>
      </c>
      <c r="E164" s="1374" t="s">
        <v>64</v>
      </c>
      <c r="F164" s="1374" t="s">
        <v>526</v>
      </c>
      <c r="G164" s="1178" t="s">
        <v>1837</v>
      </c>
      <c r="H164" s="1172">
        <f>-12250+12250</f>
        <v>0</v>
      </c>
      <c r="I164" s="1172"/>
      <c r="J164" s="1172"/>
      <c r="K164" s="1172"/>
      <c r="L164" s="1173"/>
      <c r="M164" s="1172"/>
      <c r="N164" s="1172"/>
      <c r="O164" s="1172"/>
      <c r="P164" s="1174"/>
      <c r="Q164" s="1175"/>
      <c r="R164" s="1172"/>
      <c r="S164" s="1172"/>
      <c r="T164" s="1172"/>
      <c r="U164" s="1172"/>
      <c r="V164" s="1172"/>
      <c r="W164" s="1172"/>
      <c r="X164" s="1176"/>
    </row>
    <row r="165" spans="1:24" ht="32.25" customHeight="1" x14ac:dyDescent="0.2">
      <c r="A165" s="2052" t="s">
        <v>735</v>
      </c>
      <c r="B165" s="2054" t="s">
        <v>1572</v>
      </c>
      <c r="C165" s="2056" t="s">
        <v>2166</v>
      </c>
      <c r="D165" s="1177" t="s">
        <v>195</v>
      </c>
      <c r="E165" s="1374" t="s">
        <v>74</v>
      </c>
      <c r="F165" s="1374" t="s">
        <v>1870</v>
      </c>
      <c r="G165" s="1178" t="s">
        <v>1828</v>
      </c>
      <c r="H165" s="1172"/>
      <c r="I165" s="1172"/>
      <c r="J165" s="1172"/>
      <c r="K165" s="1172"/>
      <c r="L165" s="1173">
        <v>-3000000</v>
      </c>
      <c r="M165" s="1172"/>
      <c r="N165" s="1172"/>
      <c r="O165" s="1172"/>
      <c r="P165" s="1174"/>
      <c r="Q165" s="1175"/>
      <c r="R165" s="1172"/>
      <c r="S165" s="1172"/>
      <c r="T165" s="1172"/>
      <c r="U165" s="1172"/>
      <c r="V165" s="1172"/>
      <c r="W165" s="1172"/>
      <c r="X165" s="1176"/>
    </row>
    <row r="166" spans="1:24" ht="32.25" customHeight="1" x14ac:dyDescent="0.2">
      <c r="A166" s="2053"/>
      <c r="B166" s="2055"/>
      <c r="C166" s="2057"/>
      <c r="D166" s="1177" t="s">
        <v>197</v>
      </c>
      <c r="E166" s="1374" t="s">
        <v>2034</v>
      </c>
      <c r="F166" s="1374" t="s">
        <v>535</v>
      </c>
      <c r="G166" s="1178" t="s">
        <v>1829</v>
      </c>
      <c r="H166" s="1172"/>
      <c r="I166" s="1172"/>
      <c r="J166" s="1172"/>
      <c r="K166" s="1172"/>
      <c r="L166" s="1173"/>
      <c r="M166" s="1172"/>
      <c r="N166" s="1172"/>
      <c r="O166" s="1172"/>
      <c r="P166" s="1174">
        <v>3000000</v>
      </c>
      <c r="Q166" s="1175"/>
      <c r="R166" s="1172"/>
      <c r="S166" s="1172"/>
      <c r="T166" s="1172"/>
      <c r="U166" s="1172"/>
      <c r="V166" s="1172"/>
      <c r="W166" s="1172"/>
      <c r="X166" s="1176"/>
    </row>
    <row r="167" spans="1:24" ht="30.75" customHeight="1" x14ac:dyDescent="0.2">
      <c r="A167" s="1491" t="s">
        <v>736</v>
      </c>
      <c r="B167" s="1490" t="s">
        <v>1573</v>
      </c>
      <c r="C167" s="1631" t="s">
        <v>2037</v>
      </c>
      <c r="D167" s="1177" t="s">
        <v>188</v>
      </c>
      <c r="E167" s="1374" t="s">
        <v>1375</v>
      </c>
      <c r="F167" s="1374" t="s">
        <v>1878</v>
      </c>
      <c r="G167" s="1178" t="s">
        <v>1829</v>
      </c>
      <c r="H167" s="1172"/>
      <c r="I167" s="1172"/>
      <c r="J167" s="1172"/>
      <c r="K167" s="1172"/>
      <c r="L167" s="1173"/>
      <c r="M167" s="1172"/>
      <c r="N167" s="1172"/>
      <c r="O167" s="1172"/>
      <c r="P167" s="1174">
        <v>37503653</v>
      </c>
      <c r="Q167" s="1175"/>
      <c r="R167" s="1172"/>
      <c r="S167" s="1172"/>
      <c r="T167" s="1172"/>
      <c r="U167" s="1172"/>
      <c r="V167" s="1172"/>
      <c r="W167" s="1172"/>
      <c r="X167" s="1176">
        <v>37503653</v>
      </c>
    </row>
    <row r="168" spans="1:24" ht="30.75" customHeight="1" x14ac:dyDescent="0.2">
      <c r="A168" s="1491" t="s">
        <v>313</v>
      </c>
      <c r="B168" s="1490" t="s">
        <v>1574</v>
      </c>
      <c r="C168" s="1631" t="s">
        <v>1853</v>
      </c>
      <c r="D168" s="1177" t="s">
        <v>188</v>
      </c>
      <c r="E168" s="1374" t="s">
        <v>131</v>
      </c>
      <c r="F168" s="1374" t="s">
        <v>153</v>
      </c>
      <c r="G168" s="1178" t="s">
        <v>1829</v>
      </c>
      <c r="H168" s="1172"/>
      <c r="I168" s="1172"/>
      <c r="J168" s="1172">
        <f>10000000+2700000</f>
        <v>12700000</v>
      </c>
      <c r="K168" s="1172"/>
      <c r="L168" s="1173"/>
      <c r="M168" s="1172"/>
      <c r="N168" s="1172"/>
      <c r="O168" s="1172"/>
      <c r="P168" s="1174"/>
      <c r="Q168" s="1175"/>
      <c r="R168" s="1172"/>
      <c r="S168" s="1172"/>
      <c r="T168" s="1172">
        <f>10000000+2700000</f>
        <v>12700000</v>
      </c>
      <c r="U168" s="1172"/>
      <c r="V168" s="1172"/>
      <c r="W168" s="1172"/>
      <c r="X168" s="1176"/>
    </row>
    <row r="169" spans="1:24" ht="21.75" customHeight="1" x14ac:dyDescent="0.2">
      <c r="A169" s="2052" t="s">
        <v>314</v>
      </c>
      <c r="B169" s="2054" t="s">
        <v>1575</v>
      </c>
      <c r="C169" s="2056" t="s">
        <v>2038</v>
      </c>
      <c r="D169" s="1177" t="s">
        <v>194</v>
      </c>
      <c r="E169" s="1374" t="s">
        <v>130</v>
      </c>
      <c r="F169" s="1374" t="s">
        <v>129</v>
      </c>
      <c r="G169" s="1178" t="s">
        <v>1828</v>
      </c>
      <c r="H169" s="1172"/>
      <c r="I169" s="1172"/>
      <c r="J169" s="1172"/>
      <c r="K169" s="1172"/>
      <c r="L169" s="1173"/>
      <c r="M169" s="1172"/>
      <c r="N169" s="1172">
        <f>-33325837-8997976</f>
        <v>-42323813</v>
      </c>
      <c r="O169" s="1172"/>
      <c r="P169" s="1174"/>
      <c r="Q169" s="1175"/>
      <c r="R169" s="1172"/>
      <c r="S169" s="1172"/>
      <c r="T169" s="1172"/>
      <c r="U169" s="1172"/>
      <c r="V169" s="1172"/>
      <c r="W169" s="1172"/>
      <c r="X169" s="1176"/>
    </row>
    <row r="170" spans="1:24" ht="21.75" customHeight="1" x14ac:dyDescent="0.2">
      <c r="A170" s="2061"/>
      <c r="B170" s="2060"/>
      <c r="C170" s="2065"/>
      <c r="D170" s="1177" t="s">
        <v>194</v>
      </c>
      <c r="E170" s="1374" t="s">
        <v>547</v>
      </c>
      <c r="F170" s="1374" t="s">
        <v>748</v>
      </c>
      <c r="G170" s="1178" t="s">
        <v>1828</v>
      </c>
      <c r="H170" s="1172"/>
      <c r="I170" s="1172"/>
      <c r="J170" s="1172"/>
      <c r="K170" s="1172"/>
      <c r="L170" s="1173"/>
      <c r="M170" s="1172"/>
      <c r="N170" s="1172">
        <f>-46027270-12427363</f>
        <v>-58454633</v>
      </c>
      <c r="O170" s="1172"/>
      <c r="P170" s="1174"/>
      <c r="Q170" s="1175"/>
      <c r="R170" s="1172"/>
      <c r="S170" s="1172"/>
      <c r="T170" s="1172"/>
      <c r="U170" s="1172"/>
      <c r="V170" s="1172"/>
      <c r="W170" s="1172"/>
      <c r="X170" s="1176"/>
    </row>
    <row r="171" spans="1:24" ht="21.75" customHeight="1" x14ac:dyDescent="0.2">
      <c r="A171" s="2053"/>
      <c r="B171" s="2055"/>
      <c r="C171" s="2057"/>
      <c r="D171" s="1177" t="s">
        <v>195</v>
      </c>
      <c r="E171" s="1374" t="s">
        <v>74</v>
      </c>
      <c r="F171" s="1374" t="s">
        <v>1870</v>
      </c>
      <c r="G171" s="1178" t="s">
        <v>1829</v>
      </c>
      <c r="H171" s="1172"/>
      <c r="I171" s="1172"/>
      <c r="J171" s="1172"/>
      <c r="K171" s="1172"/>
      <c r="L171" s="1173">
        <v>100778446</v>
      </c>
      <c r="M171" s="1172"/>
      <c r="N171" s="1172"/>
      <c r="O171" s="1172"/>
      <c r="P171" s="1174"/>
      <c r="Q171" s="1175"/>
      <c r="R171" s="1172"/>
      <c r="S171" s="1172"/>
      <c r="T171" s="1172"/>
      <c r="U171" s="1172"/>
      <c r="V171" s="1172"/>
      <c r="W171" s="1172"/>
      <c r="X171" s="1176"/>
    </row>
    <row r="172" spans="1:24" ht="16.5" customHeight="1" x14ac:dyDescent="0.2">
      <c r="A172" s="2052" t="s">
        <v>315</v>
      </c>
      <c r="B172" s="2054" t="s">
        <v>2039</v>
      </c>
      <c r="C172" s="2056" t="s">
        <v>2040</v>
      </c>
      <c r="D172" s="1177" t="s">
        <v>195</v>
      </c>
      <c r="E172" s="1374" t="s">
        <v>74</v>
      </c>
      <c r="F172" s="1374" t="s">
        <v>1870</v>
      </c>
      <c r="G172" s="1178" t="s">
        <v>1828</v>
      </c>
      <c r="H172" s="1172"/>
      <c r="I172" s="1172"/>
      <c r="J172" s="1172"/>
      <c r="K172" s="1172"/>
      <c r="L172" s="1173">
        <v>-15000000</v>
      </c>
      <c r="M172" s="1172"/>
      <c r="N172" s="1172"/>
      <c r="O172" s="1172"/>
      <c r="P172" s="1174"/>
      <c r="Q172" s="1175"/>
      <c r="R172" s="1172"/>
      <c r="S172" s="1172"/>
      <c r="T172" s="1172"/>
      <c r="U172" s="1172"/>
      <c r="V172" s="1172"/>
      <c r="W172" s="1172"/>
      <c r="X172" s="1176"/>
    </row>
    <row r="173" spans="1:24" ht="16.5" customHeight="1" x14ac:dyDescent="0.2">
      <c r="A173" s="2061"/>
      <c r="B173" s="2060"/>
      <c r="C173" s="2065"/>
      <c r="D173" s="1177" t="s">
        <v>192</v>
      </c>
      <c r="E173" s="1374" t="s">
        <v>2041</v>
      </c>
      <c r="F173" s="1374" t="s">
        <v>1875</v>
      </c>
      <c r="G173" s="1178" t="s">
        <v>1829</v>
      </c>
      <c r="H173" s="1172"/>
      <c r="I173" s="1172"/>
      <c r="J173" s="1172"/>
      <c r="K173" s="1172"/>
      <c r="L173" s="1173">
        <v>2070000</v>
      </c>
      <c r="M173" s="1172"/>
      <c r="N173" s="1172"/>
      <c r="O173" s="1172"/>
      <c r="P173" s="1174"/>
      <c r="Q173" s="1175"/>
      <c r="R173" s="1172"/>
      <c r="S173" s="1172"/>
      <c r="T173" s="1172"/>
      <c r="U173" s="1172"/>
      <c r="V173" s="1172"/>
      <c r="W173" s="1172"/>
      <c r="X173" s="1176"/>
    </row>
    <row r="174" spans="1:24" ht="16.5" customHeight="1" x14ac:dyDescent="0.2">
      <c r="A174" s="2061"/>
      <c r="B174" s="2060"/>
      <c r="C174" s="2065"/>
      <c r="D174" s="1177" t="s">
        <v>192</v>
      </c>
      <c r="E174" s="1374" t="s">
        <v>77</v>
      </c>
      <c r="F174" s="1374" t="s">
        <v>1875</v>
      </c>
      <c r="G174" s="1178" t="s">
        <v>1829</v>
      </c>
      <c r="H174" s="1172"/>
      <c r="I174" s="1172"/>
      <c r="J174" s="1172"/>
      <c r="K174" s="1172"/>
      <c r="L174" s="1173">
        <v>2000000</v>
      </c>
      <c r="M174" s="1172"/>
      <c r="N174" s="1172"/>
      <c r="O174" s="1172"/>
      <c r="P174" s="1174"/>
      <c r="Q174" s="1175"/>
      <c r="R174" s="1172"/>
      <c r="S174" s="1172"/>
      <c r="T174" s="1172"/>
      <c r="U174" s="1172"/>
      <c r="V174" s="1172"/>
      <c r="W174" s="1172"/>
      <c r="X174" s="1176"/>
    </row>
    <row r="175" spans="1:24" ht="16.5" customHeight="1" x14ac:dyDescent="0.2">
      <c r="A175" s="2061"/>
      <c r="B175" s="2060"/>
      <c r="C175" s="2065"/>
      <c r="D175" s="1177" t="s">
        <v>192</v>
      </c>
      <c r="E175" s="1374" t="s">
        <v>71</v>
      </c>
      <c r="F175" s="1374" t="s">
        <v>1875</v>
      </c>
      <c r="G175" s="1178" t="s">
        <v>1829</v>
      </c>
      <c r="H175" s="1172"/>
      <c r="I175" s="1172"/>
      <c r="J175" s="1172"/>
      <c r="K175" s="1172"/>
      <c r="L175" s="1173">
        <v>1435000</v>
      </c>
      <c r="M175" s="1172"/>
      <c r="N175" s="1172"/>
      <c r="O175" s="1172"/>
      <c r="P175" s="1174"/>
      <c r="Q175" s="1175"/>
      <c r="R175" s="1172"/>
      <c r="S175" s="1172"/>
      <c r="T175" s="1172"/>
      <c r="U175" s="1172"/>
      <c r="V175" s="1172"/>
      <c r="W175" s="1172"/>
      <c r="X175" s="1176"/>
    </row>
    <row r="176" spans="1:24" ht="16.5" customHeight="1" x14ac:dyDescent="0.2">
      <c r="A176" s="2053"/>
      <c r="B176" s="2055"/>
      <c r="C176" s="2057"/>
      <c r="D176" s="1177" t="s">
        <v>192</v>
      </c>
      <c r="E176" s="1374" t="s">
        <v>602</v>
      </c>
      <c r="F176" s="1374" t="s">
        <v>1875</v>
      </c>
      <c r="G176" s="1178" t="s">
        <v>1829</v>
      </c>
      <c r="H176" s="1172"/>
      <c r="I176" s="1172"/>
      <c r="J176" s="1172"/>
      <c r="K176" s="1172"/>
      <c r="L176" s="1173">
        <v>9495000</v>
      </c>
      <c r="M176" s="1172"/>
      <c r="N176" s="1172"/>
      <c r="O176" s="1172"/>
      <c r="P176" s="1174"/>
      <c r="Q176" s="1175"/>
      <c r="R176" s="1172"/>
      <c r="S176" s="1172"/>
      <c r="T176" s="1172"/>
      <c r="U176" s="1172"/>
      <c r="V176" s="1172"/>
      <c r="W176" s="1172"/>
      <c r="X176" s="1176"/>
    </row>
    <row r="177" spans="1:24" ht="27" customHeight="1" x14ac:dyDescent="0.2">
      <c r="A177" s="2052" t="s">
        <v>316</v>
      </c>
      <c r="B177" s="2054" t="s">
        <v>2090</v>
      </c>
      <c r="C177" s="2056" t="s">
        <v>2091</v>
      </c>
      <c r="D177" s="1177" t="s">
        <v>195</v>
      </c>
      <c r="E177" s="1374" t="s">
        <v>74</v>
      </c>
      <c r="F177" s="1374" t="s">
        <v>1870</v>
      </c>
      <c r="G177" s="1178" t="s">
        <v>1828</v>
      </c>
      <c r="H177" s="1172"/>
      <c r="I177" s="1172"/>
      <c r="J177" s="1172"/>
      <c r="K177" s="1172"/>
      <c r="L177" s="1173">
        <v>-491490</v>
      </c>
      <c r="M177" s="1172"/>
      <c r="N177" s="1172"/>
      <c r="O177" s="1172"/>
      <c r="P177" s="1174"/>
      <c r="Q177" s="1175"/>
      <c r="R177" s="1172"/>
      <c r="S177" s="1172"/>
      <c r="T177" s="1172"/>
      <c r="U177" s="1172"/>
      <c r="V177" s="1172"/>
      <c r="W177" s="1172"/>
      <c r="X177" s="1176"/>
    </row>
    <row r="178" spans="1:24" ht="27" customHeight="1" x14ac:dyDescent="0.2">
      <c r="A178" s="2053"/>
      <c r="B178" s="2055"/>
      <c r="C178" s="2057"/>
      <c r="D178" s="1177" t="s">
        <v>193</v>
      </c>
      <c r="E178" s="1374" t="s">
        <v>167</v>
      </c>
      <c r="F178" s="1374" t="s">
        <v>1249</v>
      </c>
      <c r="G178" s="1178" t="s">
        <v>1829</v>
      </c>
      <c r="H178" s="1172"/>
      <c r="I178" s="1172"/>
      <c r="J178" s="1172"/>
      <c r="K178" s="1172"/>
      <c r="L178" s="1173"/>
      <c r="M178" s="1172">
        <f>387000+104490</f>
        <v>491490</v>
      </c>
      <c r="N178" s="1172"/>
      <c r="O178" s="1172"/>
      <c r="P178" s="1174"/>
      <c r="Q178" s="1175"/>
      <c r="R178" s="1172"/>
      <c r="S178" s="1172"/>
      <c r="T178" s="1172"/>
      <c r="U178" s="1172"/>
      <c r="V178" s="1172"/>
      <c r="W178" s="1172"/>
      <c r="X178" s="1176"/>
    </row>
    <row r="179" spans="1:24" ht="21" customHeight="1" x14ac:dyDescent="0.2">
      <c r="A179" s="2052" t="s">
        <v>317</v>
      </c>
      <c r="B179" s="2054" t="s">
        <v>1579</v>
      </c>
      <c r="C179" s="2056" t="s">
        <v>2095</v>
      </c>
      <c r="D179" s="1177" t="s">
        <v>193</v>
      </c>
      <c r="E179" s="1374" t="s">
        <v>130</v>
      </c>
      <c r="F179" s="1374" t="s">
        <v>91</v>
      </c>
      <c r="G179" s="1178" t="s">
        <v>1828</v>
      </c>
      <c r="H179" s="1172"/>
      <c r="I179" s="1172"/>
      <c r="J179" s="1172"/>
      <c r="K179" s="1172"/>
      <c r="L179" s="1173"/>
      <c r="M179" s="1172">
        <f>-250000-67500</f>
        <v>-317500</v>
      </c>
      <c r="N179" s="1172"/>
      <c r="O179" s="1172"/>
      <c r="P179" s="1174"/>
      <c r="Q179" s="1175"/>
      <c r="R179" s="1172"/>
      <c r="S179" s="1172"/>
      <c r="T179" s="1172"/>
      <c r="U179" s="1172"/>
      <c r="V179" s="1172"/>
      <c r="W179" s="1172"/>
      <c r="X179" s="1176"/>
    </row>
    <row r="180" spans="1:24" ht="21" customHeight="1" x14ac:dyDescent="0.2">
      <c r="A180" s="2053"/>
      <c r="B180" s="2055"/>
      <c r="C180" s="2057"/>
      <c r="D180" s="1177" t="s">
        <v>194</v>
      </c>
      <c r="E180" s="1374" t="s">
        <v>813</v>
      </c>
      <c r="F180" s="1374" t="s">
        <v>1862</v>
      </c>
      <c r="G180" s="1178" t="s">
        <v>1829</v>
      </c>
      <c r="H180" s="1172"/>
      <c r="I180" s="1172"/>
      <c r="J180" s="1172"/>
      <c r="K180" s="1172"/>
      <c r="L180" s="1173"/>
      <c r="M180" s="1172"/>
      <c r="N180" s="1172">
        <f>250000+67500</f>
        <v>317500</v>
      </c>
      <c r="O180" s="1172"/>
      <c r="P180" s="1174"/>
      <c r="Q180" s="1175"/>
      <c r="R180" s="1172"/>
      <c r="S180" s="1172"/>
      <c r="T180" s="1172"/>
      <c r="U180" s="1172"/>
      <c r="V180" s="1172"/>
      <c r="W180" s="1172"/>
      <c r="X180" s="1176"/>
    </row>
    <row r="181" spans="1:24" ht="30" customHeight="1" x14ac:dyDescent="0.2">
      <c r="A181" s="2052" t="s">
        <v>318</v>
      </c>
      <c r="B181" s="2054" t="s">
        <v>1580</v>
      </c>
      <c r="C181" s="2056" t="s">
        <v>2167</v>
      </c>
      <c r="D181" s="1177" t="s">
        <v>195</v>
      </c>
      <c r="E181" s="1374" t="s">
        <v>74</v>
      </c>
      <c r="F181" s="1374" t="s">
        <v>1870</v>
      </c>
      <c r="G181" s="1178" t="s">
        <v>1828</v>
      </c>
      <c r="H181" s="1172"/>
      <c r="I181" s="1172"/>
      <c r="J181" s="1172"/>
      <c r="K181" s="1172"/>
      <c r="L181" s="1173">
        <v>-197960</v>
      </c>
      <c r="M181" s="1172"/>
      <c r="N181" s="1172"/>
      <c r="O181" s="1172"/>
      <c r="P181" s="1174"/>
      <c r="Q181" s="1175"/>
      <c r="R181" s="1172"/>
      <c r="S181" s="1172"/>
      <c r="T181" s="1172"/>
      <c r="U181" s="1172"/>
      <c r="V181" s="1172"/>
      <c r="W181" s="1172"/>
      <c r="X181" s="1176"/>
    </row>
    <row r="182" spans="1:24" ht="30" customHeight="1" x14ac:dyDescent="0.2">
      <c r="A182" s="2053"/>
      <c r="B182" s="2055"/>
      <c r="C182" s="2057"/>
      <c r="D182" s="1177" t="s">
        <v>197</v>
      </c>
      <c r="E182" s="1374" t="s">
        <v>1288</v>
      </c>
      <c r="F182" s="1374" t="s">
        <v>535</v>
      </c>
      <c r="G182" s="1178" t="s">
        <v>1829</v>
      </c>
      <c r="H182" s="1172"/>
      <c r="I182" s="1172"/>
      <c r="J182" s="1172"/>
      <c r="K182" s="1172"/>
      <c r="L182" s="1173"/>
      <c r="M182" s="1172"/>
      <c r="N182" s="1172"/>
      <c r="O182" s="1172"/>
      <c r="P182" s="1174">
        <v>197960</v>
      </c>
      <c r="Q182" s="1175"/>
      <c r="R182" s="1172"/>
      <c r="S182" s="1172"/>
      <c r="T182" s="1172"/>
      <c r="U182" s="1172"/>
      <c r="V182" s="1172"/>
      <c r="W182" s="1172"/>
      <c r="X182" s="1176"/>
    </row>
    <row r="183" spans="1:24" ht="33" customHeight="1" x14ac:dyDescent="0.2">
      <c r="A183" s="2052" t="s">
        <v>319</v>
      </c>
      <c r="B183" s="2054" t="s">
        <v>1581</v>
      </c>
      <c r="C183" s="2056" t="s">
        <v>2163</v>
      </c>
      <c r="D183" s="1177" t="s">
        <v>195</v>
      </c>
      <c r="E183" s="1374" t="s">
        <v>74</v>
      </c>
      <c r="F183" s="1374" t="s">
        <v>1870</v>
      </c>
      <c r="G183" s="1178" t="s">
        <v>1828</v>
      </c>
      <c r="H183" s="1172"/>
      <c r="I183" s="1172"/>
      <c r="J183" s="1172"/>
      <c r="K183" s="1172"/>
      <c r="L183" s="1173">
        <v>-226721</v>
      </c>
      <c r="M183" s="1172"/>
      <c r="N183" s="1172"/>
      <c r="O183" s="1172"/>
      <c r="P183" s="1174"/>
      <c r="Q183" s="1175"/>
      <c r="R183" s="1172"/>
      <c r="S183" s="1172"/>
      <c r="T183" s="1172"/>
      <c r="U183" s="1172"/>
      <c r="V183" s="1172"/>
      <c r="W183" s="1172"/>
      <c r="X183" s="1176"/>
    </row>
    <row r="184" spans="1:24" ht="33" customHeight="1" x14ac:dyDescent="0.2">
      <c r="A184" s="2053"/>
      <c r="B184" s="2055"/>
      <c r="C184" s="2057"/>
      <c r="D184" s="1177" t="s">
        <v>197</v>
      </c>
      <c r="E184" s="1374" t="s">
        <v>1288</v>
      </c>
      <c r="F184" s="1374" t="s">
        <v>535</v>
      </c>
      <c r="G184" s="1178" t="s">
        <v>1829</v>
      </c>
      <c r="H184" s="1172"/>
      <c r="I184" s="1172"/>
      <c r="J184" s="1172"/>
      <c r="K184" s="1172"/>
      <c r="L184" s="1173"/>
      <c r="M184" s="1172"/>
      <c r="N184" s="1172"/>
      <c r="O184" s="1172"/>
      <c r="P184" s="1174">
        <v>226721</v>
      </c>
      <c r="Q184" s="1175"/>
      <c r="R184" s="1172"/>
      <c r="S184" s="1172"/>
      <c r="T184" s="1172"/>
      <c r="U184" s="1172"/>
      <c r="V184" s="1172"/>
      <c r="W184" s="1172"/>
      <c r="X184" s="1176"/>
    </row>
    <row r="185" spans="1:24" ht="33.75" customHeight="1" x14ac:dyDescent="0.2">
      <c r="A185" s="2052" t="s">
        <v>320</v>
      </c>
      <c r="B185" s="2054" t="s">
        <v>1582</v>
      </c>
      <c r="C185" s="2056" t="s">
        <v>2168</v>
      </c>
      <c r="D185" s="1177" t="s">
        <v>195</v>
      </c>
      <c r="E185" s="1374" t="s">
        <v>74</v>
      </c>
      <c r="F185" s="1374" t="s">
        <v>1870</v>
      </c>
      <c r="G185" s="1178" t="s">
        <v>1828</v>
      </c>
      <c r="H185" s="1172"/>
      <c r="I185" s="1172"/>
      <c r="J185" s="1172"/>
      <c r="K185" s="1172"/>
      <c r="L185" s="1173">
        <v>-129477</v>
      </c>
      <c r="M185" s="1172"/>
      <c r="N185" s="1172"/>
      <c r="O185" s="1172"/>
      <c r="P185" s="1174"/>
      <c r="Q185" s="1175"/>
      <c r="R185" s="1172"/>
      <c r="S185" s="1172"/>
      <c r="T185" s="1172"/>
      <c r="U185" s="1172"/>
      <c r="V185" s="1172"/>
      <c r="W185" s="1172"/>
      <c r="X185" s="1176"/>
    </row>
    <row r="186" spans="1:24" ht="33.75" customHeight="1" x14ac:dyDescent="0.2">
      <c r="A186" s="2053"/>
      <c r="B186" s="2055"/>
      <c r="C186" s="2057"/>
      <c r="D186" s="1177" t="s">
        <v>197</v>
      </c>
      <c r="E186" s="1374" t="s">
        <v>1288</v>
      </c>
      <c r="F186" s="1374" t="s">
        <v>535</v>
      </c>
      <c r="G186" s="1178" t="s">
        <v>1829</v>
      </c>
      <c r="H186" s="1172"/>
      <c r="I186" s="1172"/>
      <c r="J186" s="1172"/>
      <c r="K186" s="1172"/>
      <c r="L186" s="1173"/>
      <c r="M186" s="1172"/>
      <c r="N186" s="1172"/>
      <c r="O186" s="1172"/>
      <c r="P186" s="1174">
        <v>129477</v>
      </c>
      <c r="Q186" s="1175"/>
      <c r="R186" s="1172"/>
      <c r="S186" s="1172"/>
      <c r="T186" s="1172"/>
      <c r="U186" s="1172"/>
      <c r="V186" s="1172"/>
      <c r="W186" s="1172"/>
      <c r="X186" s="1176"/>
    </row>
    <row r="187" spans="1:24" ht="33" customHeight="1" x14ac:dyDescent="0.2">
      <c r="A187" s="2052" t="s">
        <v>737</v>
      </c>
      <c r="B187" s="2054" t="s">
        <v>1583</v>
      </c>
      <c r="C187" s="2056" t="s">
        <v>2151</v>
      </c>
      <c r="D187" s="1177" t="s">
        <v>195</v>
      </c>
      <c r="E187" s="1374" t="s">
        <v>74</v>
      </c>
      <c r="F187" s="1374" t="s">
        <v>1870</v>
      </c>
      <c r="G187" s="1178" t="s">
        <v>1828</v>
      </c>
      <c r="H187" s="1172"/>
      <c r="I187" s="1172"/>
      <c r="J187" s="1172"/>
      <c r="K187" s="1172"/>
      <c r="L187" s="1173">
        <v>-179305</v>
      </c>
      <c r="M187" s="1172"/>
      <c r="N187" s="1172"/>
      <c r="O187" s="1172"/>
      <c r="P187" s="1174"/>
      <c r="Q187" s="1175"/>
      <c r="R187" s="1172"/>
      <c r="S187" s="1172"/>
      <c r="T187" s="1172"/>
      <c r="U187" s="1172"/>
      <c r="V187" s="1172"/>
      <c r="W187" s="1172"/>
      <c r="X187" s="1176"/>
    </row>
    <row r="188" spans="1:24" ht="33" customHeight="1" x14ac:dyDescent="0.2">
      <c r="A188" s="2053"/>
      <c r="B188" s="2055"/>
      <c r="C188" s="2057"/>
      <c r="D188" s="1177" t="s">
        <v>197</v>
      </c>
      <c r="E188" s="1374" t="s">
        <v>1288</v>
      </c>
      <c r="F188" s="1374" t="s">
        <v>535</v>
      </c>
      <c r="G188" s="1178" t="s">
        <v>1829</v>
      </c>
      <c r="H188" s="1172"/>
      <c r="I188" s="1172"/>
      <c r="J188" s="1172"/>
      <c r="K188" s="1172"/>
      <c r="L188" s="1173"/>
      <c r="M188" s="1172"/>
      <c r="N188" s="1172"/>
      <c r="O188" s="1172"/>
      <c r="P188" s="1174">
        <v>179305</v>
      </c>
      <c r="Q188" s="1175"/>
      <c r="R188" s="1172"/>
      <c r="S188" s="1172"/>
      <c r="T188" s="1172"/>
      <c r="U188" s="1172"/>
      <c r="V188" s="1172"/>
      <c r="W188" s="1172"/>
      <c r="X188" s="1176"/>
    </row>
    <row r="189" spans="1:24" ht="42.75" customHeight="1" x14ac:dyDescent="0.2">
      <c r="A189" s="2052" t="s">
        <v>738</v>
      </c>
      <c r="B189" s="2054" t="s">
        <v>1584</v>
      </c>
      <c r="C189" s="2056" t="s">
        <v>2147</v>
      </c>
      <c r="D189" s="1177" t="s">
        <v>195</v>
      </c>
      <c r="E189" s="1374" t="s">
        <v>74</v>
      </c>
      <c r="F189" s="1374" t="s">
        <v>1870</v>
      </c>
      <c r="G189" s="1178" t="s">
        <v>1828</v>
      </c>
      <c r="H189" s="1172"/>
      <c r="I189" s="1172"/>
      <c r="J189" s="1172"/>
      <c r="K189" s="1172"/>
      <c r="L189" s="1173">
        <v>-98349</v>
      </c>
      <c r="M189" s="1172"/>
      <c r="N189" s="1172"/>
      <c r="O189" s="1172"/>
      <c r="P189" s="1174"/>
      <c r="Q189" s="1175"/>
      <c r="R189" s="1172"/>
      <c r="S189" s="1172"/>
      <c r="T189" s="1172"/>
      <c r="U189" s="1172"/>
      <c r="V189" s="1172"/>
      <c r="W189" s="1172"/>
      <c r="X189" s="1176"/>
    </row>
    <row r="190" spans="1:24" ht="42.75" customHeight="1" x14ac:dyDescent="0.2">
      <c r="A190" s="2053"/>
      <c r="B190" s="2055"/>
      <c r="C190" s="2057"/>
      <c r="D190" s="1177" t="s">
        <v>197</v>
      </c>
      <c r="E190" s="1374" t="s">
        <v>1288</v>
      </c>
      <c r="F190" s="1374" t="s">
        <v>535</v>
      </c>
      <c r="G190" s="1178" t="s">
        <v>1829</v>
      </c>
      <c r="H190" s="1172"/>
      <c r="I190" s="1172"/>
      <c r="J190" s="1172"/>
      <c r="K190" s="1172"/>
      <c r="L190" s="1173"/>
      <c r="M190" s="1172"/>
      <c r="N190" s="1172"/>
      <c r="O190" s="1172"/>
      <c r="P190" s="1174">
        <v>98349</v>
      </c>
      <c r="Q190" s="1175"/>
      <c r="R190" s="1172"/>
      <c r="S190" s="1172"/>
      <c r="T190" s="1172"/>
      <c r="U190" s="1172"/>
      <c r="V190" s="1172"/>
      <c r="W190" s="1172"/>
      <c r="X190" s="1176"/>
    </row>
    <row r="191" spans="1:24" ht="24" customHeight="1" x14ac:dyDescent="0.2">
      <c r="A191" s="2052" t="s">
        <v>739</v>
      </c>
      <c r="B191" s="2054" t="s">
        <v>1585</v>
      </c>
      <c r="C191" s="2056" t="s">
        <v>2152</v>
      </c>
      <c r="D191" s="1177" t="s">
        <v>188</v>
      </c>
      <c r="E191" s="1374" t="s">
        <v>1980</v>
      </c>
      <c r="F191" s="1374" t="s">
        <v>1979</v>
      </c>
      <c r="G191" s="1178" t="s">
        <v>1828</v>
      </c>
      <c r="H191" s="1172"/>
      <c r="I191" s="1172"/>
      <c r="J191" s="1172">
        <f>-2238961-604519</f>
        <v>-2843480</v>
      </c>
      <c r="K191" s="1172"/>
      <c r="L191" s="1173"/>
      <c r="M191" s="1172"/>
      <c r="N191" s="1172"/>
      <c r="O191" s="1172"/>
      <c r="P191" s="1174"/>
      <c r="Q191" s="1175"/>
      <c r="R191" s="1172"/>
      <c r="S191" s="1172"/>
      <c r="T191" s="1172"/>
      <c r="U191" s="1172"/>
      <c r="V191" s="1172"/>
      <c r="W191" s="1172"/>
      <c r="X191" s="1176"/>
    </row>
    <row r="192" spans="1:24" ht="24" customHeight="1" x14ac:dyDescent="0.2">
      <c r="A192" s="2053"/>
      <c r="B192" s="2055"/>
      <c r="C192" s="2057"/>
      <c r="D192" s="1177" t="s">
        <v>197</v>
      </c>
      <c r="E192" s="1374" t="s">
        <v>1288</v>
      </c>
      <c r="F192" s="1374" t="s">
        <v>535</v>
      </c>
      <c r="G192" s="1178" t="s">
        <v>1829</v>
      </c>
      <c r="H192" s="1172"/>
      <c r="I192" s="1172"/>
      <c r="J192" s="1172"/>
      <c r="K192" s="1172"/>
      <c r="L192" s="1173"/>
      <c r="M192" s="1172"/>
      <c r="N192" s="1172"/>
      <c r="O192" s="1172"/>
      <c r="P192" s="1174">
        <v>2843480</v>
      </c>
      <c r="Q192" s="1175"/>
      <c r="R192" s="1172"/>
      <c r="S192" s="1172"/>
      <c r="T192" s="1172"/>
      <c r="U192" s="1172"/>
      <c r="V192" s="1172"/>
      <c r="W192" s="1172"/>
      <c r="X192" s="1176"/>
    </row>
    <row r="193" spans="1:24" ht="22.5" customHeight="1" x14ac:dyDescent="0.2">
      <c r="A193" s="2052" t="s">
        <v>740</v>
      </c>
      <c r="B193" s="2054" t="s">
        <v>1586</v>
      </c>
      <c r="C193" s="2056" t="s">
        <v>2153</v>
      </c>
      <c r="D193" s="1177" t="s">
        <v>195</v>
      </c>
      <c r="E193" s="1374" t="s">
        <v>74</v>
      </c>
      <c r="F193" s="1374" t="s">
        <v>1870</v>
      </c>
      <c r="G193" s="1178" t="s">
        <v>1828</v>
      </c>
      <c r="H193" s="1172"/>
      <c r="I193" s="1172"/>
      <c r="J193" s="1172"/>
      <c r="K193" s="1172"/>
      <c r="L193" s="1173">
        <v>-4471720</v>
      </c>
      <c r="M193" s="1172"/>
      <c r="N193" s="1172"/>
      <c r="O193" s="1172"/>
      <c r="P193" s="1174"/>
      <c r="Q193" s="1175"/>
      <c r="R193" s="1172"/>
      <c r="S193" s="1172"/>
      <c r="T193" s="1172"/>
      <c r="U193" s="1172"/>
      <c r="V193" s="1172"/>
      <c r="W193" s="1172"/>
      <c r="X193" s="1176"/>
    </row>
    <row r="194" spans="1:24" ht="22.5" customHeight="1" x14ac:dyDescent="0.2">
      <c r="A194" s="2053"/>
      <c r="B194" s="2055"/>
      <c r="C194" s="2057"/>
      <c r="D194" s="1177" t="s">
        <v>197</v>
      </c>
      <c r="E194" s="1374" t="s">
        <v>1288</v>
      </c>
      <c r="F194" s="1374" t="s">
        <v>535</v>
      </c>
      <c r="G194" s="1178" t="s">
        <v>1829</v>
      </c>
      <c r="H194" s="1172"/>
      <c r="I194" s="1172"/>
      <c r="J194" s="1172"/>
      <c r="K194" s="1172"/>
      <c r="L194" s="1173"/>
      <c r="M194" s="1172"/>
      <c r="N194" s="1172"/>
      <c r="O194" s="1172"/>
      <c r="P194" s="1174">
        <v>4471720</v>
      </c>
      <c r="Q194" s="1175"/>
      <c r="R194" s="1172"/>
      <c r="S194" s="1172"/>
      <c r="T194" s="1172"/>
      <c r="U194" s="1172"/>
      <c r="V194" s="1172"/>
      <c r="W194" s="1172"/>
      <c r="X194" s="1176"/>
    </row>
    <row r="195" spans="1:24" ht="25.5" customHeight="1" x14ac:dyDescent="0.2">
      <c r="A195" s="2052" t="s">
        <v>741</v>
      </c>
      <c r="B195" s="2054" t="s">
        <v>1587</v>
      </c>
      <c r="C195" s="2056" t="s">
        <v>2214</v>
      </c>
      <c r="D195" s="1177" t="s">
        <v>195</v>
      </c>
      <c r="E195" s="1374" t="s">
        <v>74</v>
      </c>
      <c r="F195" s="1374" t="s">
        <v>1870</v>
      </c>
      <c r="G195" s="1178" t="s">
        <v>1828</v>
      </c>
      <c r="H195" s="1172"/>
      <c r="I195" s="1172"/>
      <c r="J195" s="1172"/>
      <c r="K195" s="1172"/>
      <c r="L195" s="1173">
        <v>-7447280</v>
      </c>
      <c r="M195" s="1172"/>
      <c r="N195" s="1172"/>
      <c r="O195" s="1172"/>
      <c r="P195" s="1174"/>
      <c r="Q195" s="1175"/>
      <c r="R195" s="1172"/>
      <c r="S195" s="1172"/>
      <c r="T195" s="1172"/>
      <c r="U195" s="1172"/>
      <c r="V195" s="1172"/>
      <c r="W195" s="1172"/>
      <c r="X195" s="1176"/>
    </row>
    <row r="196" spans="1:24" ht="25.5" customHeight="1" x14ac:dyDescent="0.2">
      <c r="A196" s="2053"/>
      <c r="B196" s="2055"/>
      <c r="C196" s="2057"/>
      <c r="D196" s="1177" t="s">
        <v>197</v>
      </c>
      <c r="E196" s="1374" t="s">
        <v>1288</v>
      </c>
      <c r="F196" s="1374" t="s">
        <v>535</v>
      </c>
      <c r="G196" s="1178" t="s">
        <v>1829</v>
      </c>
      <c r="H196" s="1172"/>
      <c r="I196" s="1172"/>
      <c r="J196" s="1172"/>
      <c r="K196" s="1172"/>
      <c r="L196" s="1173"/>
      <c r="M196" s="1172"/>
      <c r="N196" s="1172"/>
      <c r="O196" s="1172"/>
      <c r="P196" s="1174">
        <v>7447280</v>
      </c>
      <c r="Q196" s="1175"/>
      <c r="R196" s="1172"/>
      <c r="S196" s="1172"/>
      <c r="T196" s="1172"/>
      <c r="U196" s="1172"/>
      <c r="V196" s="1172"/>
      <c r="W196" s="1172"/>
      <c r="X196" s="1176"/>
    </row>
    <row r="197" spans="1:24" ht="23.25" customHeight="1" x14ac:dyDescent="0.2">
      <c r="A197" s="2052" t="s">
        <v>742</v>
      </c>
      <c r="B197" s="2054" t="s">
        <v>1588</v>
      </c>
      <c r="C197" s="2087" t="s">
        <v>2169</v>
      </c>
      <c r="D197" s="1177" t="s">
        <v>195</v>
      </c>
      <c r="E197" s="1374" t="s">
        <v>74</v>
      </c>
      <c r="F197" s="1374" t="s">
        <v>1870</v>
      </c>
      <c r="G197" s="1178" t="s">
        <v>1828</v>
      </c>
      <c r="H197" s="1172"/>
      <c r="I197" s="1172"/>
      <c r="J197" s="1172"/>
      <c r="K197" s="1172"/>
      <c r="L197" s="1173">
        <v>-4356080</v>
      </c>
      <c r="M197" s="1172"/>
      <c r="N197" s="1172"/>
      <c r="O197" s="1172"/>
      <c r="P197" s="1174"/>
      <c r="Q197" s="1175"/>
      <c r="R197" s="1172"/>
      <c r="S197" s="1172"/>
      <c r="T197" s="1172"/>
      <c r="U197" s="1172"/>
      <c r="V197" s="1172"/>
      <c r="W197" s="1172"/>
      <c r="X197" s="1176"/>
    </row>
    <row r="198" spans="1:24" ht="23.25" customHeight="1" x14ac:dyDescent="0.2">
      <c r="A198" s="2053"/>
      <c r="B198" s="2055"/>
      <c r="C198" s="2087"/>
      <c r="D198" s="1177" t="s">
        <v>197</v>
      </c>
      <c r="E198" s="1374" t="s">
        <v>1288</v>
      </c>
      <c r="F198" s="1374" t="s">
        <v>535</v>
      </c>
      <c r="G198" s="1178" t="s">
        <v>1829</v>
      </c>
      <c r="H198" s="1172"/>
      <c r="I198" s="1172"/>
      <c r="J198" s="1172"/>
      <c r="K198" s="1172"/>
      <c r="L198" s="1173"/>
      <c r="M198" s="1172"/>
      <c r="N198" s="1172"/>
      <c r="O198" s="1172"/>
      <c r="P198" s="1174">
        <v>4356080</v>
      </c>
      <c r="Q198" s="1175"/>
      <c r="R198" s="1172"/>
      <c r="S198" s="1172"/>
      <c r="T198" s="1172"/>
      <c r="U198" s="1172"/>
      <c r="V198" s="1172"/>
      <c r="W198" s="1172"/>
      <c r="X198" s="1176"/>
    </row>
    <row r="199" spans="1:24" ht="24.75" customHeight="1" x14ac:dyDescent="0.2">
      <c r="A199" s="2052" t="s">
        <v>1325</v>
      </c>
      <c r="B199" s="2054" t="s">
        <v>1589</v>
      </c>
      <c r="C199" s="2056" t="s">
        <v>2170</v>
      </c>
      <c r="D199" s="1177" t="s">
        <v>195</v>
      </c>
      <c r="E199" s="1374" t="s">
        <v>74</v>
      </c>
      <c r="F199" s="1374" t="s">
        <v>1870</v>
      </c>
      <c r="G199" s="1178" t="s">
        <v>1828</v>
      </c>
      <c r="H199" s="1172"/>
      <c r="I199" s="1172"/>
      <c r="J199" s="1172"/>
      <c r="K199" s="1172"/>
      <c r="L199" s="1173">
        <v>-2552720</v>
      </c>
      <c r="M199" s="1172"/>
      <c r="N199" s="1172"/>
      <c r="O199" s="1172"/>
      <c r="P199" s="1174"/>
      <c r="Q199" s="1175"/>
      <c r="R199" s="1172"/>
      <c r="S199" s="1172"/>
      <c r="T199" s="1172"/>
      <c r="U199" s="1172"/>
      <c r="V199" s="1172"/>
      <c r="W199" s="1172"/>
      <c r="X199" s="1176"/>
    </row>
    <row r="200" spans="1:24" ht="24.75" customHeight="1" x14ac:dyDescent="0.2">
      <c r="A200" s="2053"/>
      <c r="B200" s="2055"/>
      <c r="C200" s="2057"/>
      <c r="D200" s="1177" t="s">
        <v>197</v>
      </c>
      <c r="E200" s="1374" t="s">
        <v>1288</v>
      </c>
      <c r="F200" s="1374" t="s">
        <v>535</v>
      </c>
      <c r="G200" s="1178" t="s">
        <v>1829</v>
      </c>
      <c r="H200" s="1172"/>
      <c r="I200" s="1172"/>
      <c r="J200" s="1172"/>
      <c r="K200" s="1172"/>
      <c r="L200" s="1173"/>
      <c r="M200" s="1172"/>
      <c r="N200" s="1172"/>
      <c r="O200" s="1172"/>
      <c r="P200" s="1174">
        <v>2552720</v>
      </c>
      <c r="Q200" s="1175"/>
      <c r="R200" s="1172"/>
      <c r="S200" s="1172"/>
      <c r="T200" s="1172"/>
      <c r="U200" s="1172"/>
      <c r="V200" s="1172"/>
      <c r="W200" s="1172"/>
      <c r="X200" s="1176"/>
    </row>
    <row r="201" spans="1:24" ht="27" customHeight="1" x14ac:dyDescent="0.2">
      <c r="A201" s="1491"/>
      <c r="B201" s="1490"/>
      <c r="C201" s="1492" t="s">
        <v>2171</v>
      </c>
      <c r="D201" s="1177" t="s">
        <v>197</v>
      </c>
      <c r="E201" s="1374" t="s">
        <v>1288</v>
      </c>
      <c r="F201" s="1374" t="s">
        <v>535</v>
      </c>
      <c r="G201" s="1178" t="s">
        <v>1837</v>
      </c>
      <c r="H201" s="1172"/>
      <c r="I201" s="1172"/>
      <c r="J201" s="1172"/>
      <c r="K201" s="1172"/>
      <c r="L201" s="1173"/>
      <c r="M201" s="1172"/>
      <c r="N201" s="1172"/>
      <c r="O201" s="1172"/>
      <c r="P201" s="1174">
        <f>-823851+823851</f>
        <v>0</v>
      </c>
      <c r="Q201" s="1175"/>
      <c r="R201" s="1172"/>
      <c r="S201" s="1172"/>
      <c r="T201" s="1172"/>
      <c r="U201" s="1172"/>
      <c r="V201" s="1172"/>
      <c r="W201" s="1172"/>
      <c r="X201" s="1176"/>
    </row>
    <row r="202" spans="1:24" ht="21.75" customHeight="1" x14ac:dyDescent="0.2">
      <c r="A202" s="2052" t="s">
        <v>743</v>
      </c>
      <c r="B202" s="2054" t="s">
        <v>1591</v>
      </c>
      <c r="C202" s="2056" t="s">
        <v>2099</v>
      </c>
      <c r="D202" s="1177" t="s">
        <v>195</v>
      </c>
      <c r="E202" s="1374" t="s">
        <v>74</v>
      </c>
      <c r="F202" s="1374" t="s">
        <v>1870</v>
      </c>
      <c r="G202" s="1178" t="s">
        <v>1828</v>
      </c>
      <c r="H202" s="1172"/>
      <c r="I202" s="1172"/>
      <c r="J202" s="1172"/>
      <c r="K202" s="1172"/>
      <c r="L202" s="1173">
        <v>-5711950</v>
      </c>
      <c r="M202" s="1172"/>
      <c r="N202" s="1172"/>
      <c r="O202" s="1172"/>
      <c r="P202" s="1174"/>
      <c r="Q202" s="1175"/>
      <c r="R202" s="1172"/>
      <c r="S202" s="1172"/>
      <c r="T202" s="1172"/>
      <c r="U202" s="1172"/>
      <c r="V202" s="1172"/>
      <c r="W202" s="1172"/>
      <c r="X202" s="1176"/>
    </row>
    <row r="203" spans="1:24" ht="21.75" customHeight="1" x14ac:dyDescent="0.2">
      <c r="A203" s="2053"/>
      <c r="B203" s="2055"/>
      <c r="C203" s="2057"/>
      <c r="D203" s="1177" t="s">
        <v>188</v>
      </c>
      <c r="E203" s="1374" t="s">
        <v>1980</v>
      </c>
      <c r="F203" s="1374" t="s">
        <v>1979</v>
      </c>
      <c r="G203" s="1178" t="s">
        <v>2100</v>
      </c>
      <c r="H203" s="1172"/>
      <c r="I203" s="1172"/>
      <c r="J203" s="1172">
        <f>4497598+1214352</f>
        <v>5711950</v>
      </c>
      <c r="K203" s="1172"/>
      <c r="L203" s="1173"/>
      <c r="M203" s="1172"/>
      <c r="N203" s="1172"/>
      <c r="O203" s="1172"/>
      <c r="P203" s="1174"/>
      <c r="Q203" s="1175"/>
      <c r="R203" s="1172"/>
      <c r="S203" s="1172"/>
      <c r="T203" s="1172"/>
      <c r="U203" s="1172"/>
      <c r="V203" s="1172"/>
      <c r="W203" s="1172"/>
      <c r="X203" s="1176"/>
    </row>
    <row r="204" spans="1:24" ht="22.5" customHeight="1" x14ac:dyDescent="0.2">
      <c r="A204" s="2052" t="s">
        <v>874</v>
      </c>
      <c r="B204" s="2054" t="s">
        <v>1592</v>
      </c>
      <c r="C204" s="2056" t="s">
        <v>2208</v>
      </c>
      <c r="D204" s="1177" t="s">
        <v>188</v>
      </c>
      <c r="E204" s="1374" t="s">
        <v>1868</v>
      </c>
      <c r="F204" s="1374" t="s">
        <v>1867</v>
      </c>
      <c r="G204" s="1178" t="s">
        <v>1828</v>
      </c>
      <c r="H204" s="1172"/>
      <c r="I204" s="1172"/>
      <c r="J204" s="1172">
        <f>-1585000-427950</f>
        <v>-2012950</v>
      </c>
      <c r="K204" s="1172"/>
      <c r="L204" s="1173"/>
      <c r="M204" s="1172"/>
      <c r="N204" s="1172"/>
      <c r="O204" s="1172"/>
      <c r="P204" s="1174"/>
      <c r="Q204" s="1175"/>
      <c r="R204" s="1172"/>
      <c r="S204" s="1172"/>
      <c r="T204" s="1172"/>
      <c r="U204" s="1172"/>
      <c r="V204" s="1172"/>
      <c r="W204" s="1172"/>
      <c r="X204" s="1176"/>
    </row>
    <row r="205" spans="1:24" ht="22.5" customHeight="1" x14ac:dyDescent="0.2">
      <c r="A205" s="2053"/>
      <c r="B205" s="2055"/>
      <c r="C205" s="2057"/>
      <c r="D205" s="1177" t="s">
        <v>193</v>
      </c>
      <c r="E205" s="1374" t="s">
        <v>131</v>
      </c>
      <c r="F205" s="1374" t="s">
        <v>151</v>
      </c>
      <c r="G205" s="1178" t="s">
        <v>1829</v>
      </c>
      <c r="H205" s="1172"/>
      <c r="I205" s="1172"/>
      <c r="J205" s="1172"/>
      <c r="K205" s="1172"/>
      <c r="L205" s="1173"/>
      <c r="M205" s="1172">
        <f>1585000+427950</f>
        <v>2012950</v>
      </c>
      <c r="N205" s="1172"/>
      <c r="O205" s="1172"/>
      <c r="P205" s="1174"/>
      <c r="Q205" s="1175"/>
      <c r="R205" s="1172"/>
      <c r="S205" s="1172"/>
      <c r="T205" s="1172"/>
      <c r="U205" s="1172"/>
      <c r="V205" s="1172"/>
      <c r="W205" s="1172"/>
      <c r="X205" s="1176"/>
    </row>
    <row r="206" spans="1:24" ht="21.75" customHeight="1" x14ac:dyDescent="0.2">
      <c r="A206" s="2052" t="s">
        <v>321</v>
      </c>
      <c r="B206" s="2054" t="s">
        <v>1593</v>
      </c>
      <c r="C206" s="2056" t="s">
        <v>2210</v>
      </c>
      <c r="D206" s="1177" t="s">
        <v>193</v>
      </c>
      <c r="E206" s="1374" t="s">
        <v>130</v>
      </c>
      <c r="F206" s="1374" t="s">
        <v>91</v>
      </c>
      <c r="G206" s="1178" t="s">
        <v>1828</v>
      </c>
      <c r="H206" s="1172"/>
      <c r="I206" s="1172"/>
      <c r="J206" s="1172"/>
      <c r="K206" s="1172"/>
      <c r="L206" s="1173"/>
      <c r="M206" s="1172">
        <f>-1691400-456678</f>
        <v>-2148078</v>
      </c>
      <c r="N206" s="1172"/>
      <c r="O206" s="1172"/>
      <c r="P206" s="1174"/>
      <c r="Q206" s="1175"/>
      <c r="R206" s="1172"/>
      <c r="S206" s="1172"/>
      <c r="T206" s="1172"/>
      <c r="U206" s="1172"/>
      <c r="V206" s="1172"/>
      <c r="W206" s="1172"/>
      <c r="X206" s="1176"/>
    </row>
    <row r="207" spans="1:24" ht="21.75" customHeight="1" x14ac:dyDescent="0.2">
      <c r="A207" s="2053"/>
      <c r="B207" s="2055"/>
      <c r="C207" s="2057"/>
      <c r="D207" s="1177" t="s">
        <v>188</v>
      </c>
      <c r="E207" s="1374" t="s">
        <v>2102</v>
      </c>
      <c r="F207" s="1374" t="s">
        <v>2101</v>
      </c>
      <c r="G207" s="1178" t="s">
        <v>1829</v>
      </c>
      <c r="H207" s="1172"/>
      <c r="I207" s="1172"/>
      <c r="J207" s="1172">
        <f>1691400+456678</f>
        <v>2148078</v>
      </c>
      <c r="K207" s="1172"/>
      <c r="L207" s="1173"/>
      <c r="M207" s="1172"/>
      <c r="N207" s="1172"/>
      <c r="O207" s="1172"/>
      <c r="P207" s="1174"/>
      <c r="Q207" s="1175"/>
      <c r="R207" s="1172"/>
      <c r="S207" s="1172"/>
      <c r="T207" s="1172"/>
      <c r="U207" s="1172"/>
      <c r="V207" s="1172"/>
      <c r="W207" s="1172"/>
      <c r="X207" s="1176"/>
    </row>
    <row r="208" spans="1:24" ht="33" customHeight="1" x14ac:dyDescent="0.2">
      <c r="A208" s="2052" t="s">
        <v>322</v>
      </c>
      <c r="B208" s="2054" t="s">
        <v>1594</v>
      </c>
      <c r="C208" s="2056" t="s">
        <v>2105</v>
      </c>
      <c r="D208" s="1177" t="s">
        <v>195</v>
      </c>
      <c r="E208" s="1374" t="s">
        <v>74</v>
      </c>
      <c r="F208" s="1374" t="s">
        <v>1870</v>
      </c>
      <c r="G208" s="1178" t="s">
        <v>1828</v>
      </c>
      <c r="H208" s="1172"/>
      <c r="I208" s="1172"/>
      <c r="J208" s="1172"/>
      <c r="K208" s="1172"/>
      <c r="L208" s="1173">
        <v>-2730500</v>
      </c>
      <c r="M208" s="1172"/>
      <c r="N208" s="1172"/>
      <c r="O208" s="1172"/>
      <c r="P208" s="1174"/>
      <c r="Q208" s="1175"/>
      <c r="R208" s="1172"/>
      <c r="S208" s="1172"/>
      <c r="T208" s="1172"/>
      <c r="U208" s="1172"/>
      <c r="V208" s="1172"/>
      <c r="W208" s="1172"/>
      <c r="X208" s="1176"/>
    </row>
    <row r="209" spans="1:24" ht="33" customHeight="1" x14ac:dyDescent="0.2">
      <c r="A209" s="2053"/>
      <c r="B209" s="2055"/>
      <c r="C209" s="2057"/>
      <c r="D209" s="1177" t="s">
        <v>193</v>
      </c>
      <c r="E209" s="1374" t="s">
        <v>583</v>
      </c>
      <c r="F209" s="1374" t="s">
        <v>2103</v>
      </c>
      <c r="G209" s="1178" t="s">
        <v>1829</v>
      </c>
      <c r="H209" s="1172"/>
      <c r="I209" s="1172"/>
      <c r="J209" s="1172"/>
      <c r="K209" s="1172"/>
      <c r="L209" s="1173"/>
      <c r="M209" s="1172">
        <f>2150000+580500</f>
        <v>2730500</v>
      </c>
      <c r="N209" s="1172"/>
      <c r="O209" s="1172"/>
      <c r="P209" s="1174"/>
      <c r="Q209" s="1175"/>
      <c r="R209" s="1172"/>
      <c r="S209" s="1172"/>
      <c r="T209" s="1172"/>
      <c r="U209" s="1172"/>
      <c r="V209" s="1172"/>
      <c r="W209" s="1172"/>
      <c r="X209" s="1176"/>
    </row>
    <row r="210" spans="1:24" ht="32.25" customHeight="1" x14ac:dyDescent="0.2">
      <c r="A210" s="1494" t="s">
        <v>323</v>
      </c>
      <c r="B210" s="1493" t="s">
        <v>1595</v>
      </c>
      <c r="C210" s="1492" t="s">
        <v>2109</v>
      </c>
      <c r="D210" s="1177" t="s">
        <v>188</v>
      </c>
      <c r="E210" s="1374" t="s">
        <v>590</v>
      </c>
      <c r="F210" s="1374" t="s">
        <v>442</v>
      </c>
      <c r="G210" s="1178" t="s">
        <v>1837</v>
      </c>
      <c r="H210" s="1172"/>
      <c r="I210" s="1172"/>
      <c r="J210" s="1172">
        <f>-20000+20000</f>
        <v>0</v>
      </c>
      <c r="K210" s="1172"/>
      <c r="L210" s="1173"/>
      <c r="M210" s="1172"/>
      <c r="N210" s="1172"/>
      <c r="O210" s="1172"/>
      <c r="P210" s="1174"/>
      <c r="Q210" s="1175"/>
      <c r="R210" s="1172"/>
      <c r="S210" s="1172"/>
      <c r="T210" s="1172"/>
      <c r="U210" s="1172"/>
      <c r="V210" s="1172"/>
      <c r="W210" s="1172"/>
      <c r="X210" s="1176"/>
    </row>
    <row r="211" spans="1:24" ht="27.75" customHeight="1" x14ac:dyDescent="0.2">
      <c r="A211" s="1494"/>
      <c r="B211" s="1493"/>
      <c r="C211" s="1492" t="s">
        <v>2157</v>
      </c>
      <c r="D211" s="1177" t="s">
        <v>197</v>
      </c>
      <c r="E211" s="1374" t="s">
        <v>1288</v>
      </c>
      <c r="F211" s="1374" t="s">
        <v>535</v>
      </c>
      <c r="G211" s="1178" t="s">
        <v>1837</v>
      </c>
      <c r="H211" s="1172"/>
      <c r="I211" s="1172"/>
      <c r="J211" s="1172"/>
      <c r="K211" s="1172"/>
      <c r="L211" s="1173"/>
      <c r="M211" s="1172"/>
      <c r="N211" s="1172"/>
      <c r="O211" s="1172"/>
      <c r="P211" s="1174">
        <f>-317500+317500</f>
        <v>0</v>
      </c>
      <c r="Q211" s="1175"/>
      <c r="R211" s="1172"/>
      <c r="S211" s="1172"/>
      <c r="T211" s="1172"/>
      <c r="U211" s="1172"/>
      <c r="V211" s="1172"/>
      <c r="W211" s="1172"/>
      <c r="X211" s="1176"/>
    </row>
    <row r="212" spans="1:24" ht="27.75" customHeight="1" x14ac:dyDescent="0.2">
      <c r="A212" s="2052" t="s">
        <v>324</v>
      </c>
      <c r="B212" s="2054" t="s">
        <v>1596</v>
      </c>
      <c r="C212" s="2056" t="s">
        <v>2209</v>
      </c>
      <c r="D212" s="1177" t="s">
        <v>188</v>
      </c>
      <c r="E212" s="1374" t="s">
        <v>1868</v>
      </c>
      <c r="F212" s="1374" t="s">
        <v>1867</v>
      </c>
      <c r="G212" s="1178" t="s">
        <v>1828</v>
      </c>
      <c r="H212" s="1172"/>
      <c r="I212" s="1172"/>
      <c r="J212" s="1172">
        <f>-561600-151632</f>
        <v>-713232</v>
      </c>
      <c r="K212" s="1172"/>
      <c r="L212" s="1173"/>
      <c r="M212" s="1172"/>
      <c r="N212" s="1172"/>
      <c r="O212" s="1172"/>
      <c r="P212" s="1174"/>
      <c r="Q212" s="1175"/>
      <c r="R212" s="1172"/>
      <c r="S212" s="1172"/>
      <c r="T212" s="1172"/>
      <c r="U212" s="1172"/>
      <c r="V212" s="1172"/>
      <c r="W212" s="1172"/>
      <c r="X212" s="1176"/>
    </row>
    <row r="213" spans="1:24" ht="27.75" customHeight="1" x14ac:dyDescent="0.2">
      <c r="A213" s="2053"/>
      <c r="B213" s="2055"/>
      <c r="C213" s="2057"/>
      <c r="D213" s="1177" t="s">
        <v>193</v>
      </c>
      <c r="E213" s="1374" t="s">
        <v>131</v>
      </c>
      <c r="F213" s="1374" t="s">
        <v>151</v>
      </c>
      <c r="G213" s="1178" t="s">
        <v>1829</v>
      </c>
      <c r="H213" s="1172"/>
      <c r="I213" s="1172"/>
      <c r="J213" s="1172"/>
      <c r="K213" s="1172"/>
      <c r="L213" s="1173"/>
      <c r="M213" s="1172">
        <f>561600+151632</f>
        <v>713232</v>
      </c>
      <c r="N213" s="1172"/>
      <c r="O213" s="1172"/>
      <c r="P213" s="1174"/>
      <c r="Q213" s="1175"/>
      <c r="R213" s="1172"/>
      <c r="S213" s="1172"/>
      <c r="T213" s="1172"/>
      <c r="U213" s="1172"/>
      <c r="V213" s="1172"/>
      <c r="W213" s="1172"/>
      <c r="X213" s="1176"/>
    </row>
    <row r="214" spans="1:24" ht="28.5" customHeight="1" x14ac:dyDescent="0.2">
      <c r="A214" s="2052" t="s">
        <v>325</v>
      </c>
      <c r="B214" s="2054" t="s">
        <v>1597</v>
      </c>
      <c r="C214" s="2056" t="s">
        <v>2112</v>
      </c>
      <c r="D214" s="1177" t="s">
        <v>193</v>
      </c>
      <c r="E214" s="1374" t="s">
        <v>130</v>
      </c>
      <c r="F214" s="1374" t="s">
        <v>91</v>
      </c>
      <c r="G214" s="1178" t="s">
        <v>1828</v>
      </c>
      <c r="H214" s="1172"/>
      <c r="I214" s="1172"/>
      <c r="J214" s="1172"/>
      <c r="K214" s="1172"/>
      <c r="L214" s="1173"/>
      <c r="M214" s="1172">
        <f>-850000-229500</f>
        <v>-1079500</v>
      </c>
      <c r="N214" s="1172"/>
      <c r="O214" s="1172"/>
      <c r="P214" s="1174"/>
      <c r="Q214" s="1175"/>
      <c r="R214" s="1172"/>
      <c r="S214" s="1172"/>
      <c r="T214" s="1172"/>
      <c r="U214" s="1172"/>
      <c r="V214" s="1172"/>
      <c r="W214" s="1172"/>
      <c r="X214" s="1176"/>
    </row>
    <row r="215" spans="1:24" ht="28.5" customHeight="1" x14ac:dyDescent="0.2">
      <c r="A215" s="2053"/>
      <c r="B215" s="2055"/>
      <c r="C215" s="2057"/>
      <c r="D215" s="1177" t="s">
        <v>193</v>
      </c>
      <c r="E215" s="1374" t="s">
        <v>130</v>
      </c>
      <c r="F215" s="1374" t="s">
        <v>152</v>
      </c>
      <c r="G215" s="1178" t="s">
        <v>1829</v>
      </c>
      <c r="H215" s="1172"/>
      <c r="I215" s="1172"/>
      <c r="J215" s="1172"/>
      <c r="K215" s="1172"/>
      <c r="L215" s="1173"/>
      <c r="M215" s="1172">
        <f>850000+229500</f>
        <v>1079500</v>
      </c>
      <c r="N215" s="1172"/>
      <c r="O215" s="1172"/>
      <c r="P215" s="1174"/>
      <c r="Q215" s="1175"/>
      <c r="R215" s="1172"/>
      <c r="S215" s="1172"/>
      <c r="T215" s="1172"/>
      <c r="U215" s="1172"/>
      <c r="V215" s="1172"/>
      <c r="W215" s="1172"/>
      <c r="X215" s="1176"/>
    </row>
    <row r="216" spans="1:24" ht="27.75" customHeight="1" x14ac:dyDescent="0.2">
      <c r="A216" s="2052" t="s">
        <v>744</v>
      </c>
      <c r="B216" s="2054" t="s">
        <v>1598</v>
      </c>
      <c r="C216" s="2087" t="s">
        <v>2115</v>
      </c>
      <c r="D216" s="1177" t="s">
        <v>195</v>
      </c>
      <c r="E216" s="1374" t="s">
        <v>74</v>
      </c>
      <c r="F216" s="1374" t="s">
        <v>1870</v>
      </c>
      <c r="G216" s="1178" t="s">
        <v>1828</v>
      </c>
      <c r="H216" s="1172"/>
      <c r="I216" s="1172"/>
      <c r="J216" s="1172"/>
      <c r="K216" s="1172"/>
      <c r="L216" s="1173">
        <v>-144145</v>
      </c>
      <c r="M216" s="1172"/>
      <c r="N216" s="1172"/>
      <c r="O216" s="1172"/>
      <c r="P216" s="1174"/>
      <c r="Q216" s="1175"/>
      <c r="R216" s="1172"/>
      <c r="S216" s="1172"/>
      <c r="T216" s="1172"/>
      <c r="U216" s="1172"/>
      <c r="V216" s="1172"/>
      <c r="W216" s="1172"/>
      <c r="X216" s="1176"/>
    </row>
    <row r="217" spans="1:24" ht="27.75" customHeight="1" x14ac:dyDescent="0.2">
      <c r="A217" s="2053"/>
      <c r="B217" s="2055"/>
      <c r="C217" s="2087"/>
      <c r="D217" s="1177" t="s">
        <v>197</v>
      </c>
      <c r="E217" s="1374" t="s">
        <v>1288</v>
      </c>
      <c r="F217" s="1374" t="s">
        <v>535</v>
      </c>
      <c r="G217" s="1178" t="s">
        <v>1829</v>
      </c>
      <c r="H217" s="1172"/>
      <c r="I217" s="1172"/>
      <c r="J217" s="1172"/>
      <c r="K217" s="1172"/>
      <c r="L217" s="1173"/>
      <c r="M217" s="1172"/>
      <c r="N217" s="1172"/>
      <c r="O217" s="1172"/>
      <c r="P217" s="1174">
        <v>144145</v>
      </c>
      <c r="Q217" s="1175"/>
      <c r="R217" s="1172"/>
      <c r="S217" s="1172"/>
      <c r="T217" s="1172"/>
      <c r="U217" s="1172"/>
      <c r="V217" s="1172"/>
      <c r="W217" s="1172"/>
      <c r="X217" s="1176"/>
    </row>
    <row r="218" spans="1:24" ht="27.75" customHeight="1" x14ac:dyDescent="0.2">
      <c r="A218" s="2052" t="s">
        <v>768</v>
      </c>
      <c r="B218" s="2054" t="s">
        <v>1599</v>
      </c>
      <c r="C218" s="2056" t="s">
        <v>2117</v>
      </c>
      <c r="D218" s="1177" t="s">
        <v>193</v>
      </c>
      <c r="E218" s="1374" t="s">
        <v>130</v>
      </c>
      <c r="F218" s="1374" t="s">
        <v>91</v>
      </c>
      <c r="G218" s="1178" t="s">
        <v>1828</v>
      </c>
      <c r="H218" s="1172"/>
      <c r="I218" s="1172"/>
      <c r="J218" s="1172"/>
      <c r="K218" s="1172"/>
      <c r="L218" s="1173"/>
      <c r="M218" s="1172">
        <f>-1800000-486000</f>
        <v>-2286000</v>
      </c>
      <c r="N218" s="1172"/>
      <c r="O218" s="1172"/>
      <c r="P218" s="1174"/>
      <c r="Q218" s="1175"/>
      <c r="R218" s="1172"/>
      <c r="S218" s="1172"/>
      <c r="T218" s="1172"/>
      <c r="U218" s="1172"/>
      <c r="V218" s="1172"/>
      <c r="W218" s="1172"/>
      <c r="X218" s="1176"/>
    </row>
    <row r="219" spans="1:24" ht="27.75" customHeight="1" x14ac:dyDescent="0.2">
      <c r="A219" s="2053"/>
      <c r="B219" s="2055"/>
      <c r="C219" s="2057"/>
      <c r="D219" s="1177" t="s">
        <v>193</v>
      </c>
      <c r="E219" s="1374" t="s">
        <v>130</v>
      </c>
      <c r="F219" s="1374" t="s">
        <v>91</v>
      </c>
      <c r="G219" s="1178" t="s">
        <v>1829</v>
      </c>
      <c r="H219" s="1172"/>
      <c r="I219" s="1172"/>
      <c r="J219" s="1172"/>
      <c r="K219" s="1172"/>
      <c r="L219" s="1173"/>
      <c r="M219" s="1172">
        <f>1800000+486000</f>
        <v>2286000</v>
      </c>
      <c r="N219" s="1172"/>
      <c r="O219" s="1172"/>
      <c r="P219" s="1174"/>
      <c r="Q219" s="1175"/>
      <c r="R219" s="1172"/>
      <c r="S219" s="1172"/>
      <c r="T219" s="1172"/>
      <c r="U219" s="1172"/>
      <c r="V219" s="1172"/>
      <c r="W219" s="1172"/>
      <c r="X219" s="1176"/>
    </row>
    <row r="220" spans="1:24" ht="22.5" customHeight="1" x14ac:dyDescent="0.2">
      <c r="A220" s="2052" t="s">
        <v>769</v>
      </c>
      <c r="B220" s="2054" t="s">
        <v>1600</v>
      </c>
      <c r="C220" s="2056" t="s">
        <v>2118</v>
      </c>
      <c r="D220" s="1177" t="s">
        <v>193</v>
      </c>
      <c r="E220" s="1374" t="s">
        <v>130</v>
      </c>
      <c r="F220" s="1374" t="s">
        <v>91</v>
      </c>
      <c r="G220" s="1178" t="s">
        <v>1828</v>
      </c>
      <c r="H220" s="1172"/>
      <c r="I220" s="1172"/>
      <c r="J220" s="1172"/>
      <c r="K220" s="1172"/>
      <c r="L220" s="1173"/>
      <c r="M220" s="1172">
        <f>-4986800-1346436</f>
        <v>-6333236</v>
      </c>
      <c r="N220" s="1172"/>
      <c r="O220" s="1172"/>
      <c r="P220" s="1174"/>
      <c r="Q220" s="1175"/>
      <c r="R220" s="1172"/>
      <c r="S220" s="1172"/>
      <c r="T220" s="1172"/>
      <c r="U220" s="1172"/>
      <c r="V220" s="1172"/>
      <c r="W220" s="1172"/>
      <c r="X220" s="1176"/>
    </row>
    <row r="221" spans="1:24" ht="22.5" customHeight="1" x14ac:dyDescent="0.2">
      <c r="A221" s="2053"/>
      <c r="B221" s="2055"/>
      <c r="C221" s="2057"/>
      <c r="D221" s="1177" t="s">
        <v>193</v>
      </c>
      <c r="E221" s="1374" t="s">
        <v>130</v>
      </c>
      <c r="F221" s="1374" t="s">
        <v>91</v>
      </c>
      <c r="G221" s="1178" t="s">
        <v>1829</v>
      </c>
      <c r="H221" s="1172"/>
      <c r="I221" s="1172"/>
      <c r="J221" s="1172"/>
      <c r="K221" s="1172"/>
      <c r="L221" s="1173"/>
      <c r="M221" s="1172">
        <f>4986800+1346436</f>
        <v>6333236</v>
      </c>
      <c r="N221" s="1172"/>
      <c r="O221" s="1172"/>
      <c r="P221" s="1174"/>
      <c r="Q221" s="1175"/>
      <c r="R221" s="1172"/>
      <c r="S221" s="1172"/>
      <c r="T221" s="1172"/>
      <c r="U221" s="1172"/>
      <c r="V221" s="1172"/>
      <c r="W221" s="1172"/>
      <c r="X221" s="1176"/>
    </row>
    <row r="222" spans="1:24" ht="39.75" customHeight="1" x14ac:dyDescent="0.2">
      <c r="A222" s="2052" t="s">
        <v>770</v>
      </c>
      <c r="B222" s="2054" t="s">
        <v>1601</v>
      </c>
      <c r="C222" s="2062" t="s">
        <v>2120</v>
      </c>
      <c r="D222" s="1177" t="s">
        <v>195</v>
      </c>
      <c r="E222" s="1374" t="s">
        <v>74</v>
      </c>
      <c r="F222" s="1374" t="s">
        <v>1870</v>
      </c>
      <c r="G222" s="1178" t="s">
        <v>1828</v>
      </c>
      <c r="H222" s="1172"/>
      <c r="I222" s="1172"/>
      <c r="J222" s="1172"/>
      <c r="K222" s="1172"/>
      <c r="L222" s="1173">
        <v>-311150</v>
      </c>
      <c r="M222" s="1172"/>
      <c r="N222" s="1172"/>
      <c r="O222" s="1172"/>
      <c r="P222" s="1174"/>
      <c r="Q222" s="1175"/>
      <c r="R222" s="1172"/>
      <c r="S222" s="1172"/>
      <c r="T222" s="1172"/>
      <c r="U222" s="1172"/>
      <c r="V222" s="1172"/>
      <c r="W222" s="1172"/>
      <c r="X222" s="1176"/>
    </row>
    <row r="223" spans="1:24" ht="39.75" customHeight="1" x14ac:dyDescent="0.2">
      <c r="A223" s="2053"/>
      <c r="B223" s="2055"/>
      <c r="C223" s="2064"/>
      <c r="D223" s="1177" t="s">
        <v>193</v>
      </c>
      <c r="E223" s="1374" t="s">
        <v>583</v>
      </c>
      <c r="F223" s="1374" t="s">
        <v>1457</v>
      </c>
      <c r="G223" s="1178" t="s">
        <v>1829</v>
      </c>
      <c r="H223" s="1172"/>
      <c r="I223" s="1172"/>
      <c r="J223" s="1172"/>
      <c r="K223" s="1172"/>
      <c r="L223" s="1173"/>
      <c r="M223" s="1172">
        <f>245000+66150</f>
        <v>311150</v>
      </c>
      <c r="N223" s="1172"/>
      <c r="O223" s="1172"/>
      <c r="P223" s="1174"/>
      <c r="Q223" s="1175"/>
      <c r="R223" s="1172"/>
      <c r="S223" s="1172"/>
      <c r="T223" s="1172"/>
      <c r="U223" s="1172"/>
      <c r="V223" s="1172"/>
      <c r="W223" s="1172"/>
      <c r="X223" s="1176"/>
    </row>
    <row r="224" spans="1:24" ht="41.25" customHeight="1" x14ac:dyDescent="0.2">
      <c r="A224" s="2052" t="s">
        <v>773</v>
      </c>
      <c r="B224" s="2054" t="s">
        <v>1602</v>
      </c>
      <c r="C224" s="2062" t="s">
        <v>2121</v>
      </c>
      <c r="D224" s="1177" t="s">
        <v>195</v>
      </c>
      <c r="E224" s="1374" t="s">
        <v>74</v>
      </c>
      <c r="F224" s="1374" t="s">
        <v>1870</v>
      </c>
      <c r="G224" s="1178" t="s">
        <v>1828</v>
      </c>
      <c r="H224" s="1172"/>
      <c r="I224" s="1172"/>
      <c r="J224" s="1172"/>
      <c r="K224" s="1172"/>
      <c r="L224" s="1173">
        <v>-150000</v>
      </c>
      <c r="M224" s="1172"/>
      <c r="N224" s="1172"/>
      <c r="O224" s="1172"/>
      <c r="P224" s="1174"/>
      <c r="Q224" s="1175"/>
      <c r="R224" s="1172"/>
      <c r="S224" s="1172"/>
      <c r="T224" s="1172"/>
      <c r="U224" s="1172"/>
      <c r="V224" s="1172"/>
      <c r="W224" s="1172"/>
      <c r="X224" s="1176"/>
    </row>
    <row r="225" spans="1:24" ht="41.25" customHeight="1" x14ac:dyDescent="0.2">
      <c r="A225" s="2053"/>
      <c r="B225" s="2055"/>
      <c r="C225" s="2064"/>
      <c r="D225" s="1177" t="s">
        <v>188</v>
      </c>
      <c r="E225" s="1374" t="s">
        <v>583</v>
      </c>
      <c r="F225" s="1374" t="s">
        <v>1457</v>
      </c>
      <c r="G225" s="1178" t="s">
        <v>1829</v>
      </c>
      <c r="H225" s="1172"/>
      <c r="I225" s="1172"/>
      <c r="J225" s="1172">
        <v>150000</v>
      </c>
      <c r="K225" s="1172"/>
      <c r="L225" s="1173"/>
      <c r="M225" s="1172"/>
      <c r="N225" s="1172"/>
      <c r="O225" s="1172"/>
      <c r="P225" s="1174"/>
      <c r="Q225" s="1175"/>
      <c r="R225" s="1172"/>
      <c r="S225" s="1172"/>
      <c r="T225" s="1172"/>
      <c r="U225" s="1172"/>
      <c r="V225" s="1172"/>
      <c r="W225" s="1172"/>
      <c r="X225" s="1176"/>
    </row>
    <row r="226" spans="1:24" ht="28.5" customHeight="1" x14ac:dyDescent="0.2">
      <c r="A226" s="2052" t="s">
        <v>774</v>
      </c>
      <c r="B226" s="2054" t="s">
        <v>1603</v>
      </c>
      <c r="C226" s="2062" t="s">
        <v>2122</v>
      </c>
      <c r="D226" s="1177" t="s">
        <v>188</v>
      </c>
      <c r="E226" s="1374" t="s">
        <v>1985</v>
      </c>
      <c r="F226" s="1374" t="s">
        <v>1984</v>
      </c>
      <c r="G226" s="1178" t="s">
        <v>1837</v>
      </c>
      <c r="H226" s="1172"/>
      <c r="I226" s="1172"/>
      <c r="J226" s="1172">
        <f>-1496235+41456+1360000+42200+17799</f>
        <v>-34780</v>
      </c>
      <c r="K226" s="1172"/>
      <c r="L226" s="1173"/>
      <c r="M226" s="1172"/>
      <c r="N226" s="1172"/>
      <c r="O226" s="1172"/>
      <c r="P226" s="1174"/>
      <c r="Q226" s="1175"/>
      <c r="R226" s="1172"/>
      <c r="S226" s="1172"/>
      <c r="T226" s="1172"/>
      <c r="U226" s="1172"/>
      <c r="V226" s="1172"/>
      <c r="W226" s="1172"/>
      <c r="X226" s="1176"/>
    </row>
    <row r="227" spans="1:24" ht="28.5" customHeight="1" x14ac:dyDescent="0.2">
      <c r="A227" s="2053"/>
      <c r="B227" s="2055"/>
      <c r="C227" s="2064"/>
      <c r="D227" s="1177" t="s">
        <v>193</v>
      </c>
      <c r="E227" s="1374" t="s">
        <v>1985</v>
      </c>
      <c r="F227" s="1374" t="s">
        <v>1984</v>
      </c>
      <c r="G227" s="1178" t="s">
        <v>1829</v>
      </c>
      <c r="H227" s="1172"/>
      <c r="I227" s="1172"/>
      <c r="J227" s="1172"/>
      <c r="K227" s="1172"/>
      <c r="L227" s="1173"/>
      <c r="M227" s="1172">
        <f>27386+7394</f>
        <v>34780</v>
      </c>
      <c r="N227" s="1172"/>
      <c r="O227" s="1172"/>
      <c r="P227" s="1174"/>
      <c r="Q227" s="1175"/>
      <c r="R227" s="1172"/>
      <c r="S227" s="1172"/>
      <c r="T227" s="1172"/>
      <c r="U227" s="1172"/>
      <c r="V227" s="1172"/>
      <c r="W227" s="1172"/>
      <c r="X227" s="1176"/>
    </row>
    <row r="228" spans="1:24" ht="59.25" customHeight="1" x14ac:dyDescent="0.2">
      <c r="A228" s="1491" t="s">
        <v>775</v>
      </c>
      <c r="B228" s="1490" t="s">
        <v>1604</v>
      </c>
      <c r="C228" s="1639" t="s">
        <v>2124</v>
      </c>
      <c r="D228" s="1177" t="s">
        <v>188</v>
      </c>
      <c r="E228" s="1374" t="s">
        <v>1868</v>
      </c>
      <c r="F228" s="1374" t="s">
        <v>1867</v>
      </c>
      <c r="G228" s="1178" t="s">
        <v>1837</v>
      </c>
      <c r="H228" s="1172"/>
      <c r="I228" s="1172"/>
      <c r="J228" s="1172">
        <f>-50000+50000</f>
        <v>0</v>
      </c>
      <c r="K228" s="1172"/>
      <c r="L228" s="1173"/>
      <c r="M228" s="1172"/>
      <c r="N228" s="1172"/>
      <c r="O228" s="1172"/>
      <c r="P228" s="1174"/>
      <c r="Q228" s="1175"/>
      <c r="R228" s="1172"/>
      <c r="S228" s="1172"/>
      <c r="T228" s="1172"/>
      <c r="U228" s="1172"/>
      <c r="V228" s="1172"/>
      <c r="W228" s="1172"/>
      <c r="X228" s="1176"/>
    </row>
    <row r="229" spans="1:24" ht="29.25" customHeight="1" x14ac:dyDescent="0.2">
      <c r="A229" s="2052" t="s">
        <v>776</v>
      </c>
      <c r="B229" s="2054" t="s">
        <v>2260</v>
      </c>
      <c r="C229" s="2062" t="s">
        <v>2125</v>
      </c>
      <c r="D229" s="1177" t="s">
        <v>193</v>
      </c>
      <c r="E229" s="1374" t="s">
        <v>130</v>
      </c>
      <c r="F229" s="1374" t="s">
        <v>91</v>
      </c>
      <c r="G229" s="1178" t="s">
        <v>1837</v>
      </c>
      <c r="H229" s="1172"/>
      <c r="I229" s="1172"/>
      <c r="J229" s="1172"/>
      <c r="K229" s="1172"/>
      <c r="L229" s="1173"/>
      <c r="M229" s="1172">
        <f>-960000-259200+768000+207360</f>
        <v>-243840</v>
      </c>
      <c r="N229" s="1172"/>
      <c r="O229" s="1172"/>
      <c r="P229" s="1174"/>
      <c r="Q229" s="1175"/>
      <c r="R229" s="1172"/>
      <c r="S229" s="1172"/>
      <c r="T229" s="1172"/>
      <c r="U229" s="1172"/>
      <c r="V229" s="1172"/>
      <c r="W229" s="1172"/>
      <c r="X229" s="1176"/>
    </row>
    <row r="230" spans="1:24" ht="29.25" customHeight="1" x14ac:dyDescent="0.2">
      <c r="A230" s="2053"/>
      <c r="B230" s="2055"/>
      <c r="C230" s="2064"/>
      <c r="D230" s="1177" t="s">
        <v>188</v>
      </c>
      <c r="E230" s="1374" t="s">
        <v>1971</v>
      </c>
      <c r="F230" s="1374" t="s">
        <v>2101</v>
      </c>
      <c r="G230" s="1178" t="s">
        <v>1829</v>
      </c>
      <c r="H230" s="1172"/>
      <c r="I230" s="1172"/>
      <c r="J230" s="1172">
        <f>192000+51840</f>
        <v>243840</v>
      </c>
      <c r="K230" s="1172"/>
      <c r="L230" s="1173"/>
      <c r="M230" s="1172"/>
      <c r="N230" s="1172"/>
      <c r="O230" s="1172"/>
      <c r="P230" s="1174"/>
      <c r="Q230" s="1175"/>
      <c r="R230" s="1172"/>
      <c r="S230" s="1172"/>
      <c r="T230" s="1172"/>
      <c r="U230" s="1172"/>
      <c r="V230" s="1172"/>
      <c r="W230" s="1172"/>
      <c r="X230" s="1176"/>
    </row>
    <row r="231" spans="1:24" ht="25.5" customHeight="1" x14ac:dyDescent="0.2">
      <c r="A231" s="2052" t="s">
        <v>771</v>
      </c>
      <c r="B231" s="2054" t="s">
        <v>1606</v>
      </c>
      <c r="C231" s="2062" t="s">
        <v>2127</v>
      </c>
      <c r="D231" s="1177" t="s">
        <v>188</v>
      </c>
      <c r="E231" s="1374" t="s">
        <v>1980</v>
      </c>
      <c r="F231" s="1374" t="s">
        <v>1979</v>
      </c>
      <c r="G231" s="1178" t="s">
        <v>1828</v>
      </c>
      <c r="H231" s="1172"/>
      <c r="I231" s="1172"/>
      <c r="J231" s="1172">
        <f>-2672441-721559</f>
        <v>-3394000</v>
      </c>
      <c r="K231" s="1172"/>
      <c r="L231" s="1173"/>
      <c r="M231" s="1172"/>
      <c r="N231" s="1172"/>
      <c r="O231" s="1172"/>
      <c r="P231" s="1174"/>
      <c r="Q231" s="1175"/>
      <c r="R231" s="1172"/>
      <c r="S231" s="1172"/>
      <c r="T231" s="1172"/>
      <c r="U231" s="1172"/>
      <c r="V231" s="1172"/>
      <c r="W231" s="1172"/>
      <c r="X231" s="1176"/>
    </row>
    <row r="232" spans="1:24" ht="25.5" customHeight="1" x14ac:dyDescent="0.2">
      <c r="A232" s="2053"/>
      <c r="B232" s="2055"/>
      <c r="C232" s="2064"/>
      <c r="D232" s="1177" t="s">
        <v>188</v>
      </c>
      <c r="E232" s="1374" t="s">
        <v>2129</v>
      </c>
      <c r="F232" s="1374" t="s">
        <v>2128</v>
      </c>
      <c r="G232" s="1178" t="s">
        <v>1829</v>
      </c>
      <c r="H232" s="1172"/>
      <c r="I232" s="1172"/>
      <c r="J232" s="1172">
        <f>2672441+721559</f>
        <v>3394000</v>
      </c>
      <c r="K232" s="1172"/>
      <c r="L232" s="1173"/>
      <c r="M232" s="1172"/>
      <c r="N232" s="1172"/>
      <c r="O232" s="1172"/>
      <c r="P232" s="1174"/>
      <c r="Q232" s="1175"/>
      <c r="R232" s="1172"/>
      <c r="S232" s="1172"/>
      <c r="T232" s="1172"/>
      <c r="U232" s="1172"/>
      <c r="V232" s="1172"/>
      <c r="W232" s="1172"/>
      <c r="X232" s="1176"/>
    </row>
    <row r="233" spans="1:24" ht="53.25" customHeight="1" x14ac:dyDescent="0.2">
      <c r="A233" s="1491" t="s">
        <v>772</v>
      </c>
      <c r="B233" s="1490" t="s">
        <v>1607</v>
      </c>
      <c r="C233" s="1639" t="s">
        <v>2207</v>
      </c>
      <c r="D233" s="1177" t="s">
        <v>188</v>
      </c>
      <c r="E233" s="1374" t="s">
        <v>2129</v>
      </c>
      <c r="F233" s="1374" t="s">
        <v>2128</v>
      </c>
      <c r="G233" s="1178" t="s">
        <v>1837</v>
      </c>
      <c r="H233" s="1172"/>
      <c r="I233" s="1172"/>
      <c r="J233" s="1172">
        <f>-2451260+2451260</f>
        <v>0</v>
      </c>
      <c r="K233" s="1172"/>
      <c r="L233" s="1173"/>
      <c r="M233" s="1172"/>
      <c r="N233" s="1172"/>
      <c r="O233" s="1172"/>
      <c r="P233" s="1174"/>
      <c r="Q233" s="1175"/>
      <c r="R233" s="1172"/>
      <c r="S233" s="1172"/>
      <c r="T233" s="1172"/>
      <c r="U233" s="1172"/>
      <c r="V233" s="1172"/>
      <c r="W233" s="1172"/>
      <c r="X233" s="1176"/>
    </row>
    <row r="234" spans="1:24" ht="35.25" customHeight="1" x14ac:dyDescent="0.2">
      <c r="A234" s="2052" t="s">
        <v>777</v>
      </c>
      <c r="B234" s="2054" t="s">
        <v>1608</v>
      </c>
      <c r="C234" s="2056" t="s">
        <v>2164</v>
      </c>
      <c r="D234" s="1177" t="s">
        <v>195</v>
      </c>
      <c r="E234" s="1374" t="s">
        <v>74</v>
      </c>
      <c r="F234" s="1374" t="s">
        <v>1870</v>
      </c>
      <c r="G234" s="1178" t="s">
        <v>1828</v>
      </c>
      <c r="H234" s="1172"/>
      <c r="I234" s="1172"/>
      <c r="J234" s="1172"/>
      <c r="K234" s="1172"/>
      <c r="L234" s="1173">
        <v>-6411</v>
      </c>
      <c r="M234" s="1172"/>
      <c r="N234" s="1172"/>
      <c r="O234" s="1172"/>
      <c r="P234" s="1174"/>
      <c r="Q234" s="1175"/>
      <c r="R234" s="1172"/>
      <c r="S234" s="1172"/>
      <c r="T234" s="1172"/>
      <c r="U234" s="1172"/>
      <c r="V234" s="1172"/>
      <c r="W234" s="1172"/>
      <c r="X234" s="1176"/>
    </row>
    <row r="235" spans="1:24" ht="35.25" customHeight="1" x14ac:dyDescent="0.2">
      <c r="A235" s="2053"/>
      <c r="B235" s="2055"/>
      <c r="C235" s="2057"/>
      <c r="D235" s="1177" t="s">
        <v>188</v>
      </c>
      <c r="E235" s="1374" t="s">
        <v>545</v>
      </c>
      <c r="F235" s="1374" t="s">
        <v>831</v>
      </c>
      <c r="G235" s="1178" t="s">
        <v>1829</v>
      </c>
      <c r="H235" s="1172"/>
      <c r="I235" s="1172"/>
      <c r="J235" s="1172">
        <f>5048+1363</f>
        <v>6411</v>
      </c>
      <c r="K235" s="1172"/>
      <c r="L235" s="1173"/>
      <c r="M235" s="1172"/>
      <c r="N235" s="1172"/>
      <c r="O235" s="1172"/>
      <c r="P235" s="1174"/>
      <c r="Q235" s="1175"/>
      <c r="R235" s="1172"/>
      <c r="S235" s="1172"/>
      <c r="T235" s="1172"/>
      <c r="U235" s="1172"/>
      <c r="V235" s="1172"/>
      <c r="W235" s="1172"/>
      <c r="X235" s="1176"/>
    </row>
    <row r="236" spans="1:24" ht="27.75" customHeight="1" x14ac:dyDescent="0.2">
      <c r="A236" s="2052" t="s">
        <v>778</v>
      </c>
      <c r="B236" s="2054" t="s">
        <v>1609</v>
      </c>
      <c r="C236" s="2056" t="s">
        <v>2130</v>
      </c>
      <c r="D236" s="1177" t="s">
        <v>195</v>
      </c>
      <c r="E236" s="1374" t="s">
        <v>74</v>
      </c>
      <c r="F236" s="1374" t="s">
        <v>1870</v>
      </c>
      <c r="G236" s="1178" t="s">
        <v>1828</v>
      </c>
      <c r="H236" s="1172"/>
      <c r="I236" s="1172"/>
      <c r="J236" s="1172"/>
      <c r="K236" s="1172"/>
      <c r="L236" s="1173">
        <v>-50697800</v>
      </c>
      <c r="M236" s="1172"/>
      <c r="N236" s="1172"/>
      <c r="O236" s="1172"/>
      <c r="P236" s="1174"/>
      <c r="Q236" s="1175"/>
      <c r="R236" s="1172"/>
      <c r="S236" s="1172"/>
      <c r="T236" s="1172"/>
      <c r="U236" s="1172"/>
      <c r="V236" s="1172"/>
      <c r="W236" s="1172"/>
      <c r="X236" s="1176"/>
    </row>
    <row r="237" spans="1:24" ht="27.75" customHeight="1" x14ac:dyDescent="0.2">
      <c r="A237" s="2053"/>
      <c r="B237" s="2055"/>
      <c r="C237" s="2057"/>
      <c r="D237" s="1177" t="s">
        <v>193</v>
      </c>
      <c r="E237" s="1374" t="s">
        <v>547</v>
      </c>
      <c r="F237" s="1374" t="s">
        <v>748</v>
      </c>
      <c r="G237" s="1178" t="s">
        <v>1829</v>
      </c>
      <c r="H237" s="1172"/>
      <c r="I237" s="1172"/>
      <c r="J237" s="1172"/>
      <c r="K237" s="1172"/>
      <c r="L237" s="1173"/>
      <c r="M237" s="1172">
        <f>50441300+256500</f>
        <v>50697800</v>
      </c>
      <c r="N237" s="1172"/>
      <c r="O237" s="1172"/>
      <c r="P237" s="1174"/>
      <c r="Q237" s="1175"/>
      <c r="R237" s="1172"/>
      <c r="S237" s="1172"/>
      <c r="T237" s="1172"/>
      <c r="U237" s="1172"/>
      <c r="V237" s="1172"/>
      <c r="W237" s="1172"/>
      <c r="X237" s="1176"/>
    </row>
    <row r="238" spans="1:24" ht="24.75" customHeight="1" x14ac:dyDescent="0.2">
      <c r="A238" s="2052" t="s">
        <v>779</v>
      </c>
      <c r="B238" s="2054" t="s">
        <v>1610</v>
      </c>
      <c r="C238" s="2056" t="s">
        <v>2131</v>
      </c>
      <c r="D238" s="1177" t="s">
        <v>194</v>
      </c>
      <c r="E238" s="1374" t="s">
        <v>130</v>
      </c>
      <c r="F238" s="1374" t="s">
        <v>129</v>
      </c>
      <c r="G238" s="1178" t="s">
        <v>1828</v>
      </c>
      <c r="H238" s="1172"/>
      <c r="I238" s="1172"/>
      <c r="J238" s="1172"/>
      <c r="K238" s="1172"/>
      <c r="L238" s="1173"/>
      <c r="M238" s="1172"/>
      <c r="N238" s="1172">
        <v>-21659800</v>
      </c>
      <c r="O238" s="1172"/>
      <c r="P238" s="1174"/>
      <c r="Q238" s="1175"/>
      <c r="R238" s="1172"/>
      <c r="S238" s="1172"/>
      <c r="T238" s="1172"/>
      <c r="U238" s="1172"/>
      <c r="V238" s="1172"/>
      <c r="W238" s="1172"/>
      <c r="X238" s="1176"/>
    </row>
    <row r="239" spans="1:24" ht="24.75" customHeight="1" x14ac:dyDescent="0.2">
      <c r="A239" s="2053"/>
      <c r="B239" s="2055"/>
      <c r="C239" s="2057"/>
      <c r="D239" s="1177" t="s">
        <v>193</v>
      </c>
      <c r="E239" s="1374" t="s">
        <v>130</v>
      </c>
      <c r="F239" s="1374" t="s">
        <v>129</v>
      </c>
      <c r="G239" s="1178" t="s">
        <v>1829</v>
      </c>
      <c r="H239" s="1172"/>
      <c r="I239" s="1172"/>
      <c r="J239" s="1172"/>
      <c r="K239" s="1172"/>
      <c r="L239" s="1173"/>
      <c r="M239" s="1172">
        <v>21659800</v>
      </c>
      <c r="N239" s="1172"/>
      <c r="O239" s="1172"/>
      <c r="P239" s="1174"/>
      <c r="Q239" s="1175"/>
      <c r="R239" s="1172"/>
      <c r="S239" s="1172"/>
      <c r="T239" s="1172"/>
      <c r="U239" s="1172"/>
      <c r="V239" s="1172"/>
      <c r="W239" s="1172"/>
      <c r="X239" s="1176"/>
    </row>
    <row r="240" spans="1:24" ht="32.25" customHeight="1" x14ac:dyDescent="0.2">
      <c r="A240" s="2052" t="s">
        <v>780</v>
      </c>
      <c r="B240" s="2054" t="s">
        <v>1611</v>
      </c>
      <c r="C240" s="2056" t="s">
        <v>2397</v>
      </c>
      <c r="D240" s="1177" t="s">
        <v>188</v>
      </c>
      <c r="E240" s="1374" t="s">
        <v>583</v>
      </c>
      <c r="F240" s="1374" t="s">
        <v>1457</v>
      </c>
      <c r="G240" s="1178" t="s">
        <v>1828</v>
      </c>
      <c r="H240" s="1172"/>
      <c r="I240" s="1172"/>
      <c r="J240" s="1172">
        <f>-190000-51300</f>
        <v>-241300</v>
      </c>
      <c r="K240" s="1172"/>
      <c r="L240" s="1173"/>
      <c r="M240" s="1172"/>
      <c r="N240" s="1172"/>
      <c r="O240" s="1172"/>
      <c r="P240" s="1174"/>
      <c r="Q240" s="1175"/>
      <c r="R240" s="1172"/>
      <c r="S240" s="1172"/>
      <c r="T240" s="1172"/>
      <c r="U240" s="1172"/>
      <c r="V240" s="1172"/>
      <c r="W240" s="1172"/>
      <c r="X240" s="1176"/>
    </row>
    <row r="241" spans="1:24" ht="32.25" customHeight="1" x14ac:dyDescent="0.2">
      <c r="A241" s="2053"/>
      <c r="B241" s="2055"/>
      <c r="C241" s="2057"/>
      <c r="D241" s="1177" t="s">
        <v>193</v>
      </c>
      <c r="E241" s="1374" t="s">
        <v>583</v>
      </c>
      <c r="F241" s="1374" t="s">
        <v>1457</v>
      </c>
      <c r="G241" s="1178" t="s">
        <v>1829</v>
      </c>
      <c r="H241" s="1172"/>
      <c r="I241" s="1172"/>
      <c r="J241" s="1172"/>
      <c r="K241" s="1172"/>
      <c r="L241" s="1173"/>
      <c r="M241" s="1172">
        <f>190000+51300</f>
        <v>241300</v>
      </c>
      <c r="N241" s="1172"/>
      <c r="O241" s="1172"/>
      <c r="P241" s="1174"/>
      <c r="Q241" s="1175"/>
      <c r="R241" s="1172"/>
      <c r="S241" s="1172"/>
      <c r="T241" s="1172"/>
      <c r="U241" s="1172"/>
      <c r="V241" s="1172"/>
      <c r="W241" s="1172"/>
      <c r="X241" s="1176"/>
    </row>
    <row r="242" spans="1:24" ht="23.25" customHeight="1" x14ac:dyDescent="0.2">
      <c r="A242" s="2052" t="s">
        <v>781</v>
      </c>
      <c r="B242" s="2054" t="s">
        <v>1612</v>
      </c>
      <c r="C242" s="2056" t="s">
        <v>2132</v>
      </c>
      <c r="D242" s="1177" t="s">
        <v>188</v>
      </c>
      <c r="E242" s="1374" t="s">
        <v>1980</v>
      </c>
      <c r="F242" s="1374" t="s">
        <v>1979</v>
      </c>
      <c r="G242" s="1178" t="s">
        <v>1828</v>
      </c>
      <c r="H242" s="1172"/>
      <c r="I242" s="1172"/>
      <c r="J242" s="1172">
        <f>-1045000-214650+250000</f>
        <v>-1009650</v>
      </c>
      <c r="K242" s="1172"/>
      <c r="L242" s="1173"/>
      <c r="M242" s="1172"/>
      <c r="N242" s="1172"/>
      <c r="O242" s="1172"/>
      <c r="P242" s="1174"/>
      <c r="Q242" s="1175"/>
      <c r="R242" s="1172"/>
      <c r="S242" s="1172"/>
      <c r="T242" s="1172"/>
      <c r="U242" s="1172"/>
      <c r="V242" s="1172"/>
      <c r="W242" s="1172"/>
      <c r="X242" s="1176"/>
    </row>
    <row r="243" spans="1:24" ht="23.25" customHeight="1" x14ac:dyDescent="0.2">
      <c r="A243" s="2053"/>
      <c r="B243" s="2055"/>
      <c r="C243" s="2057"/>
      <c r="D243" s="1177" t="s">
        <v>193</v>
      </c>
      <c r="E243" s="1374" t="s">
        <v>1980</v>
      </c>
      <c r="F243" s="1374" t="s">
        <v>1979</v>
      </c>
      <c r="G243" s="1178" t="s">
        <v>1829</v>
      </c>
      <c r="H243" s="1172"/>
      <c r="I243" s="1172"/>
      <c r="J243" s="1172"/>
      <c r="K243" s="1172"/>
      <c r="L243" s="1173"/>
      <c r="M243" s="1172">
        <f>795000+214650</f>
        <v>1009650</v>
      </c>
      <c r="N243" s="1172"/>
      <c r="O243" s="1172"/>
      <c r="P243" s="1174"/>
      <c r="Q243" s="1175"/>
      <c r="R243" s="1172"/>
      <c r="S243" s="1172"/>
      <c r="T243" s="1172"/>
      <c r="U243" s="1172"/>
      <c r="V243" s="1172"/>
      <c r="W243" s="1172"/>
      <c r="X243" s="1176"/>
    </row>
    <row r="244" spans="1:24" ht="39.75" customHeight="1" x14ac:dyDescent="0.2">
      <c r="A244" s="1491" t="s">
        <v>782</v>
      </c>
      <c r="B244" s="1490" t="s">
        <v>1613</v>
      </c>
      <c r="C244" s="1631" t="s">
        <v>2133</v>
      </c>
      <c r="D244" s="1177" t="s">
        <v>188</v>
      </c>
      <c r="E244" s="1374" t="s">
        <v>2134</v>
      </c>
      <c r="F244" s="1374" t="s">
        <v>1897</v>
      </c>
      <c r="G244" s="1178" t="s">
        <v>1837</v>
      </c>
      <c r="H244" s="1172"/>
      <c r="I244" s="1172"/>
      <c r="J244" s="1172">
        <f>-300000+300000</f>
        <v>0</v>
      </c>
      <c r="K244" s="1172"/>
      <c r="L244" s="1173"/>
      <c r="M244" s="1172"/>
      <c r="N244" s="1172"/>
      <c r="O244" s="1172"/>
      <c r="P244" s="1174"/>
      <c r="Q244" s="1175"/>
      <c r="R244" s="1172"/>
      <c r="S244" s="1172"/>
      <c r="T244" s="1172"/>
      <c r="U244" s="1172"/>
      <c r="V244" s="1172"/>
      <c r="W244" s="1172"/>
      <c r="X244" s="1176"/>
    </row>
    <row r="245" spans="1:24" ht="41.25" customHeight="1" x14ac:dyDescent="0.2">
      <c r="A245" s="1491" t="s">
        <v>783</v>
      </c>
      <c r="B245" s="1490" t="s">
        <v>1614</v>
      </c>
      <c r="C245" s="1631" t="s">
        <v>2135</v>
      </c>
      <c r="D245" s="1177" t="s">
        <v>188</v>
      </c>
      <c r="E245" s="1374" t="s">
        <v>2137</v>
      </c>
      <c r="F245" s="1374" t="s">
        <v>2136</v>
      </c>
      <c r="G245" s="1178" t="s">
        <v>1837</v>
      </c>
      <c r="H245" s="1172"/>
      <c r="I245" s="1172"/>
      <c r="J245" s="1172">
        <f>-142857+142857</f>
        <v>0</v>
      </c>
      <c r="K245" s="1172"/>
      <c r="L245" s="1173"/>
      <c r="M245" s="1172"/>
      <c r="N245" s="1172"/>
      <c r="O245" s="1172"/>
      <c r="P245" s="1174"/>
      <c r="Q245" s="1175"/>
      <c r="R245" s="1172"/>
      <c r="S245" s="1172"/>
      <c r="T245" s="1172"/>
      <c r="U245" s="1172"/>
      <c r="V245" s="1172"/>
      <c r="W245" s="1172"/>
      <c r="X245" s="1176"/>
    </row>
    <row r="246" spans="1:24" ht="24.75" customHeight="1" x14ac:dyDescent="0.2">
      <c r="A246" s="2052" t="s">
        <v>784</v>
      </c>
      <c r="B246" s="2054" t="s">
        <v>1615</v>
      </c>
      <c r="C246" s="2056" t="s">
        <v>2138</v>
      </c>
      <c r="D246" s="1177" t="s">
        <v>188</v>
      </c>
      <c r="E246" s="1374" t="s">
        <v>620</v>
      </c>
      <c r="F246" s="1374" t="s">
        <v>68</v>
      </c>
      <c r="G246" s="1178" t="s">
        <v>1829</v>
      </c>
      <c r="H246" s="1172"/>
      <c r="I246" s="1172"/>
      <c r="J246" s="1172"/>
      <c r="K246" s="1172"/>
      <c r="L246" s="1173"/>
      <c r="M246" s="1172"/>
      <c r="N246" s="1172"/>
      <c r="O246" s="1172"/>
      <c r="P246" s="1174"/>
      <c r="Q246" s="1175"/>
      <c r="R246" s="1172"/>
      <c r="S246" s="1172"/>
      <c r="T246" s="1172"/>
      <c r="U246" s="1172">
        <v>100000</v>
      </c>
      <c r="V246" s="1172"/>
      <c r="W246" s="1172"/>
      <c r="X246" s="1176"/>
    </row>
    <row r="247" spans="1:24" ht="24.75" customHeight="1" x14ac:dyDescent="0.2">
      <c r="A247" s="2053"/>
      <c r="B247" s="2055"/>
      <c r="C247" s="2057"/>
      <c r="D247" s="1177" t="s">
        <v>195</v>
      </c>
      <c r="E247" s="1374" t="s">
        <v>74</v>
      </c>
      <c r="F247" s="1374" t="s">
        <v>1870</v>
      </c>
      <c r="G247" s="1178" t="s">
        <v>1829</v>
      </c>
      <c r="H247" s="1172"/>
      <c r="I247" s="1172"/>
      <c r="J247" s="1172"/>
      <c r="K247" s="1172"/>
      <c r="L247" s="1173">
        <v>100000</v>
      </c>
      <c r="M247" s="1172"/>
      <c r="N247" s="1172"/>
      <c r="O247" s="1172"/>
      <c r="P247" s="1174"/>
      <c r="Q247" s="1175"/>
      <c r="R247" s="1172"/>
      <c r="S247" s="1172"/>
      <c r="T247" s="1172"/>
      <c r="U247" s="1172"/>
      <c r="V247" s="1172"/>
      <c r="W247" s="1172"/>
      <c r="X247" s="1176"/>
    </row>
    <row r="248" spans="1:24" ht="20.25" customHeight="1" x14ac:dyDescent="0.2">
      <c r="A248" s="2068" t="s">
        <v>785</v>
      </c>
      <c r="B248" s="2067" t="s">
        <v>1616</v>
      </c>
      <c r="C248" s="2087" t="s">
        <v>2140</v>
      </c>
      <c r="D248" s="1177" t="s">
        <v>188</v>
      </c>
      <c r="E248" s="1374" t="s">
        <v>542</v>
      </c>
      <c r="F248" s="1374" t="s">
        <v>449</v>
      </c>
      <c r="G248" s="1178" t="s">
        <v>1828</v>
      </c>
      <c r="H248" s="1172"/>
      <c r="I248" s="1172"/>
      <c r="J248" s="1172">
        <f>-948500-256095</f>
        <v>-1204595</v>
      </c>
      <c r="K248" s="1172"/>
      <c r="L248" s="1173"/>
      <c r="M248" s="1172"/>
      <c r="N248" s="1172"/>
      <c r="O248" s="1172"/>
      <c r="P248" s="1174"/>
      <c r="Q248" s="1175"/>
      <c r="R248" s="1172"/>
      <c r="S248" s="1172"/>
      <c r="T248" s="1172"/>
      <c r="U248" s="1172"/>
      <c r="V248" s="1172"/>
      <c r="W248" s="1172"/>
      <c r="X248" s="1176"/>
    </row>
    <row r="249" spans="1:24" ht="20.25" customHeight="1" x14ac:dyDescent="0.2">
      <c r="A249" s="2068"/>
      <c r="B249" s="2067"/>
      <c r="C249" s="2087"/>
      <c r="D249" s="1177" t="s">
        <v>193</v>
      </c>
      <c r="E249" s="1374" t="s">
        <v>542</v>
      </c>
      <c r="F249" s="1374" t="s">
        <v>449</v>
      </c>
      <c r="G249" s="1178" t="s">
        <v>1829</v>
      </c>
      <c r="H249" s="1172"/>
      <c r="I249" s="1172"/>
      <c r="J249" s="1172"/>
      <c r="K249" s="1172"/>
      <c r="L249" s="1173"/>
      <c r="M249" s="1172">
        <f>948500+256095</f>
        <v>1204595</v>
      </c>
      <c r="N249" s="1172"/>
      <c r="O249" s="1172"/>
      <c r="P249" s="1174"/>
      <c r="Q249" s="1175"/>
      <c r="R249" s="1172"/>
      <c r="S249" s="1172"/>
      <c r="T249" s="1172"/>
      <c r="U249" s="1172"/>
      <c r="V249" s="1172"/>
      <c r="W249" s="1172"/>
      <c r="X249" s="1176"/>
    </row>
    <row r="250" spans="1:24" ht="27.75" customHeight="1" x14ac:dyDescent="0.2">
      <c r="A250" s="2052" t="s">
        <v>786</v>
      </c>
      <c r="B250" s="2054" t="s">
        <v>1617</v>
      </c>
      <c r="C250" s="2056" t="s">
        <v>2148</v>
      </c>
      <c r="D250" s="1177" t="s">
        <v>195</v>
      </c>
      <c r="E250" s="1374" t="s">
        <v>74</v>
      </c>
      <c r="F250" s="1374" t="s">
        <v>1870</v>
      </c>
      <c r="G250" s="1178" t="s">
        <v>1828</v>
      </c>
      <c r="H250" s="1172"/>
      <c r="I250" s="1172"/>
      <c r="J250" s="1172"/>
      <c r="K250" s="1172"/>
      <c r="L250" s="1173">
        <v>-1270000</v>
      </c>
      <c r="M250" s="1172"/>
      <c r="N250" s="1172"/>
      <c r="O250" s="1172"/>
      <c r="P250" s="1174"/>
      <c r="Q250" s="1175"/>
      <c r="R250" s="1172"/>
      <c r="S250" s="1172"/>
      <c r="T250" s="1172"/>
      <c r="U250" s="1172"/>
      <c r="V250" s="1172"/>
      <c r="W250" s="1172"/>
      <c r="X250" s="1176"/>
    </row>
    <row r="251" spans="1:24" ht="27.75" customHeight="1" x14ac:dyDescent="0.2">
      <c r="A251" s="2053"/>
      <c r="B251" s="2055"/>
      <c r="C251" s="2057"/>
      <c r="D251" s="1177" t="s">
        <v>197</v>
      </c>
      <c r="E251" s="1374" t="s">
        <v>1288</v>
      </c>
      <c r="F251" s="1374" t="s">
        <v>535</v>
      </c>
      <c r="G251" s="1178" t="s">
        <v>1829</v>
      </c>
      <c r="H251" s="1172"/>
      <c r="I251" s="1172"/>
      <c r="J251" s="1172"/>
      <c r="K251" s="1172"/>
      <c r="L251" s="1173"/>
      <c r="M251" s="1172"/>
      <c r="N251" s="1172"/>
      <c r="O251" s="1172"/>
      <c r="P251" s="1174">
        <v>1270000</v>
      </c>
      <c r="Q251" s="1175"/>
      <c r="R251" s="1172"/>
      <c r="S251" s="1172"/>
      <c r="T251" s="1172"/>
      <c r="U251" s="1172"/>
      <c r="V251" s="1172"/>
      <c r="W251" s="1172"/>
      <c r="X251" s="1176"/>
    </row>
    <row r="252" spans="1:24" ht="23.25" customHeight="1" x14ac:dyDescent="0.2">
      <c r="A252" s="2052" t="s">
        <v>787</v>
      </c>
      <c r="B252" s="2054" t="s">
        <v>1618</v>
      </c>
      <c r="C252" s="2056" t="s">
        <v>2144</v>
      </c>
      <c r="D252" s="1177" t="s">
        <v>193</v>
      </c>
      <c r="E252" s="1374" t="s">
        <v>130</v>
      </c>
      <c r="F252" s="1374" t="s">
        <v>91</v>
      </c>
      <c r="G252" s="1178" t="s">
        <v>1828</v>
      </c>
      <c r="H252" s="1172"/>
      <c r="I252" s="1172"/>
      <c r="J252" s="1172"/>
      <c r="K252" s="1172"/>
      <c r="L252" s="1173"/>
      <c r="M252" s="1172">
        <f>-3171654-856346</f>
        <v>-4028000</v>
      </c>
      <c r="N252" s="1172"/>
      <c r="O252" s="1172"/>
      <c r="P252" s="1174"/>
      <c r="Q252" s="1175"/>
      <c r="R252" s="1172"/>
      <c r="S252" s="1172"/>
      <c r="T252" s="1172"/>
      <c r="U252" s="1172"/>
      <c r="V252" s="1172"/>
      <c r="W252" s="1172"/>
      <c r="X252" s="1176"/>
    </row>
    <row r="253" spans="1:24" ht="23.25" customHeight="1" x14ac:dyDescent="0.2">
      <c r="A253" s="2053"/>
      <c r="B253" s="2055"/>
      <c r="C253" s="2057"/>
      <c r="D253" s="1177" t="s">
        <v>193</v>
      </c>
      <c r="E253" s="1374" t="s">
        <v>130</v>
      </c>
      <c r="F253" s="1374" t="s">
        <v>152</v>
      </c>
      <c r="G253" s="1178" t="s">
        <v>1829</v>
      </c>
      <c r="H253" s="1172"/>
      <c r="I253" s="1172"/>
      <c r="J253" s="1172"/>
      <c r="K253" s="1172"/>
      <c r="L253" s="1173"/>
      <c r="M253" s="1172">
        <v>4028000</v>
      </c>
      <c r="N253" s="1172"/>
      <c r="O253" s="1172"/>
      <c r="P253" s="1174"/>
      <c r="Q253" s="1175"/>
      <c r="R253" s="1172"/>
      <c r="S253" s="1172"/>
      <c r="T253" s="1172"/>
      <c r="U253" s="1172"/>
      <c r="V253" s="1172"/>
      <c r="W253" s="1172"/>
      <c r="X253" s="1176"/>
    </row>
    <row r="254" spans="1:24" ht="26.25" customHeight="1" x14ac:dyDescent="0.2">
      <c r="A254" s="2052" t="s">
        <v>788</v>
      </c>
      <c r="B254" s="2054" t="s">
        <v>1619</v>
      </c>
      <c r="C254" s="2056" t="s">
        <v>2205</v>
      </c>
      <c r="D254" s="1177" t="s">
        <v>198</v>
      </c>
      <c r="E254" s="1374" t="s">
        <v>1375</v>
      </c>
      <c r="F254" s="1374" t="s">
        <v>1878</v>
      </c>
      <c r="G254" s="1178" t="s">
        <v>1829</v>
      </c>
      <c r="H254" s="1172"/>
      <c r="I254" s="1172"/>
      <c r="J254" s="1172"/>
      <c r="K254" s="1172"/>
      <c r="L254" s="1173"/>
      <c r="M254" s="1172"/>
      <c r="N254" s="1172"/>
      <c r="O254" s="1172"/>
      <c r="P254" s="1174"/>
      <c r="Q254" s="1175">
        <v>2453191</v>
      </c>
      <c r="R254" s="1172"/>
      <c r="S254" s="1172"/>
      <c r="T254" s="1172"/>
      <c r="U254" s="1172"/>
      <c r="V254" s="1172"/>
      <c r="W254" s="1172"/>
      <c r="X254" s="1176"/>
    </row>
    <row r="255" spans="1:24" ht="26.25" customHeight="1" x14ac:dyDescent="0.2">
      <c r="A255" s="2053"/>
      <c r="B255" s="2055"/>
      <c r="C255" s="2057"/>
      <c r="D255" s="1177" t="s">
        <v>195</v>
      </c>
      <c r="E255" s="1374" t="s">
        <v>74</v>
      </c>
      <c r="F255" s="1374" t="s">
        <v>1870</v>
      </c>
      <c r="G255" s="1178" t="s">
        <v>1829</v>
      </c>
      <c r="H255" s="1172"/>
      <c r="I255" s="1172"/>
      <c r="J255" s="1172"/>
      <c r="K255" s="1172"/>
      <c r="L255" s="1173">
        <v>2453191</v>
      </c>
      <c r="M255" s="1172"/>
      <c r="N255" s="1172"/>
      <c r="O255" s="1172"/>
      <c r="P255" s="1174"/>
      <c r="Q255" s="1175"/>
      <c r="R255" s="1172"/>
      <c r="S255" s="1172"/>
      <c r="T255" s="1172"/>
      <c r="U255" s="1172"/>
      <c r="V255" s="1172"/>
      <c r="W255" s="1172"/>
      <c r="X255" s="1176"/>
    </row>
    <row r="256" spans="1:24" ht="27.75" customHeight="1" x14ac:dyDescent="0.2">
      <c r="A256" s="2052" t="s">
        <v>789</v>
      </c>
      <c r="B256" s="2054" t="s">
        <v>1620</v>
      </c>
      <c r="C256" s="2056" t="s">
        <v>2398</v>
      </c>
      <c r="D256" s="1177" t="s">
        <v>193</v>
      </c>
      <c r="E256" s="1374" t="s">
        <v>583</v>
      </c>
      <c r="F256" s="1374" t="s">
        <v>1457</v>
      </c>
      <c r="G256" s="1178" t="s">
        <v>1828</v>
      </c>
      <c r="H256" s="1172"/>
      <c r="I256" s="1172"/>
      <c r="J256" s="1172"/>
      <c r="K256" s="1172"/>
      <c r="L256" s="1173"/>
      <c r="M256" s="1172">
        <f>-11811024-3188976</f>
        <v>-15000000</v>
      </c>
      <c r="N256" s="1172"/>
      <c r="O256" s="1172"/>
      <c r="P256" s="1174"/>
      <c r="Q256" s="1175"/>
      <c r="R256" s="1172"/>
      <c r="S256" s="1172"/>
      <c r="T256" s="1172"/>
      <c r="U256" s="1172"/>
      <c r="V256" s="1172"/>
      <c r="W256" s="1172"/>
      <c r="X256" s="1176"/>
    </row>
    <row r="257" spans="1:24" ht="27.75" customHeight="1" x14ac:dyDescent="0.2">
      <c r="A257" s="2053"/>
      <c r="B257" s="2055"/>
      <c r="C257" s="2057"/>
      <c r="D257" s="1177" t="s">
        <v>193</v>
      </c>
      <c r="E257" s="1374" t="s">
        <v>130</v>
      </c>
      <c r="F257" s="1374" t="s">
        <v>152</v>
      </c>
      <c r="G257" s="1178" t="s">
        <v>1829</v>
      </c>
      <c r="H257" s="1172"/>
      <c r="I257" s="1172"/>
      <c r="J257" s="1172"/>
      <c r="K257" s="1172"/>
      <c r="L257" s="1173"/>
      <c r="M257" s="1172">
        <f>5800000+9200000</f>
        <v>15000000</v>
      </c>
      <c r="N257" s="1172"/>
      <c r="O257" s="1172"/>
      <c r="P257" s="1174"/>
      <c r="Q257" s="1175"/>
      <c r="R257" s="1172"/>
      <c r="S257" s="1172"/>
      <c r="T257" s="1172"/>
      <c r="U257" s="1172"/>
      <c r="V257" s="1172"/>
      <c r="W257" s="1172"/>
      <c r="X257" s="1176"/>
    </row>
    <row r="258" spans="1:24" ht="18.75" x14ac:dyDescent="0.3">
      <c r="A258" s="2082" t="s">
        <v>1749</v>
      </c>
      <c r="B258" s="2083"/>
      <c r="C258" s="2084"/>
      <c r="D258" s="1179"/>
      <c r="E258" s="1179"/>
      <c r="F258" s="1179"/>
      <c r="G258" s="1179"/>
      <c r="H258" s="1365">
        <f t="shared" ref="H258:X258" si="0">SUM(H6:H257)</f>
        <v>1739280</v>
      </c>
      <c r="I258" s="1365">
        <f t="shared" si="0"/>
        <v>203496</v>
      </c>
      <c r="J258" s="1365">
        <f t="shared" si="0"/>
        <v>378667810</v>
      </c>
      <c r="K258" s="1365">
        <f t="shared" si="0"/>
        <v>0</v>
      </c>
      <c r="L258" s="1365">
        <f t="shared" si="0"/>
        <v>-124481945</v>
      </c>
      <c r="M258" s="1365">
        <f t="shared" si="0"/>
        <v>339584114</v>
      </c>
      <c r="N258" s="1365">
        <f t="shared" si="0"/>
        <v>-121327904</v>
      </c>
      <c r="O258" s="1365">
        <f t="shared" si="0"/>
        <v>968750</v>
      </c>
      <c r="P258" s="1366">
        <f t="shared" si="0"/>
        <v>143652101</v>
      </c>
      <c r="Q258" s="1367">
        <f t="shared" si="0"/>
        <v>164543481</v>
      </c>
      <c r="R258" s="1365">
        <f t="shared" si="0"/>
        <v>314960630</v>
      </c>
      <c r="S258" s="1365">
        <f t="shared" si="0"/>
        <v>1083679</v>
      </c>
      <c r="T258" s="1365">
        <f t="shared" si="0"/>
        <v>30753759</v>
      </c>
      <c r="U258" s="1365">
        <f t="shared" si="0"/>
        <v>100000</v>
      </c>
      <c r="V258" s="1365">
        <f t="shared" si="0"/>
        <v>0</v>
      </c>
      <c r="W258" s="1365">
        <f t="shared" si="0"/>
        <v>968750</v>
      </c>
      <c r="X258" s="1366">
        <f t="shared" si="0"/>
        <v>106595403</v>
      </c>
    </row>
    <row r="259" spans="1:24" ht="18.75" customHeight="1" x14ac:dyDescent="0.2">
      <c r="A259" s="1144"/>
      <c r="B259" s="1144"/>
      <c r="C259" s="1183"/>
      <c r="D259" s="1184"/>
      <c r="E259" s="1184"/>
      <c r="F259" s="1184"/>
      <c r="G259" s="1184"/>
      <c r="H259" s="1185"/>
      <c r="I259" s="1185"/>
      <c r="J259" s="1185"/>
      <c r="K259" s="1185"/>
      <c r="L259" s="1185"/>
      <c r="M259" s="1185"/>
      <c r="N259" s="1185"/>
      <c r="O259" s="1185"/>
      <c r="P259" s="1185"/>
      <c r="Q259" s="1185"/>
      <c r="R259" s="1185"/>
      <c r="S259" s="1185"/>
      <c r="T259" s="1185"/>
      <c r="U259" s="1185"/>
      <c r="V259" s="1185"/>
      <c r="W259" s="1185"/>
      <c r="X259" s="1185"/>
    </row>
    <row r="260" spans="1:24" ht="17.25" customHeight="1" x14ac:dyDescent="0.2">
      <c r="A260" s="1144"/>
      <c r="B260" s="1144"/>
      <c r="C260" s="1183"/>
      <c r="D260" s="1184"/>
      <c r="E260" s="1184"/>
      <c r="F260" s="1184"/>
      <c r="G260" s="1184"/>
      <c r="H260" s="1185"/>
      <c r="I260" s="1185"/>
      <c r="J260" s="1185"/>
      <c r="K260" s="1185"/>
      <c r="L260" s="1185"/>
      <c r="M260" s="1185"/>
      <c r="N260" s="1185"/>
      <c r="O260" s="1185"/>
      <c r="P260" s="1185"/>
      <c r="Q260" s="1185"/>
      <c r="R260" s="1185"/>
      <c r="S260" s="1185"/>
      <c r="T260" s="1185"/>
      <c r="U260" s="1185"/>
      <c r="V260" s="1185"/>
      <c r="W260" s="1185"/>
      <c r="X260" s="1185"/>
    </row>
    <row r="261" spans="1:24" ht="15" x14ac:dyDescent="0.2">
      <c r="A261" s="1186"/>
      <c r="B261" s="1186"/>
      <c r="C261" s="1187"/>
      <c r="D261" s="1188"/>
      <c r="E261" s="1188"/>
      <c r="F261" s="1188"/>
      <c r="G261" s="1188"/>
      <c r="H261" s="1189"/>
      <c r="I261" s="1189"/>
      <c r="J261" s="1189"/>
      <c r="K261" s="1189"/>
      <c r="L261" s="1189"/>
      <c r="M261" s="1189"/>
      <c r="N261" s="1189"/>
      <c r="O261" s="1189"/>
      <c r="P261" s="1189"/>
      <c r="Q261" s="1189"/>
      <c r="R261" s="1189"/>
      <c r="S261" s="1189"/>
      <c r="T261" s="1189"/>
      <c r="U261" s="1189"/>
      <c r="V261" s="1189"/>
      <c r="W261" s="1189"/>
      <c r="X261" s="1189"/>
    </row>
    <row r="262" spans="1:24" ht="21.75" customHeight="1" x14ac:dyDescent="0.25">
      <c r="A262" s="1190"/>
      <c r="B262" s="1190"/>
      <c r="C262" s="1191"/>
      <c r="D262" s="1192"/>
      <c r="E262" s="1192"/>
      <c r="F262" s="1192"/>
      <c r="G262" s="1192"/>
      <c r="H262" s="1193"/>
      <c r="I262" s="2066" t="s">
        <v>1750</v>
      </c>
      <c r="J262" s="2066"/>
      <c r="K262" s="2066"/>
      <c r="L262" s="2066">
        <v>10895463186</v>
      </c>
      <c r="M262" s="2066"/>
      <c r="N262" s="1193"/>
      <c r="O262" s="1193"/>
      <c r="P262" s="1193"/>
      <c r="Q262" s="1193"/>
      <c r="R262" s="2066" t="s">
        <v>1751</v>
      </c>
      <c r="S262" s="2066"/>
      <c r="T262" s="2066"/>
      <c r="U262" s="2066">
        <v>10895463186</v>
      </c>
      <c r="V262" s="2066"/>
      <c r="W262" s="1193"/>
      <c r="X262" s="1193"/>
    </row>
    <row r="263" spans="1:24" ht="21" customHeight="1" x14ac:dyDescent="0.25">
      <c r="A263" s="1190"/>
      <c r="B263" s="1190"/>
      <c r="C263" s="1191"/>
      <c r="D263" s="1192"/>
      <c r="E263" s="1192"/>
      <c r="F263" s="1192"/>
      <c r="G263" s="1192"/>
      <c r="H263" s="1193"/>
      <c r="I263" s="2066" t="s">
        <v>3474</v>
      </c>
      <c r="J263" s="2066"/>
      <c r="K263" s="2066"/>
      <c r="L263" s="2066">
        <f>SUM(H258:P258)</f>
        <v>619005702</v>
      </c>
      <c r="M263" s="2066"/>
      <c r="N263" s="1193"/>
      <c r="O263" s="1193"/>
      <c r="P263" s="1193"/>
      <c r="Q263" s="1193"/>
      <c r="R263" s="2066" t="s">
        <v>3474</v>
      </c>
      <c r="S263" s="2066"/>
      <c r="T263" s="2066"/>
      <c r="U263" s="2066">
        <f>SUM(Q258:X258)</f>
        <v>619005702</v>
      </c>
      <c r="V263" s="2066"/>
      <c r="W263" s="1193"/>
      <c r="X263" s="1193"/>
    </row>
    <row r="264" spans="1:24" ht="24.75" customHeight="1" x14ac:dyDescent="0.25">
      <c r="A264" s="1190"/>
      <c r="B264" s="1190"/>
      <c r="C264" s="1191"/>
      <c r="D264" s="1192"/>
      <c r="E264" s="1192"/>
      <c r="F264" s="1192"/>
      <c r="G264" s="1192"/>
      <c r="H264" s="1193"/>
      <c r="I264" s="2066" t="s">
        <v>1561</v>
      </c>
      <c r="J264" s="2066"/>
      <c r="K264" s="2066"/>
      <c r="L264" s="2066">
        <f>+L262+L263</f>
        <v>11514468888</v>
      </c>
      <c r="M264" s="2066"/>
      <c r="N264" s="1193"/>
      <c r="O264" s="1193"/>
      <c r="P264" s="1193"/>
      <c r="Q264" s="1193"/>
      <c r="R264" s="2066" t="s">
        <v>1561</v>
      </c>
      <c r="S264" s="2066"/>
      <c r="T264" s="2066"/>
      <c r="U264" s="2066">
        <f>+U262+U263</f>
        <v>11514468888</v>
      </c>
      <c r="V264" s="2066"/>
      <c r="W264" s="1193"/>
      <c r="X264" s="1193"/>
    </row>
    <row r="265" spans="1:24" ht="15" x14ac:dyDescent="0.25">
      <c r="A265" s="1190"/>
      <c r="B265" s="1190"/>
      <c r="C265" s="1191"/>
      <c r="D265" s="1192"/>
      <c r="E265" s="1192"/>
      <c r="F265" s="1192"/>
      <c r="G265" s="1192"/>
      <c r="H265" s="1193"/>
      <c r="I265" s="1193"/>
      <c r="J265" s="1193"/>
      <c r="K265" s="1193"/>
      <c r="L265" s="1193"/>
      <c r="M265" s="1193"/>
      <c r="N265" s="1193"/>
      <c r="O265" s="1193"/>
      <c r="P265" s="1193"/>
      <c r="Q265" s="1193"/>
      <c r="R265" s="1193"/>
      <c r="S265" s="1193"/>
      <c r="T265" s="1193"/>
      <c r="U265" s="1193"/>
      <c r="V265" s="1193"/>
      <c r="W265" s="1193"/>
      <c r="X265" s="1193"/>
    </row>
    <row r="266" spans="1:24" x14ac:dyDescent="0.2">
      <c r="A266" s="348"/>
      <c r="B266" s="348"/>
      <c r="C266" s="348"/>
      <c r="D266" s="348"/>
      <c r="E266" s="348"/>
      <c r="F266" s="348"/>
      <c r="G266" s="348"/>
      <c r="H266" s="348"/>
      <c r="I266" s="348"/>
      <c r="J266" s="348"/>
      <c r="K266" s="348"/>
      <c r="L266" s="348"/>
      <c r="M266" s="348"/>
      <c r="N266" s="348"/>
      <c r="O266" s="348"/>
      <c r="P266" s="348"/>
      <c r="Q266" s="348"/>
      <c r="R266" s="348"/>
      <c r="S266" s="348"/>
      <c r="T266" s="348"/>
      <c r="U266" s="348"/>
      <c r="V266" s="348"/>
      <c r="W266" s="348"/>
      <c r="X266" s="348"/>
    </row>
    <row r="267" spans="1:24" x14ac:dyDescent="0.2">
      <c r="A267" s="1144"/>
      <c r="B267" s="1144"/>
      <c r="C267" s="1145"/>
      <c r="D267" s="1146"/>
      <c r="E267" s="1147"/>
      <c r="F267" s="1148"/>
      <c r="G267" s="1147"/>
      <c r="H267" s="1149"/>
      <c r="I267" s="1149"/>
      <c r="J267" s="1149"/>
      <c r="K267" s="1149"/>
      <c r="L267" s="1150"/>
      <c r="M267" s="1149"/>
      <c r="N267" s="1149"/>
      <c r="O267" s="1149"/>
      <c r="P267" s="1150"/>
      <c r="Q267" s="1149"/>
      <c r="R267" s="1149"/>
      <c r="S267" s="1149"/>
      <c r="T267" s="1149"/>
      <c r="U267" s="1149"/>
      <c r="V267" s="1149"/>
      <c r="W267" s="1149"/>
      <c r="X267" s="1149"/>
    </row>
    <row r="268" spans="1:24" ht="15.75" x14ac:dyDescent="0.25">
      <c r="A268" s="2069" t="s">
        <v>2641</v>
      </c>
      <c r="B268" s="2069"/>
      <c r="C268" s="2069"/>
      <c r="D268" s="2069"/>
      <c r="E268" s="2069"/>
      <c r="F268" s="2069"/>
      <c r="G268" s="2069"/>
      <c r="H268" s="2069"/>
      <c r="I268" s="2069"/>
      <c r="J268" s="2069"/>
      <c r="K268" s="2069"/>
      <c r="L268" s="2069"/>
      <c r="M268" s="2069"/>
      <c r="N268" s="2069"/>
      <c r="O268" s="2069"/>
      <c r="P268" s="2069"/>
      <c r="Q268" s="2069"/>
      <c r="R268" s="2069"/>
      <c r="S268" s="2069"/>
      <c r="T268" s="2069"/>
      <c r="U268" s="2069"/>
      <c r="V268" s="2069"/>
      <c r="W268" s="2069"/>
      <c r="X268" s="2069"/>
    </row>
    <row r="269" spans="1:24" ht="24.75" customHeight="1" x14ac:dyDescent="0.2">
      <c r="A269" s="1151"/>
      <c r="B269" s="1144"/>
      <c r="C269" s="1145"/>
      <c r="D269" s="1146"/>
      <c r="E269" s="1147"/>
      <c r="F269" s="1148"/>
      <c r="G269" s="1147"/>
      <c r="H269" s="1149"/>
      <c r="I269" s="1149"/>
      <c r="J269" s="1149"/>
      <c r="K269" s="1149"/>
      <c r="L269" s="1150"/>
      <c r="M269" s="1149"/>
      <c r="N269" s="1149"/>
      <c r="O269" s="1149"/>
      <c r="P269" s="1150"/>
      <c r="Q269" s="1149"/>
      <c r="R269" s="1149"/>
      <c r="S269" s="1149"/>
      <c r="T269" s="1149"/>
      <c r="U269" s="1149"/>
      <c r="V269" s="1149"/>
      <c r="W269" s="1149"/>
      <c r="X269" s="1152"/>
    </row>
    <row r="270" spans="1:24" ht="15" customHeight="1" x14ac:dyDescent="0.25">
      <c r="A270" s="2070" t="s">
        <v>37</v>
      </c>
      <c r="B270" s="2072" t="s">
        <v>1726</v>
      </c>
      <c r="C270" s="2074" t="s">
        <v>2</v>
      </c>
      <c r="D270" s="2076" t="s">
        <v>1727</v>
      </c>
      <c r="E270" s="2076" t="s">
        <v>117</v>
      </c>
      <c r="F270" s="2076" t="s">
        <v>1728</v>
      </c>
      <c r="G270" s="2076" t="s">
        <v>1729</v>
      </c>
      <c r="H270" s="2078" t="s">
        <v>1730</v>
      </c>
      <c r="I270" s="2078"/>
      <c r="J270" s="2078"/>
      <c r="K270" s="2078"/>
      <c r="L270" s="2078"/>
      <c r="M270" s="2078"/>
      <c r="N270" s="2078"/>
      <c r="O270" s="2079"/>
      <c r="P270" s="1464"/>
      <c r="Q270" s="2080" t="s">
        <v>1731</v>
      </c>
      <c r="R270" s="2078"/>
      <c r="S270" s="2078"/>
      <c r="T270" s="2078"/>
      <c r="U270" s="2078"/>
      <c r="V270" s="2078"/>
      <c r="W270" s="2078"/>
      <c r="X270" s="2081"/>
    </row>
    <row r="271" spans="1:24" ht="87.75" customHeight="1" x14ac:dyDescent="0.2">
      <c r="A271" s="2071"/>
      <c r="B271" s="2073"/>
      <c r="C271" s="2075"/>
      <c r="D271" s="2077"/>
      <c r="E271" s="2077"/>
      <c r="F271" s="2077"/>
      <c r="G271" s="2077"/>
      <c r="H271" s="1154" t="s">
        <v>1732</v>
      </c>
      <c r="I271" s="1155" t="s">
        <v>1733</v>
      </c>
      <c r="J271" s="1154" t="s">
        <v>1734</v>
      </c>
      <c r="K271" s="1154" t="s">
        <v>1735</v>
      </c>
      <c r="L271" s="1154" t="s">
        <v>1736</v>
      </c>
      <c r="M271" s="1154" t="s">
        <v>1737</v>
      </c>
      <c r="N271" s="1154" t="s">
        <v>1738</v>
      </c>
      <c r="O271" s="1156" t="s">
        <v>1739</v>
      </c>
      <c r="P271" s="1159" t="s">
        <v>1740</v>
      </c>
      <c r="Q271" s="1227" t="s">
        <v>1741</v>
      </c>
      <c r="R271" s="1155" t="s">
        <v>1742</v>
      </c>
      <c r="S271" s="1154" t="s">
        <v>1743</v>
      </c>
      <c r="T271" s="1154" t="s">
        <v>1744</v>
      </c>
      <c r="U271" s="1155" t="s">
        <v>1745</v>
      </c>
      <c r="V271" s="1155" t="s">
        <v>1746</v>
      </c>
      <c r="W271" s="1155" t="s">
        <v>1747</v>
      </c>
      <c r="X271" s="1159" t="s">
        <v>1748</v>
      </c>
    </row>
    <row r="272" spans="1:24" ht="42.75" customHeight="1" x14ac:dyDescent="0.2">
      <c r="A272" s="1495" t="s">
        <v>790</v>
      </c>
      <c r="B272" s="1636" t="s">
        <v>1621</v>
      </c>
      <c r="C272" s="1475" t="s">
        <v>2234</v>
      </c>
      <c r="D272" s="1162" t="s">
        <v>193</v>
      </c>
      <c r="E272" s="1373" t="s">
        <v>130</v>
      </c>
      <c r="F272" s="1373" t="s">
        <v>91</v>
      </c>
      <c r="G272" s="1163" t="s">
        <v>1837</v>
      </c>
      <c r="H272" s="1164"/>
      <c r="I272" s="1164"/>
      <c r="J272" s="1164"/>
      <c r="K272" s="1164"/>
      <c r="L272" s="1165"/>
      <c r="M272" s="1164">
        <f>-950000-256500+950000+256500</f>
        <v>0</v>
      </c>
      <c r="N272" s="1164"/>
      <c r="O272" s="1164"/>
      <c r="P272" s="1203"/>
      <c r="Q272" s="1463"/>
      <c r="R272" s="1164"/>
      <c r="S272" s="1164"/>
      <c r="T272" s="1164"/>
      <c r="U272" s="1164"/>
      <c r="V272" s="1164"/>
      <c r="W272" s="1164"/>
      <c r="X272" s="1168"/>
    </row>
    <row r="273" spans="1:24" ht="20.25" customHeight="1" x14ac:dyDescent="0.2">
      <c r="A273" s="2052" t="s">
        <v>791</v>
      </c>
      <c r="B273" s="2054" t="s">
        <v>1622</v>
      </c>
      <c r="C273" s="2056" t="s">
        <v>2236</v>
      </c>
      <c r="D273" s="1170" t="s">
        <v>188</v>
      </c>
      <c r="E273" s="1462" t="s">
        <v>1980</v>
      </c>
      <c r="F273" s="1462" t="s">
        <v>1979</v>
      </c>
      <c r="G273" s="1311" t="s">
        <v>1828</v>
      </c>
      <c r="H273" s="1172"/>
      <c r="I273" s="1172"/>
      <c r="J273" s="1172">
        <f>-2520000-680400</f>
        <v>-3200400</v>
      </c>
      <c r="K273" s="1172"/>
      <c r="L273" s="1173"/>
      <c r="M273" s="1172"/>
      <c r="N273" s="1172"/>
      <c r="O273" s="1172"/>
      <c r="P273" s="1174"/>
      <c r="Q273" s="1175"/>
      <c r="R273" s="1172"/>
      <c r="S273" s="1172"/>
      <c r="T273" s="1172"/>
      <c r="U273" s="1172"/>
      <c r="V273" s="1172"/>
      <c r="W273" s="1172"/>
      <c r="X273" s="1176"/>
    </row>
    <row r="274" spans="1:24" ht="20.25" customHeight="1" x14ac:dyDescent="0.2">
      <c r="A274" s="2053"/>
      <c r="B274" s="2055"/>
      <c r="C274" s="2057"/>
      <c r="D274" s="1170" t="s">
        <v>188</v>
      </c>
      <c r="E274" s="1462" t="s">
        <v>2129</v>
      </c>
      <c r="F274" s="1462" t="s">
        <v>2128</v>
      </c>
      <c r="G274" s="1311" t="s">
        <v>1829</v>
      </c>
      <c r="H274" s="1172"/>
      <c r="I274" s="1172"/>
      <c r="J274" s="1172">
        <f>2520000+680400</f>
        <v>3200400</v>
      </c>
      <c r="K274" s="1172"/>
      <c r="L274" s="1173"/>
      <c r="M274" s="1172"/>
      <c r="N274" s="1172"/>
      <c r="O274" s="1172"/>
      <c r="P274" s="1174"/>
      <c r="Q274" s="1175"/>
      <c r="R274" s="1172"/>
      <c r="S274" s="1172"/>
      <c r="T274" s="1172"/>
      <c r="U274" s="1172"/>
      <c r="V274" s="1172"/>
      <c r="W274" s="1172"/>
      <c r="X274" s="1176"/>
    </row>
    <row r="275" spans="1:24" ht="39.75" customHeight="1" x14ac:dyDescent="0.2">
      <c r="A275" s="2052" t="s">
        <v>792</v>
      </c>
      <c r="B275" s="2054" t="s">
        <v>2306</v>
      </c>
      <c r="C275" s="2056" t="s">
        <v>2348</v>
      </c>
      <c r="D275" s="1170" t="s">
        <v>195</v>
      </c>
      <c r="E275" s="1462" t="s">
        <v>74</v>
      </c>
      <c r="F275" s="1462" t="s">
        <v>1870</v>
      </c>
      <c r="G275" s="1311" t="s">
        <v>1828</v>
      </c>
      <c r="H275" s="1172"/>
      <c r="I275" s="1172"/>
      <c r="J275" s="1172"/>
      <c r="K275" s="1172"/>
      <c r="L275" s="1173">
        <v>-21590000</v>
      </c>
      <c r="M275" s="1172"/>
      <c r="N275" s="1172"/>
      <c r="O275" s="1172"/>
      <c r="P275" s="1174"/>
      <c r="Q275" s="1175"/>
      <c r="R275" s="1172"/>
      <c r="S275" s="1172"/>
      <c r="T275" s="1172"/>
      <c r="U275" s="1172"/>
      <c r="V275" s="1172"/>
      <c r="W275" s="1172"/>
      <c r="X275" s="1176"/>
    </row>
    <row r="276" spans="1:24" ht="39.75" customHeight="1" x14ac:dyDescent="0.2">
      <c r="A276" s="2053"/>
      <c r="B276" s="2055"/>
      <c r="C276" s="2057"/>
      <c r="D276" s="1170" t="s">
        <v>193</v>
      </c>
      <c r="E276" s="1462" t="s">
        <v>620</v>
      </c>
      <c r="F276" s="1462" t="s">
        <v>134</v>
      </c>
      <c r="G276" s="1311" t="s">
        <v>1829</v>
      </c>
      <c r="H276" s="1172"/>
      <c r="I276" s="1172"/>
      <c r="J276" s="1172"/>
      <c r="K276" s="1172"/>
      <c r="L276" s="1173"/>
      <c r="M276" s="1172">
        <f>17000000+4590000</f>
        <v>21590000</v>
      </c>
      <c r="N276" s="1172"/>
      <c r="O276" s="1172"/>
      <c r="P276" s="1174"/>
      <c r="Q276" s="1175"/>
      <c r="R276" s="1172"/>
      <c r="S276" s="1172"/>
      <c r="T276" s="1172"/>
      <c r="U276" s="1172"/>
      <c r="V276" s="1172"/>
      <c r="W276" s="1172"/>
      <c r="X276" s="1176"/>
    </row>
    <row r="277" spans="1:24" ht="34.5" customHeight="1" x14ac:dyDescent="0.2">
      <c r="A277" s="2052" t="s">
        <v>793</v>
      </c>
      <c r="B277" s="2054" t="s">
        <v>2305</v>
      </c>
      <c r="C277" s="2056" t="s">
        <v>2237</v>
      </c>
      <c r="D277" s="1170" t="s">
        <v>195</v>
      </c>
      <c r="E277" s="1462" t="s">
        <v>74</v>
      </c>
      <c r="F277" s="1462" t="s">
        <v>1870</v>
      </c>
      <c r="G277" s="1311" t="s">
        <v>1828</v>
      </c>
      <c r="H277" s="1172"/>
      <c r="I277" s="1172"/>
      <c r="J277" s="1172"/>
      <c r="K277" s="1172"/>
      <c r="L277" s="1173">
        <v>-1981200</v>
      </c>
      <c r="M277" s="1172"/>
      <c r="N277" s="1172"/>
      <c r="O277" s="1172"/>
      <c r="P277" s="1174"/>
      <c r="Q277" s="1175"/>
      <c r="R277" s="1172"/>
      <c r="S277" s="1172"/>
      <c r="T277" s="1172"/>
      <c r="U277" s="1172"/>
      <c r="V277" s="1172"/>
      <c r="W277" s="1172"/>
      <c r="X277" s="1176"/>
    </row>
    <row r="278" spans="1:24" ht="34.5" customHeight="1" x14ac:dyDescent="0.2">
      <c r="A278" s="2053"/>
      <c r="B278" s="2055"/>
      <c r="C278" s="2057"/>
      <c r="D278" s="1170" t="s">
        <v>197</v>
      </c>
      <c r="E278" s="1462" t="s">
        <v>1288</v>
      </c>
      <c r="F278" s="1462" t="s">
        <v>535</v>
      </c>
      <c r="G278" s="1311" t="s">
        <v>1829</v>
      </c>
      <c r="H278" s="1172"/>
      <c r="I278" s="1172"/>
      <c r="J278" s="1172"/>
      <c r="K278" s="1172"/>
      <c r="L278" s="1173"/>
      <c r="M278" s="1172"/>
      <c r="N278" s="1172"/>
      <c r="O278" s="1172"/>
      <c r="P278" s="1174">
        <v>1981200</v>
      </c>
      <c r="Q278" s="1175"/>
      <c r="R278" s="1172"/>
      <c r="S278" s="1172"/>
      <c r="T278" s="1172"/>
      <c r="U278" s="1172"/>
      <c r="V278" s="1172"/>
      <c r="W278" s="1172"/>
      <c r="X278" s="1176"/>
    </row>
    <row r="279" spans="1:24" ht="27.75" customHeight="1" x14ac:dyDescent="0.2">
      <c r="A279" s="2052" t="s">
        <v>801</v>
      </c>
      <c r="B279" s="2054" t="s">
        <v>1625</v>
      </c>
      <c r="C279" s="2056" t="s">
        <v>2239</v>
      </c>
      <c r="D279" s="1170" t="s">
        <v>195</v>
      </c>
      <c r="E279" s="1462" t="s">
        <v>74</v>
      </c>
      <c r="F279" s="1462" t="s">
        <v>1870</v>
      </c>
      <c r="G279" s="1311" t="s">
        <v>1828</v>
      </c>
      <c r="H279" s="1172"/>
      <c r="I279" s="1172"/>
      <c r="J279" s="1172"/>
      <c r="K279" s="1172"/>
      <c r="L279" s="1173">
        <v>-1739900</v>
      </c>
      <c r="M279" s="1172"/>
      <c r="N279" s="1172"/>
      <c r="O279" s="1172"/>
      <c r="P279" s="1174"/>
      <c r="Q279" s="1175"/>
      <c r="R279" s="1172"/>
      <c r="S279" s="1172"/>
      <c r="T279" s="1172"/>
      <c r="U279" s="1172"/>
      <c r="V279" s="1172"/>
      <c r="W279" s="1172"/>
      <c r="X279" s="1176"/>
    </row>
    <row r="280" spans="1:24" ht="27.75" customHeight="1" x14ac:dyDescent="0.2">
      <c r="A280" s="2053"/>
      <c r="B280" s="2055"/>
      <c r="C280" s="2057"/>
      <c r="D280" s="1170" t="s">
        <v>197</v>
      </c>
      <c r="E280" s="1462" t="s">
        <v>1288</v>
      </c>
      <c r="F280" s="1462" t="s">
        <v>535</v>
      </c>
      <c r="G280" s="1311" t="s">
        <v>1829</v>
      </c>
      <c r="H280" s="1172"/>
      <c r="I280" s="1172"/>
      <c r="J280" s="1172"/>
      <c r="K280" s="1172"/>
      <c r="L280" s="1173"/>
      <c r="M280" s="1172"/>
      <c r="N280" s="1172"/>
      <c r="O280" s="1172"/>
      <c r="P280" s="1174">
        <v>1739900</v>
      </c>
      <c r="Q280" s="1175"/>
      <c r="R280" s="1172"/>
      <c r="S280" s="1172"/>
      <c r="T280" s="1172"/>
      <c r="U280" s="1172"/>
      <c r="V280" s="1172"/>
      <c r="W280" s="1172"/>
      <c r="X280" s="1176"/>
    </row>
    <row r="281" spans="1:24" ht="19.5" customHeight="1" x14ac:dyDescent="0.2">
      <c r="A281" s="2052" t="s">
        <v>800</v>
      </c>
      <c r="B281" s="2054" t="s">
        <v>1626</v>
      </c>
      <c r="C281" s="2056" t="s">
        <v>2355</v>
      </c>
      <c r="D281" s="1170" t="s">
        <v>195</v>
      </c>
      <c r="E281" s="1462" t="s">
        <v>74</v>
      </c>
      <c r="F281" s="1462" t="s">
        <v>1870</v>
      </c>
      <c r="G281" s="1311" t="s">
        <v>1828</v>
      </c>
      <c r="H281" s="1172"/>
      <c r="I281" s="1172"/>
      <c r="J281" s="1172"/>
      <c r="K281" s="1172"/>
      <c r="L281" s="1173">
        <v>-6062505</v>
      </c>
      <c r="M281" s="1172"/>
      <c r="N281" s="1172"/>
      <c r="O281" s="1172"/>
      <c r="P281" s="1174"/>
      <c r="Q281" s="1175"/>
      <c r="R281" s="1172"/>
      <c r="S281" s="1172"/>
      <c r="T281" s="1172"/>
      <c r="U281" s="1172"/>
      <c r="V281" s="1172"/>
      <c r="W281" s="1172"/>
      <c r="X281" s="1176"/>
    </row>
    <row r="282" spans="1:24" ht="19.5" customHeight="1" x14ac:dyDescent="0.2">
      <c r="A282" s="2061"/>
      <c r="B282" s="2060"/>
      <c r="C282" s="2065"/>
      <c r="D282" s="1170" t="s">
        <v>193</v>
      </c>
      <c r="E282" s="1462" t="s">
        <v>583</v>
      </c>
      <c r="F282" s="1462" t="s">
        <v>128</v>
      </c>
      <c r="G282" s="1311" t="s">
        <v>1829</v>
      </c>
      <c r="H282" s="1172"/>
      <c r="I282" s="1172"/>
      <c r="J282" s="1172"/>
      <c r="K282" s="1172"/>
      <c r="L282" s="1173"/>
      <c r="M282" s="1172">
        <v>4773626</v>
      </c>
      <c r="N282" s="1172"/>
      <c r="O282" s="1172"/>
      <c r="P282" s="1174"/>
      <c r="Q282" s="1175"/>
      <c r="R282" s="1172"/>
      <c r="S282" s="1172"/>
      <c r="T282" s="1172"/>
      <c r="U282" s="1172"/>
      <c r="V282" s="1172"/>
      <c r="W282" s="1172"/>
      <c r="X282" s="1176"/>
    </row>
    <row r="283" spans="1:24" ht="19.5" customHeight="1" x14ac:dyDescent="0.2">
      <c r="A283" s="2053"/>
      <c r="B283" s="2055"/>
      <c r="C283" s="2057"/>
      <c r="D283" s="1170" t="s">
        <v>188</v>
      </c>
      <c r="E283" s="1462" t="s">
        <v>74</v>
      </c>
      <c r="F283" s="1462" t="s">
        <v>2241</v>
      </c>
      <c r="G283" s="1311" t="s">
        <v>1829</v>
      </c>
      <c r="H283" s="1172"/>
      <c r="I283" s="1172"/>
      <c r="J283" s="1172">
        <v>1288879</v>
      </c>
      <c r="K283" s="1172"/>
      <c r="L283" s="1173"/>
      <c r="M283" s="1172"/>
      <c r="N283" s="1172"/>
      <c r="O283" s="1172"/>
      <c r="P283" s="1174"/>
      <c r="Q283" s="1175"/>
      <c r="R283" s="1172"/>
      <c r="S283" s="1172"/>
      <c r="T283" s="1172"/>
      <c r="U283" s="1172"/>
      <c r="V283" s="1172"/>
      <c r="W283" s="1172"/>
      <c r="X283" s="1176"/>
    </row>
    <row r="284" spans="1:24" ht="17.25" customHeight="1" x14ac:dyDescent="0.2">
      <c r="A284" s="2052" t="s">
        <v>802</v>
      </c>
      <c r="B284" s="2054" t="s">
        <v>1627</v>
      </c>
      <c r="C284" s="2056" t="s">
        <v>2243</v>
      </c>
      <c r="D284" s="1170" t="s">
        <v>193</v>
      </c>
      <c r="E284" s="1462" t="s">
        <v>583</v>
      </c>
      <c r="F284" s="1462" t="s">
        <v>128</v>
      </c>
      <c r="G284" s="1311" t="s">
        <v>1828</v>
      </c>
      <c r="H284" s="1172"/>
      <c r="I284" s="1172"/>
      <c r="J284" s="1172"/>
      <c r="K284" s="1172"/>
      <c r="L284" s="1173"/>
      <c r="M284" s="1172">
        <f>-3149606-850394</f>
        <v>-4000000</v>
      </c>
      <c r="N284" s="1172"/>
      <c r="O284" s="1172"/>
      <c r="P284" s="1174"/>
      <c r="Q284" s="1175"/>
      <c r="R284" s="1172"/>
      <c r="S284" s="1172"/>
      <c r="T284" s="1172"/>
      <c r="U284" s="1172"/>
      <c r="V284" s="1172"/>
      <c r="W284" s="1172"/>
      <c r="X284" s="1176"/>
    </row>
    <row r="285" spans="1:24" ht="17.25" customHeight="1" x14ac:dyDescent="0.2">
      <c r="A285" s="2061"/>
      <c r="B285" s="2060"/>
      <c r="C285" s="2065"/>
      <c r="D285" s="1170" t="s">
        <v>193</v>
      </c>
      <c r="E285" s="1462" t="s">
        <v>583</v>
      </c>
      <c r="F285" s="1462" t="s">
        <v>128</v>
      </c>
      <c r="G285" s="1311" t="s">
        <v>1829</v>
      </c>
      <c r="H285" s="1172"/>
      <c r="I285" s="1172"/>
      <c r="J285" s="1172"/>
      <c r="K285" s="1172"/>
      <c r="L285" s="1173"/>
      <c r="M285" s="1172">
        <v>3149606</v>
      </c>
      <c r="N285" s="1172"/>
      <c r="O285" s="1172"/>
      <c r="P285" s="1174"/>
      <c r="Q285" s="1175"/>
      <c r="R285" s="1172"/>
      <c r="S285" s="1172"/>
      <c r="T285" s="1172"/>
      <c r="U285" s="1172"/>
      <c r="V285" s="1172"/>
      <c r="W285" s="1172"/>
      <c r="X285" s="1176"/>
    </row>
    <row r="286" spans="1:24" ht="17.25" customHeight="1" x14ac:dyDescent="0.2">
      <c r="A286" s="2053"/>
      <c r="B286" s="2055"/>
      <c r="C286" s="2057"/>
      <c r="D286" s="1170" t="s">
        <v>188</v>
      </c>
      <c r="E286" s="1462" t="s">
        <v>74</v>
      </c>
      <c r="F286" s="1462" t="s">
        <v>2241</v>
      </c>
      <c r="G286" s="1311" t="s">
        <v>1829</v>
      </c>
      <c r="H286" s="1172"/>
      <c r="I286" s="1172"/>
      <c r="J286" s="1172">
        <v>850394</v>
      </c>
      <c r="K286" s="1172"/>
      <c r="L286" s="1173"/>
      <c r="M286" s="1172"/>
      <c r="N286" s="1172"/>
      <c r="O286" s="1172"/>
      <c r="P286" s="1174"/>
      <c r="Q286" s="1175"/>
      <c r="R286" s="1172"/>
      <c r="S286" s="1172"/>
      <c r="T286" s="1172"/>
      <c r="U286" s="1172"/>
      <c r="V286" s="1172"/>
      <c r="W286" s="1172"/>
      <c r="X286" s="1176"/>
    </row>
    <row r="287" spans="1:24" ht="33.75" customHeight="1" x14ac:dyDescent="0.2">
      <c r="A287" s="2052" t="s">
        <v>799</v>
      </c>
      <c r="B287" s="2054" t="s">
        <v>1628</v>
      </c>
      <c r="C287" s="2056" t="s">
        <v>2244</v>
      </c>
      <c r="D287" s="1170" t="s">
        <v>195</v>
      </c>
      <c r="E287" s="1462" t="s">
        <v>74</v>
      </c>
      <c r="F287" s="1462" t="s">
        <v>1870</v>
      </c>
      <c r="G287" s="1311" t="s">
        <v>1828</v>
      </c>
      <c r="H287" s="1172"/>
      <c r="I287" s="1172"/>
      <c r="J287" s="1172"/>
      <c r="K287" s="1172"/>
      <c r="L287" s="1173">
        <v>-508000</v>
      </c>
      <c r="M287" s="1172"/>
      <c r="N287" s="1172"/>
      <c r="O287" s="1172"/>
      <c r="P287" s="1174"/>
      <c r="Q287" s="1175"/>
      <c r="R287" s="1172"/>
      <c r="S287" s="1172"/>
      <c r="T287" s="1172"/>
      <c r="U287" s="1172"/>
      <c r="V287" s="1172"/>
      <c r="W287" s="1172"/>
      <c r="X287" s="1176"/>
    </row>
    <row r="288" spans="1:24" ht="33.75" customHeight="1" x14ac:dyDescent="0.2">
      <c r="A288" s="2053"/>
      <c r="B288" s="2055"/>
      <c r="C288" s="2057"/>
      <c r="D288" s="1170" t="s">
        <v>193</v>
      </c>
      <c r="E288" s="1462" t="s">
        <v>583</v>
      </c>
      <c r="F288" s="1462" t="s">
        <v>128</v>
      </c>
      <c r="G288" s="1311" t="s">
        <v>1829</v>
      </c>
      <c r="H288" s="1172"/>
      <c r="I288" s="1172"/>
      <c r="J288" s="1172"/>
      <c r="K288" s="1172"/>
      <c r="L288" s="1173"/>
      <c r="M288" s="1172">
        <f>400000+108000</f>
        <v>508000</v>
      </c>
      <c r="N288" s="1172"/>
      <c r="O288" s="1172"/>
      <c r="P288" s="1174"/>
      <c r="Q288" s="1175"/>
      <c r="R288" s="1172"/>
      <c r="S288" s="1172"/>
      <c r="T288" s="1172"/>
      <c r="U288" s="1172"/>
      <c r="V288" s="1172"/>
      <c r="W288" s="1172"/>
      <c r="X288" s="1176"/>
    </row>
    <row r="289" spans="1:24" ht="28.5" customHeight="1" x14ac:dyDescent="0.2">
      <c r="A289" s="2052" t="s">
        <v>804</v>
      </c>
      <c r="B289" s="2054" t="s">
        <v>1629</v>
      </c>
      <c r="C289" s="2056" t="s">
        <v>2245</v>
      </c>
      <c r="D289" s="1170" t="s">
        <v>195</v>
      </c>
      <c r="E289" s="1462" t="s">
        <v>74</v>
      </c>
      <c r="F289" s="1462" t="s">
        <v>1870</v>
      </c>
      <c r="G289" s="1311" t="s">
        <v>1828</v>
      </c>
      <c r="H289" s="1172"/>
      <c r="I289" s="1172"/>
      <c r="J289" s="1172"/>
      <c r="K289" s="1172"/>
      <c r="L289" s="1173">
        <v>-1851264</v>
      </c>
      <c r="M289" s="1172"/>
      <c r="N289" s="1172"/>
      <c r="O289" s="1172"/>
      <c r="P289" s="1174"/>
      <c r="Q289" s="1175"/>
      <c r="R289" s="1172"/>
      <c r="S289" s="1172"/>
      <c r="T289" s="1172"/>
      <c r="U289" s="1172"/>
      <c r="V289" s="1172"/>
      <c r="W289" s="1172"/>
      <c r="X289" s="1176"/>
    </row>
    <row r="290" spans="1:24" ht="28.5" customHeight="1" x14ac:dyDescent="0.2">
      <c r="A290" s="2053"/>
      <c r="B290" s="2055"/>
      <c r="C290" s="2057"/>
      <c r="D290" s="1170" t="s">
        <v>188</v>
      </c>
      <c r="E290" s="1462" t="s">
        <v>64</v>
      </c>
      <c r="F290" s="1462" t="s">
        <v>526</v>
      </c>
      <c r="G290" s="1311" t="s">
        <v>1829</v>
      </c>
      <c r="H290" s="1172"/>
      <c r="I290" s="1172"/>
      <c r="J290" s="1172">
        <f>1457688+393576</f>
        <v>1851264</v>
      </c>
      <c r="K290" s="1172"/>
      <c r="L290" s="1173"/>
      <c r="M290" s="1172"/>
      <c r="N290" s="1172"/>
      <c r="O290" s="1172"/>
      <c r="P290" s="1174"/>
      <c r="Q290" s="1175"/>
      <c r="R290" s="1172"/>
      <c r="S290" s="1172"/>
      <c r="T290" s="1172"/>
      <c r="U290" s="1172"/>
      <c r="V290" s="1172"/>
      <c r="W290" s="1172"/>
      <c r="X290" s="1176"/>
    </row>
    <row r="291" spans="1:24" ht="33" customHeight="1" x14ac:dyDescent="0.2">
      <c r="A291" s="2052" t="s">
        <v>798</v>
      </c>
      <c r="B291" s="2054" t="s">
        <v>1630</v>
      </c>
      <c r="C291" s="2056" t="s">
        <v>2356</v>
      </c>
      <c r="D291" s="1170" t="s">
        <v>195</v>
      </c>
      <c r="E291" s="1462" t="s">
        <v>74</v>
      </c>
      <c r="F291" s="1462" t="s">
        <v>1870</v>
      </c>
      <c r="G291" s="1311" t="s">
        <v>1828</v>
      </c>
      <c r="H291" s="1172"/>
      <c r="I291" s="1172"/>
      <c r="J291" s="1172"/>
      <c r="K291" s="1172"/>
      <c r="L291" s="1173">
        <v>-1524000</v>
      </c>
      <c r="M291" s="1172"/>
      <c r="N291" s="1172"/>
      <c r="O291" s="1172"/>
      <c r="P291" s="1174"/>
      <c r="Q291" s="1175"/>
      <c r="R291" s="1172"/>
      <c r="S291" s="1172"/>
      <c r="T291" s="1172"/>
      <c r="U291" s="1172"/>
      <c r="V291" s="1172"/>
      <c r="W291" s="1172"/>
      <c r="X291" s="1176"/>
    </row>
    <row r="292" spans="1:24" ht="33" customHeight="1" x14ac:dyDescent="0.2">
      <c r="A292" s="2053"/>
      <c r="B292" s="2055"/>
      <c r="C292" s="2057"/>
      <c r="D292" s="1170" t="s">
        <v>194</v>
      </c>
      <c r="E292" s="1462" t="s">
        <v>583</v>
      </c>
      <c r="F292" s="1462" t="s">
        <v>128</v>
      </c>
      <c r="G292" s="1311" t="s">
        <v>1829</v>
      </c>
      <c r="H292" s="1172"/>
      <c r="I292" s="1172"/>
      <c r="J292" s="1172"/>
      <c r="K292" s="1172"/>
      <c r="L292" s="1173"/>
      <c r="M292" s="1172"/>
      <c r="N292" s="1172">
        <f>1200000+324000</f>
        <v>1524000</v>
      </c>
      <c r="O292" s="1172"/>
      <c r="P292" s="1174"/>
      <c r="Q292" s="1175"/>
      <c r="R292" s="1172"/>
      <c r="S292" s="1172"/>
      <c r="T292" s="1172"/>
      <c r="U292" s="1172"/>
      <c r="V292" s="1172"/>
      <c r="W292" s="1172"/>
      <c r="X292" s="1176"/>
    </row>
    <row r="293" spans="1:24" ht="35.25" customHeight="1" x14ac:dyDescent="0.2">
      <c r="A293" s="2052" t="s">
        <v>797</v>
      </c>
      <c r="B293" s="2054" t="s">
        <v>1631</v>
      </c>
      <c r="C293" s="2056" t="s">
        <v>2247</v>
      </c>
      <c r="D293" s="1170" t="s">
        <v>195</v>
      </c>
      <c r="E293" s="1462" t="s">
        <v>74</v>
      </c>
      <c r="F293" s="1462" t="s">
        <v>1870</v>
      </c>
      <c r="G293" s="1311" t="s">
        <v>1828</v>
      </c>
      <c r="H293" s="1172"/>
      <c r="I293" s="1172"/>
      <c r="J293" s="1172"/>
      <c r="K293" s="1172"/>
      <c r="L293" s="1173">
        <v>-37007500</v>
      </c>
      <c r="M293" s="1172"/>
      <c r="N293" s="1172"/>
      <c r="O293" s="1172"/>
      <c r="P293" s="1174"/>
      <c r="Q293" s="1175"/>
      <c r="R293" s="1172"/>
      <c r="S293" s="1172"/>
      <c r="T293" s="1172"/>
      <c r="U293" s="1172"/>
      <c r="V293" s="1172"/>
      <c r="W293" s="1172"/>
      <c r="X293" s="1176"/>
    </row>
    <row r="294" spans="1:24" ht="35.25" customHeight="1" x14ac:dyDescent="0.2">
      <c r="A294" s="2053"/>
      <c r="B294" s="2055"/>
      <c r="C294" s="2057"/>
      <c r="D294" s="1170" t="s">
        <v>197</v>
      </c>
      <c r="E294" s="1462" t="s">
        <v>1288</v>
      </c>
      <c r="F294" s="1462" t="s">
        <v>535</v>
      </c>
      <c r="G294" s="1311" t="s">
        <v>1829</v>
      </c>
      <c r="H294" s="1172"/>
      <c r="I294" s="1172"/>
      <c r="J294" s="1172"/>
      <c r="K294" s="1172"/>
      <c r="L294" s="1173"/>
      <c r="M294" s="1172"/>
      <c r="N294" s="1172"/>
      <c r="O294" s="1172"/>
      <c r="P294" s="1174">
        <v>37007500</v>
      </c>
      <c r="Q294" s="1175"/>
      <c r="R294" s="1172"/>
      <c r="S294" s="1172"/>
      <c r="T294" s="1172"/>
      <c r="U294" s="1172"/>
      <c r="V294" s="1172"/>
      <c r="W294" s="1172"/>
      <c r="X294" s="1176"/>
    </row>
    <row r="295" spans="1:24" ht="19.5" customHeight="1" x14ac:dyDescent="0.2">
      <c r="A295" s="2052" t="s">
        <v>806</v>
      </c>
      <c r="B295" s="2054" t="s">
        <v>1632</v>
      </c>
      <c r="C295" s="2056" t="s">
        <v>2357</v>
      </c>
      <c r="D295" s="1170" t="s">
        <v>195</v>
      </c>
      <c r="E295" s="1462" t="s">
        <v>74</v>
      </c>
      <c r="F295" s="1462" t="s">
        <v>1870</v>
      </c>
      <c r="G295" s="1311" t="s">
        <v>1828</v>
      </c>
      <c r="H295" s="1172"/>
      <c r="I295" s="1172"/>
      <c r="J295" s="1172"/>
      <c r="K295" s="1172"/>
      <c r="L295" s="1173">
        <v>-35000000</v>
      </c>
      <c r="M295" s="1172"/>
      <c r="N295" s="1172"/>
      <c r="O295" s="1172"/>
      <c r="P295" s="1174"/>
      <c r="Q295" s="1175"/>
      <c r="R295" s="1172"/>
      <c r="S295" s="1172"/>
      <c r="T295" s="1172"/>
      <c r="U295" s="1172"/>
      <c r="V295" s="1172"/>
      <c r="W295" s="1172"/>
      <c r="X295" s="1176"/>
    </row>
    <row r="296" spans="1:24" ht="19.5" customHeight="1" x14ac:dyDescent="0.2">
      <c r="A296" s="2061"/>
      <c r="B296" s="2060"/>
      <c r="C296" s="2065"/>
      <c r="D296" s="1170" t="s">
        <v>188</v>
      </c>
      <c r="E296" s="1462" t="s">
        <v>74</v>
      </c>
      <c r="F296" s="1462" t="s">
        <v>538</v>
      </c>
      <c r="G296" s="1311" t="s">
        <v>1829</v>
      </c>
      <c r="H296" s="1172">
        <v>27934000</v>
      </c>
      <c r="I296" s="1172">
        <v>3631420</v>
      </c>
      <c r="J296" s="1172"/>
      <c r="K296" s="1172"/>
      <c r="L296" s="1173"/>
      <c r="M296" s="1172"/>
      <c r="N296" s="1172"/>
      <c r="O296" s="1172"/>
      <c r="P296" s="1174"/>
      <c r="Q296" s="1175"/>
      <c r="R296" s="1172"/>
      <c r="S296" s="1172"/>
      <c r="T296" s="1172"/>
      <c r="U296" s="1172"/>
      <c r="V296" s="1172"/>
      <c r="W296" s="1172"/>
      <c r="X296" s="1176"/>
    </row>
    <row r="297" spans="1:24" ht="19.5" customHeight="1" x14ac:dyDescent="0.2">
      <c r="A297" s="2061"/>
      <c r="B297" s="2060"/>
      <c r="C297" s="2065"/>
      <c r="D297" s="1170" t="s">
        <v>188</v>
      </c>
      <c r="E297" s="1462" t="s">
        <v>64</v>
      </c>
      <c r="F297" s="1462" t="s">
        <v>526</v>
      </c>
      <c r="G297" s="1311" t="s">
        <v>1829</v>
      </c>
      <c r="H297" s="1172">
        <v>1600000</v>
      </c>
      <c r="I297" s="1172">
        <v>208000</v>
      </c>
      <c r="J297" s="1172"/>
      <c r="K297" s="1172"/>
      <c r="L297" s="1173"/>
      <c r="M297" s="1172"/>
      <c r="N297" s="1172"/>
      <c r="O297" s="1172"/>
      <c r="P297" s="1174"/>
      <c r="Q297" s="1175"/>
      <c r="R297" s="1172"/>
      <c r="S297" s="1172"/>
      <c r="T297" s="1172"/>
      <c r="U297" s="1172"/>
      <c r="V297" s="1172"/>
      <c r="W297" s="1172"/>
      <c r="X297" s="1176"/>
    </row>
    <row r="298" spans="1:24" ht="19.5" customHeight="1" x14ac:dyDescent="0.2">
      <c r="A298" s="2061"/>
      <c r="B298" s="2060"/>
      <c r="C298" s="2065"/>
      <c r="D298" s="1170" t="s">
        <v>188</v>
      </c>
      <c r="E298" s="1462" t="s">
        <v>542</v>
      </c>
      <c r="F298" s="1462" t="s">
        <v>447</v>
      </c>
      <c r="G298" s="1311" t="s">
        <v>1951</v>
      </c>
      <c r="H298" s="1172">
        <v>400000</v>
      </c>
      <c r="I298" s="1172">
        <v>52000</v>
      </c>
      <c r="J298" s="1172"/>
      <c r="K298" s="1172"/>
      <c r="L298" s="1173"/>
      <c r="M298" s="1172"/>
      <c r="N298" s="1172"/>
      <c r="O298" s="1172"/>
      <c r="P298" s="1174"/>
      <c r="Q298" s="1175"/>
      <c r="R298" s="1172"/>
      <c r="S298" s="1172"/>
      <c r="T298" s="1172"/>
      <c r="U298" s="1172"/>
      <c r="V298" s="1172"/>
      <c r="W298" s="1172"/>
      <c r="X298" s="1176"/>
    </row>
    <row r="299" spans="1:24" ht="19.5" customHeight="1" x14ac:dyDescent="0.2">
      <c r="A299" s="2053"/>
      <c r="B299" s="2055"/>
      <c r="C299" s="2057"/>
      <c r="D299" s="1170" t="s">
        <v>188</v>
      </c>
      <c r="E299" s="1462" t="s">
        <v>542</v>
      </c>
      <c r="F299" s="1462" t="s">
        <v>449</v>
      </c>
      <c r="G299" s="1311" t="s">
        <v>1829</v>
      </c>
      <c r="H299" s="1172">
        <v>1039451</v>
      </c>
      <c r="I299" s="1172">
        <v>135129</v>
      </c>
      <c r="J299" s="1172"/>
      <c r="K299" s="1172"/>
      <c r="L299" s="1173"/>
      <c r="M299" s="1172"/>
      <c r="N299" s="1172"/>
      <c r="O299" s="1172"/>
      <c r="P299" s="1174"/>
      <c r="Q299" s="1175"/>
      <c r="R299" s="1172"/>
      <c r="S299" s="1172"/>
      <c r="T299" s="1172"/>
      <c r="U299" s="1172"/>
      <c r="V299" s="1172"/>
      <c r="W299" s="1172"/>
      <c r="X299" s="1176"/>
    </row>
    <row r="300" spans="1:24" ht="18" customHeight="1" x14ac:dyDescent="0.2">
      <c r="A300" s="2052" t="s">
        <v>796</v>
      </c>
      <c r="B300" s="2054" t="s">
        <v>1633</v>
      </c>
      <c r="C300" s="2056" t="s">
        <v>2248</v>
      </c>
      <c r="D300" s="1170" t="s">
        <v>195</v>
      </c>
      <c r="E300" s="1462" t="s">
        <v>74</v>
      </c>
      <c r="F300" s="1462" t="s">
        <v>1870</v>
      </c>
      <c r="G300" s="1311" t="s">
        <v>1828</v>
      </c>
      <c r="H300" s="1172"/>
      <c r="I300" s="1172"/>
      <c r="J300" s="1172"/>
      <c r="K300" s="1172"/>
      <c r="L300" s="1173">
        <v>-678000</v>
      </c>
      <c r="M300" s="1172"/>
      <c r="N300" s="1172"/>
      <c r="O300" s="1172"/>
      <c r="P300" s="1174"/>
      <c r="Q300" s="1175"/>
      <c r="R300" s="1172"/>
      <c r="S300" s="1172"/>
      <c r="T300" s="1172"/>
      <c r="U300" s="1172"/>
      <c r="V300" s="1172"/>
      <c r="W300" s="1172"/>
      <c r="X300" s="1176"/>
    </row>
    <row r="301" spans="1:24" ht="18" customHeight="1" x14ac:dyDescent="0.2">
      <c r="A301" s="2061"/>
      <c r="B301" s="2060"/>
      <c r="C301" s="2065"/>
      <c r="D301" s="1170" t="s">
        <v>188</v>
      </c>
      <c r="E301" s="1462" t="s">
        <v>74</v>
      </c>
      <c r="F301" s="1462" t="s">
        <v>538</v>
      </c>
      <c r="G301" s="1311" t="s">
        <v>1829</v>
      </c>
      <c r="H301" s="1172">
        <v>400000</v>
      </c>
      <c r="I301" s="1172">
        <v>52000</v>
      </c>
      <c r="J301" s="1172"/>
      <c r="K301" s="1172"/>
      <c r="L301" s="1173"/>
      <c r="M301" s="1172"/>
      <c r="N301" s="1172"/>
      <c r="O301" s="1172"/>
      <c r="P301" s="1174"/>
      <c r="Q301" s="1175"/>
      <c r="R301" s="1172"/>
      <c r="S301" s="1172"/>
      <c r="T301" s="1172"/>
      <c r="U301" s="1172"/>
      <c r="V301" s="1172"/>
      <c r="W301" s="1172"/>
      <c r="X301" s="1176"/>
    </row>
    <row r="302" spans="1:24" ht="18" customHeight="1" x14ac:dyDescent="0.2">
      <c r="A302" s="2053"/>
      <c r="B302" s="2055"/>
      <c r="C302" s="2057"/>
      <c r="D302" s="1170" t="s">
        <v>188</v>
      </c>
      <c r="E302" s="1462" t="s">
        <v>626</v>
      </c>
      <c r="F302" s="1462" t="s">
        <v>136</v>
      </c>
      <c r="G302" s="1311" t="s">
        <v>1829</v>
      </c>
      <c r="H302" s="1172">
        <v>200000</v>
      </c>
      <c r="I302" s="1172">
        <v>26000</v>
      </c>
      <c r="J302" s="1172"/>
      <c r="K302" s="1172"/>
      <c r="L302" s="1173"/>
      <c r="M302" s="1172"/>
      <c r="N302" s="1172"/>
      <c r="O302" s="1172"/>
      <c r="P302" s="1174"/>
      <c r="Q302" s="1175"/>
      <c r="R302" s="1172"/>
      <c r="S302" s="1172"/>
      <c r="T302" s="1172"/>
      <c r="U302" s="1172"/>
      <c r="V302" s="1172"/>
      <c r="W302" s="1172"/>
      <c r="X302" s="1176"/>
    </row>
    <row r="303" spans="1:24" ht="26.25" customHeight="1" x14ac:dyDescent="0.2">
      <c r="A303" s="2052" t="s">
        <v>795</v>
      </c>
      <c r="B303" s="2054" t="s">
        <v>1634</v>
      </c>
      <c r="C303" s="2056" t="s">
        <v>2249</v>
      </c>
      <c r="D303" s="1170" t="s">
        <v>195</v>
      </c>
      <c r="E303" s="1462" t="s">
        <v>74</v>
      </c>
      <c r="F303" s="1462" t="s">
        <v>1870</v>
      </c>
      <c r="G303" s="1311" t="s">
        <v>1828</v>
      </c>
      <c r="H303" s="1172"/>
      <c r="I303" s="1172"/>
      <c r="J303" s="1172"/>
      <c r="K303" s="1172"/>
      <c r="L303" s="1173">
        <v>-5593500</v>
      </c>
      <c r="M303" s="1172"/>
      <c r="N303" s="1172"/>
      <c r="O303" s="1172"/>
      <c r="P303" s="1174"/>
      <c r="Q303" s="1175"/>
      <c r="R303" s="1172"/>
      <c r="S303" s="1172"/>
      <c r="T303" s="1172"/>
      <c r="U303" s="1172"/>
      <c r="V303" s="1172"/>
      <c r="W303" s="1172"/>
      <c r="X303" s="1176"/>
    </row>
    <row r="304" spans="1:24" ht="26.25" customHeight="1" x14ac:dyDescent="0.2">
      <c r="A304" s="2053"/>
      <c r="B304" s="2055"/>
      <c r="C304" s="2057"/>
      <c r="D304" s="1170" t="s">
        <v>197</v>
      </c>
      <c r="E304" s="1462" t="s">
        <v>1288</v>
      </c>
      <c r="F304" s="1462" t="s">
        <v>535</v>
      </c>
      <c r="G304" s="1311" t="s">
        <v>1829</v>
      </c>
      <c r="H304" s="1172"/>
      <c r="I304" s="1172"/>
      <c r="J304" s="1172"/>
      <c r="K304" s="1172"/>
      <c r="L304" s="1173"/>
      <c r="M304" s="1172"/>
      <c r="N304" s="1172"/>
      <c r="O304" s="1172"/>
      <c r="P304" s="1174">
        <v>5593500</v>
      </c>
      <c r="Q304" s="1175"/>
      <c r="R304" s="1172"/>
      <c r="S304" s="1172"/>
      <c r="T304" s="1172"/>
      <c r="U304" s="1172"/>
      <c r="V304" s="1172"/>
      <c r="W304" s="1172"/>
      <c r="X304" s="1176"/>
    </row>
    <row r="305" spans="1:24" ht="27.75" customHeight="1" x14ac:dyDescent="0.2">
      <c r="A305" s="2052" t="s">
        <v>794</v>
      </c>
      <c r="B305" s="2054" t="s">
        <v>1635</v>
      </c>
      <c r="C305" s="2056" t="s">
        <v>2251</v>
      </c>
      <c r="D305" s="1170" t="s">
        <v>195</v>
      </c>
      <c r="E305" s="1462" t="s">
        <v>74</v>
      </c>
      <c r="F305" s="1462" t="s">
        <v>1870</v>
      </c>
      <c r="G305" s="1311" t="s">
        <v>1828</v>
      </c>
      <c r="H305" s="1172"/>
      <c r="I305" s="1172"/>
      <c r="J305" s="1172"/>
      <c r="K305" s="1172"/>
      <c r="L305" s="1173">
        <v>-1356000</v>
      </c>
      <c r="M305" s="1172"/>
      <c r="N305" s="1172"/>
      <c r="O305" s="1172"/>
      <c r="P305" s="1174"/>
      <c r="Q305" s="1175"/>
      <c r="R305" s="1172"/>
      <c r="S305" s="1172"/>
      <c r="T305" s="1172"/>
      <c r="U305" s="1172"/>
      <c r="V305" s="1172"/>
      <c r="W305" s="1172"/>
      <c r="X305" s="1176"/>
    </row>
    <row r="306" spans="1:24" ht="27.75" customHeight="1" x14ac:dyDescent="0.2">
      <c r="A306" s="2053"/>
      <c r="B306" s="2055"/>
      <c r="C306" s="2057"/>
      <c r="D306" s="1170" t="s">
        <v>197</v>
      </c>
      <c r="E306" s="1462" t="s">
        <v>1288</v>
      </c>
      <c r="F306" s="1462" t="s">
        <v>535</v>
      </c>
      <c r="G306" s="1311" t="s">
        <v>1829</v>
      </c>
      <c r="H306" s="1172"/>
      <c r="I306" s="1172"/>
      <c r="J306" s="1172"/>
      <c r="K306" s="1172"/>
      <c r="L306" s="1173"/>
      <c r="M306" s="1172"/>
      <c r="N306" s="1172"/>
      <c r="O306" s="1172"/>
      <c r="P306" s="1174">
        <v>1356000</v>
      </c>
      <c r="Q306" s="1175"/>
      <c r="R306" s="1172"/>
      <c r="S306" s="1172"/>
      <c r="T306" s="1172"/>
      <c r="U306" s="1172"/>
      <c r="V306" s="1172"/>
      <c r="W306" s="1172"/>
      <c r="X306" s="1176"/>
    </row>
    <row r="307" spans="1:24" ht="27" customHeight="1" x14ac:dyDescent="0.2">
      <c r="A307" s="2052" t="s">
        <v>807</v>
      </c>
      <c r="B307" s="2054" t="s">
        <v>1636</v>
      </c>
      <c r="C307" s="2056" t="s">
        <v>2253</v>
      </c>
      <c r="D307" s="1170" t="s">
        <v>195</v>
      </c>
      <c r="E307" s="1462" t="s">
        <v>74</v>
      </c>
      <c r="F307" s="1462" t="s">
        <v>1870</v>
      </c>
      <c r="G307" s="1311" t="s">
        <v>1828</v>
      </c>
      <c r="H307" s="1172"/>
      <c r="I307" s="1172"/>
      <c r="J307" s="1172"/>
      <c r="K307" s="1172"/>
      <c r="L307" s="1173">
        <v>-1356000</v>
      </c>
      <c r="M307" s="1172"/>
      <c r="N307" s="1172"/>
      <c r="O307" s="1172"/>
      <c r="P307" s="1174"/>
      <c r="Q307" s="1175"/>
      <c r="R307" s="1172"/>
      <c r="S307" s="1172"/>
      <c r="T307" s="1172"/>
      <c r="U307" s="1172"/>
      <c r="V307" s="1172"/>
      <c r="W307" s="1172"/>
      <c r="X307" s="1176"/>
    </row>
    <row r="308" spans="1:24" ht="27" customHeight="1" x14ac:dyDescent="0.2">
      <c r="A308" s="2053"/>
      <c r="B308" s="2055"/>
      <c r="C308" s="2057"/>
      <c r="D308" s="1170" t="s">
        <v>197</v>
      </c>
      <c r="E308" s="1462" t="s">
        <v>1288</v>
      </c>
      <c r="F308" s="1462" t="s">
        <v>535</v>
      </c>
      <c r="G308" s="1311" t="s">
        <v>1829</v>
      </c>
      <c r="H308" s="1172"/>
      <c r="I308" s="1172"/>
      <c r="J308" s="1172"/>
      <c r="K308" s="1172"/>
      <c r="L308" s="1173"/>
      <c r="M308" s="1172"/>
      <c r="N308" s="1172"/>
      <c r="O308" s="1172"/>
      <c r="P308" s="1174">
        <v>1356000</v>
      </c>
      <c r="Q308" s="1175"/>
      <c r="R308" s="1172"/>
      <c r="S308" s="1172"/>
      <c r="T308" s="1172"/>
      <c r="U308" s="1172"/>
      <c r="V308" s="1172"/>
      <c r="W308" s="1172"/>
      <c r="X308" s="1176"/>
    </row>
    <row r="309" spans="1:24" ht="27.75" customHeight="1" x14ac:dyDescent="0.2">
      <c r="A309" s="2052" t="s">
        <v>808</v>
      </c>
      <c r="B309" s="2054" t="s">
        <v>1637</v>
      </c>
      <c r="C309" s="2056" t="s">
        <v>2254</v>
      </c>
      <c r="D309" s="1170" t="s">
        <v>195</v>
      </c>
      <c r="E309" s="1462" t="s">
        <v>74</v>
      </c>
      <c r="F309" s="1462" t="s">
        <v>1870</v>
      </c>
      <c r="G309" s="1311" t="s">
        <v>1828</v>
      </c>
      <c r="H309" s="1172"/>
      <c r="I309" s="1172"/>
      <c r="J309" s="1172"/>
      <c r="K309" s="1172"/>
      <c r="L309" s="1173">
        <v>-12119250</v>
      </c>
      <c r="M309" s="1172"/>
      <c r="N309" s="1172"/>
      <c r="O309" s="1172"/>
      <c r="P309" s="1174"/>
      <c r="Q309" s="1175"/>
      <c r="R309" s="1172"/>
      <c r="S309" s="1172"/>
      <c r="T309" s="1172"/>
      <c r="U309" s="1172"/>
      <c r="V309" s="1172"/>
      <c r="W309" s="1172"/>
      <c r="X309" s="1176"/>
    </row>
    <row r="310" spans="1:24" ht="27.75" customHeight="1" x14ac:dyDescent="0.2">
      <c r="A310" s="2053"/>
      <c r="B310" s="2055"/>
      <c r="C310" s="2057"/>
      <c r="D310" s="1170" t="s">
        <v>197</v>
      </c>
      <c r="E310" s="1462" t="s">
        <v>1288</v>
      </c>
      <c r="F310" s="1462" t="s">
        <v>535</v>
      </c>
      <c r="G310" s="1311" t="s">
        <v>1829</v>
      </c>
      <c r="H310" s="1172"/>
      <c r="I310" s="1172"/>
      <c r="J310" s="1172"/>
      <c r="K310" s="1172"/>
      <c r="L310" s="1173"/>
      <c r="M310" s="1172"/>
      <c r="N310" s="1172"/>
      <c r="O310" s="1172"/>
      <c r="P310" s="1174">
        <v>12119250</v>
      </c>
      <c r="Q310" s="1175"/>
      <c r="R310" s="1172"/>
      <c r="S310" s="1172"/>
      <c r="T310" s="1172"/>
      <c r="U310" s="1172"/>
      <c r="V310" s="1172"/>
      <c r="W310" s="1172"/>
      <c r="X310" s="1176"/>
    </row>
    <row r="311" spans="1:24" ht="27" customHeight="1" x14ac:dyDescent="0.2">
      <c r="A311" s="2052" t="s">
        <v>809</v>
      </c>
      <c r="B311" s="2054" t="s">
        <v>1638</v>
      </c>
      <c r="C311" s="2056" t="s">
        <v>2257</v>
      </c>
      <c r="D311" s="1170" t="s">
        <v>195</v>
      </c>
      <c r="E311" s="1462" t="s">
        <v>74</v>
      </c>
      <c r="F311" s="1462" t="s">
        <v>1870</v>
      </c>
      <c r="G311" s="1311" t="s">
        <v>1828</v>
      </c>
      <c r="H311" s="1172"/>
      <c r="I311" s="1172"/>
      <c r="J311" s="1172"/>
      <c r="K311" s="1172"/>
      <c r="L311" s="1173">
        <v>-8136000</v>
      </c>
      <c r="M311" s="1172"/>
      <c r="N311" s="1172"/>
      <c r="O311" s="1172"/>
      <c r="P311" s="1174"/>
      <c r="Q311" s="1175"/>
      <c r="R311" s="1172"/>
      <c r="S311" s="1172"/>
      <c r="T311" s="1172"/>
      <c r="U311" s="1172"/>
      <c r="V311" s="1172"/>
      <c r="W311" s="1172"/>
      <c r="X311" s="1176"/>
    </row>
    <row r="312" spans="1:24" ht="27" customHeight="1" x14ac:dyDescent="0.2">
      <c r="A312" s="2053"/>
      <c r="B312" s="2055"/>
      <c r="C312" s="2057"/>
      <c r="D312" s="1170" t="s">
        <v>197</v>
      </c>
      <c r="E312" s="1462" t="s">
        <v>1288</v>
      </c>
      <c r="F312" s="1462" t="s">
        <v>535</v>
      </c>
      <c r="G312" s="1311" t="s">
        <v>1829</v>
      </c>
      <c r="H312" s="1172"/>
      <c r="I312" s="1172"/>
      <c r="J312" s="1172"/>
      <c r="K312" s="1172"/>
      <c r="L312" s="1173"/>
      <c r="M312" s="1172"/>
      <c r="N312" s="1172"/>
      <c r="O312" s="1172"/>
      <c r="P312" s="1174">
        <v>8136000</v>
      </c>
      <c r="Q312" s="1175"/>
      <c r="R312" s="1172"/>
      <c r="S312" s="1172"/>
      <c r="T312" s="1172"/>
      <c r="U312" s="1172"/>
      <c r="V312" s="1172"/>
      <c r="W312" s="1172"/>
      <c r="X312" s="1176"/>
    </row>
    <row r="313" spans="1:24" ht="30.75" customHeight="1" x14ac:dyDescent="0.2">
      <c r="A313" s="2052" t="s">
        <v>1295</v>
      </c>
      <c r="B313" s="2054" t="s">
        <v>1639</v>
      </c>
      <c r="C313" s="2056" t="s">
        <v>2259</v>
      </c>
      <c r="D313" s="1170" t="s">
        <v>195</v>
      </c>
      <c r="E313" s="1462" t="s">
        <v>74</v>
      </c>
      <c r="F313" s="1462" t="s">
        <v>1870</v>
      </c>
      <c r="G313" s="1311" t="s">
        <v>1828</v>
      </c>
      <c r="H313" s="1172"/>
      <c r="I313" s="1172"/>
      <c r="J313" s="1172"/>
      <c r="K313" s="1172"/>
      <c r="L313" s="1173">
        <v>-8136000</v>
      </c>
      <c r="M313" s="1172"/>
      <c r="N313" s="1172"/>
      <c r="O313" s="1172"/>
      <c r="P313" s="1174"/>
      <c r="Q313" s="1175"/>
      <c r="R313" s="1172"/>
      <c r="S313" s="1172"/>
      <c r="T313" s="1172"/>
      <c r="U313" s="1172"/>
      <c r="V313" s="1172"/>
      <c r="W313" s="1172"/>
      <c r="X313" s="1176"/>
    </row>
    <row r="314" spans="1:24" ht="30.75" customHeight="1" x14ac:dyDescent="0.2">
      <c r="A314" s="2053"/>
      <c r="B314" s="2055"/>
      <c r="C314" s="2057"/>
      <c r="D314" s="1170" t="s">
        <v>197</v>
      </c>
      <c r="E314" s="1462" t="s">
        <v>1288</v>
      </c>
      <c r="F314" s="1462" t="s">
        <v>535</v>
      </c>
      <c r="G314" s="1311" t="s">
        <v>1829</v>
      </c>
      <c r="H314" s="1172"/>
      <c r="I314" s="1172"/>
      <c r="J314" s="1172"/>
      <c r="K314" s="1172"/>
      <c r="L314" s="1173"/>
      <c r="M314" s="1172"/>
      <c r="N314" s="1172"/>
      <c r="O314" s="1172"/>
      <c r="P314" s="1174">
        <v>8136000</v>
      </c>
      <c r="Q314" s="1175"/>
      <c r="R314" s="1172"/>
      <c r="S314" s="1172"/>
      <c r="T314" s="1172"/>
      <c r="U314" s="1172"/>
      <c r="V314" s="1172"/>
      <c r="W314" s="1172"/>
      <c r="X314" s="1176"/>
    </row>
    <row r="315" spans="1:24" ht="27" customHeight="1" x14ac:dyDescent="0.2">
      <c r="A315" s="2052" t="s">
        <v>1362</v>
      </c>
      <c r="B315" s="2054" t="s">
        <v>1640</v>
      </c>
      <c r="C315" s="2056" t="s">
        <v>2264</v>
      </c>
      <c r="D315" s="1170" t="s">
        <v>195</v>
      </c>
      <c r="E315" s="1462" t="s">
        <v>74</v>
      </c>
      <c r="F315" s="1462" t="s">
        <v>1870</v>
      </c>
      <c r="G315" s="1311" t="s">
        <v>1828</v>
      </c>
      <c r="H315" s="1172"/>
      <c r="I315" s="1172"/>
      <c r="J315" s="1172"/>
      <c r="K315" s="1172"/>
      <c r="L315" s="1173">
        <v>-7034250</v>
      </c>
      <c r="M315" s="1172"/>
      <c r="N315" s="1172"/>
      <c r="O315" s="1172"/>
      <c r="P315" s="1174"/>
      <c r="Q315" s="1175"/>
      <c r="R315" s="1172"/>
      <c r="S315" s="1172"/>
      <c r="T315" s="1172"/>
      <c r="U315" s="1172"/>
      <c r="V315" s="1172"/>
      <c r="W315" s="1172"/>
      <c r="X315" s="1176"/>
    </row>
    <row r="316" spans="1:24" ht="27" customHeight="1" x14ac:dyDescent="0.2">
      <c r="A316" s="2053"/>
      <c r="B316" s="2055"/>
      <c r="C316" s="2057"/>
      <c r="D316" s="1170" t="s">
        <v>197</v>
      </c>
      <c r="E316" s="1462" t="s">
        <v>1288</v>
      </c>
      <c r="F316" s="1462" t="s">
        <v>535</v>
      </c>
      <c r="G316" s="1311" t="s">
        <v>1829</v>
      </c>
      <c r="H316" s="1172"/>
      <c r="I316" s="1172"/>
      <c r="J316" s="1172"/>
      <c r="K316" s="1172"/>
      <c r="L316" s="1173"/>
      <c r="M316" s="1172"/>
      <c r="N316" s="1172"/>
      <c r="O316" s="1172"/>
      <c r="P316" s="1174">
        <v>7034250</v>
      </c>
      <c r="Q316" s="1175"/>
      <c r="R316" s="1172"/>
      <c r="S316" s="1172"/>
      <c r="T316" s="1172"/>
      <c r="U316" s="1172"/>
      <c r="V316" s="1172"/>
      <c r="W316" s="1172"/>
      <c r="X316" s="1176"/>
    </row>
    <row r="317" spans="1:24" ht="29.25" customHeight="1" x14ac:dyDescent="0.2">
      <c r="A317" s="2052" t="s">
        <v>1363</v>
      </c>
      <c r="B317" s="2054" t="s">
        <v>1641</v>
      </c>
      <c r="C317" s="2056" t="s">
        <v>2358</v>
      </c>
      <c r="D317" s="1170" t="s">
        <v>195</v>
      </c>
      <c r="E317" s="1462" t="s">
        <v>74</v>
      </c>
      <c r="F317" s="1462" t="s">
        <v>1870</v>
      </c>
      <c r="G317" s="1311" t="s">
        <v>1828</v>
      </c>
      <c r="H317" s="1172"/>
      <c r="I317" s="1172"/>
      <c r="J317" s="1172"/>
      <c r="K317" s="1172"/>
      <c r="L317" s="1173">
        <v>-2034000</v>
      </c>
      <c r="M317" s="1172"/>
      <c r="N317" s="1172"/>
      <c r="O317" s="1172"/>
      <c r="P317" s="1174"/>
      <c r="Q317" s="1175"/>
      <c r="R317" s="1172"/>
      <c r="S317" s="1172"/>
      <c r="T317" s="1172"/>
      <c r="U317" s="1172"/>
      <c r="V317" s="1172"/>
      <c r="W317" s="1172"/>
      <c r="X317" s="1176"/>
    </row>
    <row r="318" spans="1:24" ht="29.25" customHeight="1" x14ac:dyDescent="0.2">
      <c r="A318" s="2053"/>
      <c r="B318" s="2055"/>
      <c r="C318" s="2057"/>
      <c r="D318" s="1170" t="s">
        <v>197</v>
      </c>
      <c r="E318" s="1462" t="s">
        <v>1288</v>
      </c>
      <c r="F318" s="1462" t="s">
        <v>535</v>
      </c>
      <c r="G318" s="1311" t="s">
        <v>1829</v>
      </c>
      <c r="H318" s="1172"/>
      <c r="I318" s="1172"/>
      <c r="J318" s="1172"/>
      <c r="K318" s="1172"/>
      <c r="L318" s="1173"/>
      <c r="M318" s="1172"/>
      <c r="N318" s="1172"/>
      <c r="O318" s="1172"/>
      <c r="P318" s="1174">
        <v>2034000</v>
      </c>
      <c r="Q318" s="1175"/>
      <c r="R318" s="1172"/>
      <c r="S318" s="1172"/>
      <c r="T318" s="1172"/>
      <c r="U318" s="1172"/>
      <c r="V318" s="1172"/>
      <c r="W318" s="1172"/>
      <c r="X318" s="1176"/>
    </row>
    <row r="319" spans="1:24" ht="19.5" customHeight="1" x14ac:dyDescent="0.2">
      <c r="A319" s="2052" t="s">
        <v>1364</v>
      </c>
      <c r="B319" s="2054" t="s">
        <v>1642</v>
      </c>
      <c r="C319" s="2056" t="s">
        <v>2256</v>
      </c>
      <c r="D319" s="1170" t="s">
        <v>188</v>
      </c>
      <c r="E319" s="1462" t="s">
        <v>590</v>
      </c>
      <c r="F319" s="1462" t="s">
        <v>442</v>
      </c>
      <c r="G319" s="1311" t="s">
        <v>1837</v>
      </c>
      <c r="H319" s="1172">
        <f>-210000+210000</f>
        <v>0</v>
      </c>
      <c r="I319" s="1172"/>
      <c r="J319" s="1172"/>
      <c r="K319" s="1172"/>
      <c r="L319" s="1173"/>
      <c r="M319" s="1172"/>
      <c r="N319" s="1172"/>
      <c r="O319" s="1172"/>
      <c r="P319" s="1174"/>
      <c r="Q319" s="1175"/>
      <c r="R319" s="1172"/>
      <c r="S319" s="1172"/>
      <c r="T319" s="1172"/>
      <c r="U319" s="1172"/>
      <c r="V319" s="1172"/>
      <c r="W319" s="1172"/>
      <c r="X319" s="1176"/>
    </row>
    <row r="320" spans="1:24" ht="19.5" customHeight="1" x14ac:dyDescent="0.2">
      <c r="A320" s="2061"/>
      <c r="B320" s="2060"/>
      <c r="C320" s="2065"/>
      <c r="D320" s="1170" t="s">
        <v>188</v>
      </c>
      <c r="E320" s="1462" t="s">
        <v>626</v>
      </c>
      <c r="F320" s="1462" t="s">
        <v>136</v>
      </c>
      <c r="G320" s="1311" t="s">
        <v>1837</v>
      </c>
      <c r="H320" s="1172">
        <f>-172223+172223</f>
        <v>0</v>
      </c>
      <c r="I320" s="1172"/>
      <c r="J320" s="1172"/>
      <c r="K320" s="1172"/>
      <c r="L320" s="1173"/>
      <c r="M320" s="1172"/>
      <c r="N320" s="1172"/>
      <c r="O320" s="1172"/>
      <c r="P320" s="1174"/>
      <c r="Q320" s="1175"/>
      <c r="R320" s="1172"/>
      <c r="S320" s="1172"/>
      <c r="T320" s="1172"/>
      <c r="U320" s="1172"/>
      <c r="V320" s="1172"/>
      <c r="W320" s="1172"/>
      <c r="X320" s="1176"/>
    </row>
    <row r="321" spans="1:24" ht="19.5" customHeight="1" x14ac:dyDescent="0.2">
      <c r="A321" s="2061"/>
      <c r="B321" s="2060"/>
      <c r="C321" s="2065"/>
      <c r="D321" s="1170" t="s">
        <v>188</v>
      </c>
      <c r="E321" s="1462" t="s">
        <v>542</v>
      </c>
      <c r="F321" s="1462" t="s">
        <v>447</v>
      </c>
      <c r="G321" s="1311" t="s">
        <v>1837</v>
      </c>
      <c r="H321" s="1172">
        <f>-18000+18000</f>
        <v>0</v>
      </c>
      <c r="I321" s="1172"/>
      <c r="J321" s="1172"/>
      <c r="K321" s="1172"/>
      <c r="L321" s="1173"/>
      <c r="M321" s="1172"/>
      <c r="N321" s="1172"/>
      <c r="O321" s="1172"/>
      <c r="P321" s="1174"/>
      <c r="Q321" s="1175"/>
      <c r="R321" s="1172"/>
      <c r="S321" s="1172"/>
      <c r="T321" s="1172"/>
      <c r="U321" s="1172"/>
      <c r="V321" s="1172"/>
      <c r="W321" s="1172"/>
      <c r="X321" s="1176"/>
    </row>
    <row r="322" spans="1:24" ht="19.5" customHeight="1" x14ac:dyDescent="0.2">
      <c r="A322" s="2061"/>
      <c r="B322" s="2060"/>
      <c r="C322" s="2065"/>
      <c r="D322" s="1170" t="s">
        <v>188</v>
      </c>
      <c r="E322" s="1462" t="s">
        <v>542</v>
      </c>
      <c r="F322" s="1462" t="s">
        <v>449</v>
      </c>
      <c r="G322" s="1311" t="s">
        <v>1837</v>
      </c>
      <c r="H322" s="1172">
        <f>-187600+9000+178600</f>
        <v>0</v>
      </c>
      <c r="I322" s="1172"/>
      <c r="J322" s="1172"/>
      <c r="K322" s="1172"/>
      <c r="L322" s="1173"/>
      <c r="M322" s="1172"/>
      <c r="N322" s="1172"/>
      <c r="O322" s="1172"/>
      <c r="P322" s="1174"/>
      <c r="Q322" s="1175"/>
      <c r="R322" s="1172"/>
      <c r="S322" s="1172"/>
      <c r="T322" s="1172"/>
      <c r="U322" s="1172"/>
      <c r="V322" s="1172"/>
      <c r="W322" s="1172"/>
      <c r="X322" s="1176"/>
    </row>
    <row r="323" spans="1:24" ht="19.5" customHeight="1" x14ac:dyDescent="0.2">
      <c r="A323" s="2053"/>
      <c r="B323" s="2055"/>
      <c r="C323" s="2057"/>
      <c r="D323" s="1170" t="s">
        <v>188</v>
      </c>
      <c r="E323" s="1462" t="s">
        <v>64</v>
      </c>
      <c r="F323" s="1462" t="s">
        <v>526</v>
      </c>
      <c r="G323" s="1311" t="s">
        <v>1837</v>
      </c>
      <c r="H323" s="1172">
        <f>-173117+173117</f>
        <v>0</v>
      </c>
      <c r="I323" s="1172"/>
      <c r="J323" s="1172"/>
      <c r="K323" s="1172"/>
      <c r="L323" s="1173"/>
      <c r="M323" s="1172"/>
      <c r="N323" s="1172"/>
      <c r="O323" s="1172"/>
      <c r="P323" s="1174"/>
      <c r="Q323" s="1175"/>
      <c r="R323" s="1172"/>
      <c r="S323" s="1172"/>
      <c r="T323" s="1172"/>
      <c r="U323" s="1172"/>
      <c r="V323" s="1172"/>
      <c r="W323" s="1172"/>
      <c r="X323" s="1176"/>
    </row>
    <row r="324" spans="1:24" ht="27" customHeight="1" x14ac:dyDescent="0.2">
      <c r="A324" s="1491" t="s">
        <v>1365</v>
      </c>
      <c r="B324" s="1490" t="s">
        <v>1643</v>
      </c>
      <c r="C324" s="1631" t="s">
        <v>2266</v>
      </c>
      <c r="D324" s="1170" t="s">
        <v>188</v>
      </c>
      <c r="E324" s="1462" t="s">
        <v>1375</v>
      </c>
      <c r="F324" s="1462" t="s">
        <v>1878</v>
      </c>
      <c r="G324" s="1311" t="s">
        <v>1829</v>
      </c>
      <c r="H324" s="1172"/>
      <c r="I324" s="1172"/>
      <c r="J324" s="1172"/>
      <c r="K324" s="1172"/>
      <c r="L324" s="1173"/>
      <c r="M324" s="1172"/>
      <c r="N324" s="1172"/>
      <c r="O324" s="1172"/>
      <c r="P324" s="1174">
        <v>12154371</v>
      </c>
      <c r="Q324" s="1175"/>
      <c r="R324" s="1172"/>
      <c r="S324" s="1172"/>
      <c r="T324" s="1172"/>
      <c r="U324" s="1172"/>
      <c r="V324" s="1172"/>
      <c r="W324" s="1172"/>
      <c r="X324" s="1176">
        <v>12154371</v>
      </c>
    </row>
    <row r="325" spans="1:24" ht="25.5" customHeight="1" x14ac:dyDescent="0.2">
      <c r="A325" s="2052" t="s">
        <v>1366</v>
      </c>
      <c r="B325" s="2054" t="s">
        <v>1644</v>
      </c>
      <c r="C325" s="2056" t="s">
        <v>2267</v>
      </c>
      <c r="D325" s="1170" t="s">
        <v>188</v>
      </c>
      <c r="E325" s="1462" t="s">
        <v>2270</v>
      </c>
      <c r="F325" s="1462" t="s">
        <v>2268</v>
      </c>
      <c r="G325" s="1311" t="s">
        <v>1828</v>
      </c>
      <c r="H325" s="1172"/>
      <c r="I325" s="1172"/>
      <c r="J325" s="1172">
        <f>-8000000-2160000</f>
        <v>-10160000</v>
      </c>
      <c r="K325" s="1172"/>
      <c r="L325" s="1173"/>
      <c r="M325" s="1172"/>
      <c r="N325" s="1172"/>
      <c r="O325" s="1172"/>
      <c r="P325" s="1174"/>
      <c r="Q325" s="1175"/>
      <c r="R325" s="1172"/>
      <c r="S325" s="1172"/>
      <c r="T325" s="1172"/>
      <c r="U325" s="1172"/>
      <c r="V325" s="1172"/>
      <c r="W325" s="1172"/>
      <c r="X325" s="1176"/>
    </row>
    <row r="326" spans="1:24" ht="25.5" customHeight="1" x14ac:dyDescent="0.2">
      <c r="A326" s="2053"/>
      <c r="B326" s="2055"/>
      <c r="C326" s="2057"/>
      <c r="D326" s="1170" t="s">
        <v>188</v>
      </c>
      <c r="E326" s="1462" t="s">
        <v>2271</v>
      </c>
      <c r="F326" s="1462" t="s">
        <v>2269</v>
      </c>
      <c r="G326" s="1311" t="s">
        <v>1829</v>
      </c>
      <c r="H326" s="1172"/>
      <c r="I326" s="1172"/>
      <c r="J326" s="1172">
        <f>8000000+2160000</f>
        <v>10160000</v>
      </c>
      <c r="K326" s="1172"/>
      <c r="L326" s="1173"/>
      <c r="M326" s="1172"/>
      <c r="N326" s="1172"/>
      <c r="O326" s="1172"/>
      <c r="P326" s="1174"/>
      <c r="Q326" s="1175"/>
      <c r="R326" s="1172"/>
      <c r="S326" s="1172"/>
      <c r="T326" s="1172"/>
      <c r="U326" s="1172"/>
      <c r="V326" s="1172"/>
      <c r="W326" s="1172"/>
      <c r="X326" s="1176"/>
    </row>
    <row r="327" spans="1:24" ht="31.5" customHeight="1" x14ac:dyDescent="0.2">
      <c r="A327" s="1491"/>
      <c r="B327" s="1490"/>
      <c r="C327" s="1631" t="s">
        <v>2273</v>
      </c>
      <c r="D327" s="1170" t="s">
        <v>197</v>
      </c>
      <c r="E327" s="1462" t="s">
        <v>1288</v>
      </c>
      <c r="F327" s="1462" t="s">
        <v>535</v>
      </c>
      <c r="G327" s="1311" t="s">
        <v>1837</v>
      </c>
      <c r="H327" s="1172"/>
      <c r="I327" s="1172"/>
      <c r="J327" s="1172"/>
      <c r="K327" s="1172"/>
      <c r="L327" s="1173"/>
      <c r="M327" s="1172"/>
      <c r="N327" s="1172"/>
      <c r="O327" s="1172"/>
      <c r="P327" s="1174">
        <f>-540000+540000</f>
        <v>0</v>
      </c>
      <c r="Q327" s="1175"/>
      <c r="R327" s="1172"/>
      <c r="S327" s="1172"/>
      <c r="T327" s="1172"/>
      <c r="U327" s="1172"/>
      <c r="V327" s="1172"/>
      <c r="W327" s="1172"/>
      <c r="X327" s="1176"/>
    </row>
    <row r="328" spans="1:24" ht="47.25" customHeight="1" x14ac:dyDescent="0.2">
      <c r="A328" s="2052" t="s">
        <v>1367</v>
      </c>
      <c r="B328" s="2054" t="s">
        <v>1645</v>
      </c>
      <c r="C328" s="2056" t="s">
        <v>2276</v>
      </c>
      <c r="D328" s="1170" t="s">
        <v>195</v>
      </c>
      <c r="E328" s="1462" t="s">
        <v>74</v>
      </c>
      <c r="F328" s="1462" t="s">
        <v>1870</v>
      </c>
      <c r="G328" s="1311" t="s">
        <v>1828</v>
      </c>
      <c r="H328" s="1172"/>
      <c r="I328" s="1172"/>
      <c r="J328" s="1172"/>
      <c r="K328" s="1172"/>
      <c r="L328" s="1173">
        <v>-150000</v>
      </c>
      <c r="M328" s="1172"/>
      <c r="N328" s="1172"/>
      <c r="O328" s="1172"/>
      <c r="P328" s="1174"/>
      <c r="Q328" s="1175"/>
      <c r="R328" s="1172"/>
      <c r="S328" s="1172"/>
      <c r="T328" s="1172"/>
      <c r="U328" s="1172"/>
      <c r="V328" s="1172"/>
      <c r="W328" s="1172"/>
      <c r="X328" s="1176"/>
    </row>
    <row r="329" spans="1:24" ht="47.25" customHeight="1" x14ac:dyDescent="0.2">
      <c r="A329" s="2053"/>
      <c r="B329" s="2055"/>
      <c r="C329" s="2057"/>
      <c r="D329" s="1170" t="s">
        <v>192</v>
      </c>
      <c r="E329" s="1462" t="s">
        <v>602</v>
      </c>
      <c r="F329" s="1462" t="s">
        <v>1875</v>
      </c>
      <c r="G329" s="1311" t="s">
        <v>1829</v>
      </c>
      <c r="H329" s="1172"/>
      <c r="I329" s="1172"/>
      <c r="J329" s="1172"/>
      <c r="K329" s="1172"/>
      <c r="L329" s="1173">
        <v>150000</v>
      </c>
      <c r="M329" s="1172"/>
      <c r="N329" s="1172"/>
      <c r="O329" s="1172"/>
      <c r="P329" s="1174"/>
      <c r="Q329" s="1175"/>
      <c r="R329" s="1172"/>
      <c r="S329" s="1172"/>
      <c r="T329" s="1172"/>
      <c r="U329" s="1172"/>
      <c r="V329" s="1172"/>
      <c r="W329" s="1172"/>
      <c r="X329" s="1176"/>
    </row>
    <row r="330" spans="1:24" ht="47.25" customHeight="1" x14ac:dyDescent="0.2">
      <c r="A330" s="2052" t="s">
        <v>1306</v>
      </c>
      <c r="B330" s="2054" t="s">
        <v>1646</v>
      </c>
      <c r="C330" s="2056" t="s">
        <v>2277</v>
      </c>
      <c r="D330" s="1170" t="s">
        <v>195</v>
      </c>
      <c r="E330" s="1462" t="s">
        <v>74</v>
      </c>
      <c r="F330" s="1462" t="s">
        <v>1870</v>
      </c>
      <c r="G330" s="1311" t="s">
        <v>1828</v>
      </c>
      <c r="H330" s="1172"/>
      <c r="I330" s="1172"/>
      <c r="J330" s="1172"/>
      <c r="K330" s="1172"/>
      <c r="L330" s="1173">
        <v>-150000</v>
      </c>
      <c r="M330" s="1172"/>
      <c r="N330" s="1172"/>
      <c r="O330" s="1172"/>
      <c r="P330" s="1174"/>
      <c r="Q330" s="1175"/>
      <c r="R330" s="1172"/>
      <c r="S330" s="1172"/>
      <c r="T330" s="1172"/>
      <c r="U330" s="1172"/>
      <c r="V330" s="1172"/>
      <c r="W330" s="1172"/>
      <c r="X330" s="1176"/>
    </row>
    <row r="331" spans="1:24" ht="47.25" customHeight="1" x14ac:dyDescent="0.2">
      <c r="A331" s="2053"/>
      <c r="B331" s="2055"/>
      <c r="C331" s="2057"/>
      <c r="D331" s="1170" t="s">
        <v>192</v>
      </c>
      <c r="E331" s="1462" t="s">
        <v>77</v>
      </c>
      <c r="F331" s="1462" t="s">
        <v>1875</v>
      </c>
      <c r="G331" s="1311" t="s">
        <v>1829</v>
      </c>
      <c r="H331" s="1172"/>
      <c r="I331" s="1172"/>
      <c r="J331" s="1172"/>
      <c r="K331" s="1172"/>
      <c r="L331" s="1173">
        <v>150000</v>
      </c>
      <c r="M331" s="1172"/>
      <c r="N331" s="1172"/>
      <c r="O331" s="1172"/>
      <c r="P331" s="1174"/>
      <c r="Q331" s="1175"/>
      <c r="R331" s="1172"/>
      <c r="S331" s="1172"/>
      <c r="T331" s="1172"/>
      <c r="U331" s="1172"/>
      <c r="V331" s="1172"/>
      <c r="W331" s="1172"/>
      <c r="X331" s="1176"/>
    </row>
    <row r="332" spans="1:24" ht="30.75" customHeight="1" x14ac:dyDescent="0.2">
      <c r="A332" s="2052" t="s">
        <v>1307</v>
      </c>
      <c r="B332" s="2054" t="s">
        <v>2280</v>
      </c>
      <c r="C332" s="2056" t="s">
        <v>2281</v>
      </c>
      <c r="D332" s="1170" t="s">
        <v>188</v>
      </c>
      <c r="E332" s="1462" t="s">
        <v>1868</v>
      </c>
      <c r="F332" s="1462" t="s">
        <v>1867</v>
      </c>
      <c r="G332" s="1311" t="s">
        <v>1828</v>
      </c>
      <c r="H332" s="1172"/>
      <c r="I332" s="1172"/>
      <c r="J332" s="1172">
        <f>-2018841-372989</f>
        <v>-2391830</v>
      </c>
      <c r="K332" s="1172"/>
      <c r="L332" s="1173"/>
      <c r="M332" s="1172"/>
      <c r="N332" s="1172"/>
      <c r="O332" s="1172"/>
      <c r="P332" s="1174"/>
      <c r="Q332" s="1175"/>
      <c r="R332" s="1172"/>
      <c r="S332" s="1172"/>
      <c r="T332" s="1172"/>
      <c r="U332" s="1172"/>
      <c r="V332" s="1172"/>
      <c r="W332" s="1172"/>
      <c r="X332" s="1176"/>
    </row>
    <row r="333" spans="1:24" ht="30.75" customHeight="1" x14ac:dyDescent="0.2">
      <c r="A333" s="2053"/>
      <c r="B333" s="2055"/>
      <c r="C333" s="2057"/>
      <c r="D333" s="1170" t="s">
        <v>188</v>
      </c>
      <c r="E333" s="1462" t="s">
        <v>1868</v>
      </c>
      <c r="F333" s="1462" t="s">
        <v>2282</v>
      </c>
      <c r="G333" s="1311" t="s">
        <v>1829</v>
      </c>
      <c r="H333" s="1172">
        <v>467400</v>
      </c>
      <c r="I333" s="1172">
        <v>170000</v>
      </c>
      <c r="J333" s="1172">
        <f>1381441+372989</f>
        <v>1754430</v>
      </c>
      <c r="K333" s="1172"/>
      <c r="L333" s="1173"/>
      <c r="M333" s="1172"/>
      <c r="N333" s="1172"/>
      <c r="O333" s="1172"/>
      <c r="P333" s="1174"/>
      <c r="Q333" s="1175"/>
      <c r="R333" s="1172"/>
      <c r="S333" s="1172"/>
      <c r="T333" s="1172"/>
      <c r="U333" s="1172"/>
      <c r="V333" s="1172"/>
      <c r="W333" s="1172"/>
      <c r="X333" s="1176"/>
    </row>
    <row r="334" spans="1:24" ht="44.25" customHeight="1" x14ac:dyDescent="0.2">
      <c r="A334" s="1491" t="s">
        <v>1412</v>
      </c>
      <c r="B334" s="1490" t="s">
        <v>2283</v>
      </c>
      <c r="C334" s="1631" t="s">
        <v>2284</v>
      </c>
      <c r="D334" s="1170" t="s">
        <v>188</v>
      </c>
      <c r="E334" s="1462" t="s">
        <v>1868</v>
      </c>
      <c r="F334" s="1462" t="s">
        <v>2282</v>
      </c>
      <c r="G334" s="1311" t="s">
        <v>1837</v>
      </c>
      <c r="H334" s="1172"/>
      <c r="I334" s="1172"/>
      <c r="J334" s="1172">
        <f>-1000000-600000+1527386+72614</f>
        <v>0</v>
      </c>
      <c r="K334" s="1172"/>
      <c r="L334" s="1173"/>
      <c r="M334" s="1172"/>
      <c r="N334" s="1172"/>
      <c r="O334" s="1172"/>
      <c r="P334" s="1174"/>
      <c r="Q334" s="1175"/>
      <c r="R334" s="1172"/>
      <c r="S334" s="1172"/>
      <c r="T334" s="1172"/>
      <c r="U334" s="1172"/>
      <c r="V334" s="1172"/>
      <c r="W334" s="1172"/>
      <c r="X334" s="1176"/>
    </row>
    <row r="335" spans="1:24" ht="39" customHeight="1" x14ac:dyDescent="0.2">
      <c r="A335" s="2052" t="s">
        <v>1413</v>
      </c>
      <c r="B335" s="2054" t="s">
        <v>1651</v>
      </c>
      <c r="C335" s="2056" t="s">
        <v>2285</v>
      </c>
      <c r="D335" s="1170" t="s">
        <v>195</v>
      </c>
      <c r="E335" s="1462" t="s">
        <v>74</v>
      </c>
      <c r="F335" s="1462" t="s">
        <v>1870</v>
      </c>
      <c r="G335" s="1311" t="s">
        <v>1828</v>
      </c>
      <c r="H335" s="1172"/>
      <c r="I335" s="1172"/>
      <c r="J335" s="1172"/>
      <c r="K335" s="1172"/>
      <c r="L335" s="1173">
        <v>-7500000</v>
      </c>
      <c r="M335" s="1172"/>
      <c r="N335" s="1172"/>
      <c r="O335" s="1172"/>
      <c r="P335" s="1174"/>
      <c r="Q335" s="1175"/>
      <c r="R335" s="1172"/>
      <c r="S335" s="1172"/>
      <c r="T335" s="1172"/>
      <c r="U335" s="1172"/>
      <c r="V335" s="1172"/>
      <c r="W335" s="1172"/>
      <c r="X335" s="1176"/>
    </row>
    <row r="336" spans="1:24" ht="39" customHeight="1" x14ac:dyDescent="0.2">
      <c r="A336" s="2053"/>
      <c r="B336" s="2055"/>
      <c r="C336" s="2057"/>
      <c r="D336" s="1170" t="s">
        <v>188</v>
      </c>
      <c r="E336" s="1462" t="s">
        <v>854</v>
      </c>
      <c r="F336" s="1462" t="s">
        <v>853</v>
      </c>
      <c r="G336" s="1311" t="s">
        <v>1829</v>
      </c>
      <c r="H336" s="1172"/>
      <c r="I336" s="1172"/>
      <c r="J336" s="1172">
        <f>5905512+1594488</f>
        <v>7500000</v>
      </c>
      <c r="K336" s="1172"/>
      <c r="L336" s="1173"/>
      <c r="M336" s="1172"/>
      <c r="N336" s="1172"/>
      <c r="O336" s="1172"/>
      <c r="P336" s="1174"/>
      <c r="Q336" s="1175"/>
      <c r="R336" s="1172"/>
      <c r="S336" s="1172"/>
      <c r="T336" s="1172"/>
      <c r="U336" s="1172"/>
      <c r="V336" s="1172"/>
      <c r="W336" s="1172"/>
      <c r="X336" s="1176"/>
    </row>
    <row r="337" spans="1:24" ht="28.5" customHeight="1" x14ac:dyDescent="0.2">
      <c r="A337" s="2052" t="s">
        <v>1414</v>
      </c>
      <c r="B337" s="2054" t="s">
        <v>1652</v>
      </c>
      <c r="C337" s="2056" t="s">
        <v>2286</v>
      </c>
      <c r="D337" s="1170" t="s">
        <v>195</v>
      </c>
      <c r="E337" s="1462" t="s">
        <v>74</v>
      </c>
      <c r="F337" s="1462" t="s">
        <v>1870</v>
      </c>
      <c r="G337" s="1311" t="s">
        <v>1828</v>
      </c>
      <c r="H337" s="1172"/>
      <c r="I337" s="1172"/>
      <c r="J337" s="1172"/>
      <c r="K337" s="1172"/>
      <c r="L337" s="1173">
        <v>-400000</v>
      </c>
      <c r="M337" s="1172"/>
      <c r="N337" s="1172"/>
      <c r="O337" s="1172"/>
      <c r="P337" s="1174"/>
      <c r="Q337" s="1175"/>
      <c r="R337" s="1172"/>
      <c r="S337" s="1172"/>
      <c r="T337" s="1172"/>
      <c r="U337" s="1172"/>
      <c r="V337" s="1172"/>
      <c r="W337" s="1172"/>
      <c r="X337" s="1176"/>
    </row>
    <row r="338" spans="1:24" ht="28.5" customHeight="1" x14ac:dyDescent="0.2">
      <c r="A338" s="2053"/>
      <c r="B338" s="2055"/>
      <c r="C338" s="2057"/>
      <c r="D338" s="1170" t="s">
        <v>192</v>
      </c>
      <c r="E338" s="1462" t="s">
        <v>77</v>
      </c>
      <c r="F338" s="1462" t="s">
        <v>1875</v>
      </c>
      <c r="G338" s="1311" t="s">
        <v>1829</v>
      </c>
      <c r="H338" s="1172"/>
      <c r="I338" s="1172"/>
      <c r="J338" s="1172"/>
      <c r="K338" s="1172"/>
      <c r="L338" s="1173">
        <v>400000</v>
      </c>
      <c r="M338" s="1172"/>
      <c r="N338" s="1172"/>
      <c r="O338" s="1172"/>
      <c r="P338" s="1174"/>
      <c r="Q338" s="1175"/>
      <c r="R338" s="1172"/>
      <c r="S338" s="1172"/>
      <c r="T338" s="1172"/>
      <c r="U338" s="1172"/>
      <c r="V338" s="1172"/>
      <c r="W338" s="1172"/>
      <c r="X338" s="1176"/>
    </row>
    <row r="339" spans="1:24" ht="33.75" customHeight="1" x14ac:dyDescent="0.2">
      <c r="A339" s="2052" t="s">
        <v>1424</v>
      </c>
      <c r="B339" s="2054" t="s">
        <v>1653</v>
      </c>
      <c r="C339" s="2056" t="s">
        <v>2288</v>
      </c>
      <c r="D339" s="1170" t="s">
        <v>195</v>
      </c>
      <c r="E339" s="1462" t="s">
        <v>74</v>
      </c>
      <c r="F339" s="1462" t="s">
        <v>1870</v>
      </c>
      <c r="G339" s="1311" t="s">
        <v>1828</v>
      </c>
      <c r="H339" s="1172"/>
      <c r="I339" s="1172"/>
      <c r="J339" s="1172"/>
      <c r="K339" s="1172"/>
      <c r="L339" s="1173">
        <v>-158750</v>
      </c>
      <c r="M339" s="1172"/>
      <c r="N339" s="1172"/>
      <c r="O339" s="1172"/>
      <c r="P339" s="1174"/>
      <c r="Q339" s="1175"/>
      <c r="R339" s="1172"/>
      <c r="S339" s="1172"/>
      <c r="T339" s="1172"/>
      <c r="U339" s="1172"/>
      <c r="V339" s="1172"/>
      <c r="W339" s="1172"/>
      <c r="X339" s="1176"/>
    </row>
    <row r="340" spans="1:24" ht="33.75" customHeight="1" x14ac:dyDescent="0.2">
      <c r="A340" s="2053"/>
      <c r="B340" s="2055"/>
      <c r="C340" s="2057"/>
      <c r="D340" s="1170" t="s">
        <v>197</v>
      </c>
      <c r="E340" s="1462" t="s">
        <v>1288</v>
      </c>
      <c r="F340" s="1462" t="s">
        <v>535</v>
      </c>
      <c r="G340" s="1311" t="s">
        <v>1829</v>
      </c>
      <c r="H340" s="1172"/>
      <c r="I340" s="1172"/>
      <c r="J340" s="1172"/>
      <c r="K340" s="1172"/>
      <c r="L340" s="1173"/>
      <c r="M340" s="1172"/>
      <c r="N340" s="1172"/>
      <c r="O340" s="1172"/>
      <c r="P340" s="1174">
        <v>158750</v>
      </c>
      <c r="Q340" s="1175"/>
      <c r="R340" s="1172"/>
      <c r="S340" s="1172"/>
      <c r="T340" s="1172"/>
      <c r="U340" s="1172"/>
      <c r="V340" s="1172"/>
      <c r="W340" s="1172"/>
      <c r="X340" s="1176"/>
    </row>
    <row r="341" spans="1:24" ht="39.75" customHeight="1" x14ac:dyDescent="0.2">
      <c r="A341" s="2052" t="s">
        <v>1472</v>
      </c>
      <c r="B341" s="2054" t="s">
        <v>2308</v>
      </c>
      <c r="C341" s="2056" t="s">
        <v>2347</v>
      </c>
      <c r="D341" s="1170" t="s">
        <v>195</v>
      </c>
      <c r="E341" s="1462" t="s">
        <v>74</v>
      </c>
      <c r="F341" s="1462" t="s">
        <v>1870</v>
      </c>
      <c r="G341" s="1311" t="s">
        <v>1828</v>
      </c>
      <c r="H341" s="1172"/>
      <c r="I341" s="1172"/>
      <c r="J341" s="1172"/>
      <c r="K341" s="1172"/>
      <c r="L341" s="1173">
        <v>-17780000</v>
      </c>
      <c r="M341" s="1172"/>
      <c r="N341" s="1172"/>
      <c r="O341" s="1172"/>
      <c r="P341" s="1174"/>
      <c r="Q341" s="1175"/>
      <c r="R341" s="1172"/>
      <c r="S341" s="1172"/>
      <c r="T341" s="1172"/>
      <c r="U341" s="1172"/>
      <c r="V341" s="1172"/>
      <c r="W341" s="1172"/>
      <c r="X341" s="1176"/>
    </row>
    <row r="342" spans="1:24" ht="39.75" customHeight="1" x14ac:dyDescent="0.2">
      <c r="A342" s="2053"/>
      <c r="B342" s="2055"/>
      <c r="C342" s="2057"/>
      <c r="D342" s="1170" t="s">
        <v>193</v>
      </c>
      <c r="E342" s="1462" t="s">
        <v>1502</v>
      </c>
      <c r="F342" s="1462" t="s">
        <v>1501</v>
      </c>
      <c r="G342" s="1311" t="s">
        <v>1829</v>
      </c>
      <c r="H342" s="1172"/>
      <c r="I342" s="1172"/>
      <c r="J342" s="1172"/>
      <c r="K342" s="1172"/>
      <c r="L342" s="1173"/>
      <c r="M342" s="1172">
        <f>14000000+3780000</f>
        <v>17780000</v>
      </c>
      <c r="N342" s="1172"/>
      <c r="O342" s="1172"/>
      <c r="P342" s="1174"/>
      <c r="Q342" s="1175"/>
      <c r="R342" s="1172"/>
      <c r="S342" s="1172"/>
      <c r="T342" s="1172"/>
      <c r="U342" s="1172"/>
      <c r="V342" s="1172"/>
      <c r="W342" s="1172"/>
      <c r="X342" s="1176"/>
    </row>
    <row r="343" spans="1:24" ht="42.75" customHeight="1" x14ac:dyDescent="0.2">
      <c r="A343" s="1491" t="s">
        <v>1563</v>
      </c>
      <c r="B343" s="1490" t="s">
        <v>1655</v>
      </c>
      <c r="C343" s="1631" t="s">
        <v>2295</v>
      </c>
      <c r="D343" s="1170" t="s">
        <v>193</v>
      </c>
      <c r="E343" s="1462" t="s">
        <v>130</v>
      </c>
      <c r="F343" s="1462" t="s">
        <v>91</v>
      </c>
      <c r="G343" s="1311" t="s">
        <v>1837</v>
      </c>
      <c r="H343" s="1172"/>
      <c r="I343" s="1172"/>
      <c r="J343" s="1172"/>
      <c r="K343" s="1172"/>
      <c r="L343" s="1173"/>
      <c r="M343" s="1172">
        <f>-2660170-718246+2660170+718246</f>
        <v>0</v>
      </c>
      <c r="N343" s="1172"/>
      <c r="O343" s="1172"/>
      <c r="P343" s="1174"/>
      <c r="Q343" s="1175"/>
      <c r="R343" s="1172"/>
      <c r="S343" s="1172"/>
      <c r="T343" s="1172"/>
      <c r="U343" s="1172"/>
      <c r="V343" s="1172"/>
      <c r="W343" s="1172"/>
      <c r="X343" s="1176"/>
    </row>
    <row r="344" spans="1:24" ht="33" customHeight="1" x14ac:dyDescent="0.2">
      <c r="A344" s="1491" t="s">
        <v>1564</v>
      </c>
      <c r="B344" s="1490" t="s">
        <v>1658</v>
      </c>
      <c r="C344" s="1631" t="s">
        <v>2297</v>
      </c>
      <c r="D344" s="1170" t="s">
        <v>188</v>
      </c>
      <c r="E344" s="1462" t="s">
        <v>542</v>
      </c>
      <c r="F344" s="1462" t="s">
        <v>449</v>
      </c>
      <c r="G344" s="1311" t="s">
        <v>1837</v>
      </c>
      <c r="H344" s="1172"/>
      <c r="I344" s="1172"/>
      <c r="J344" s="1172">
        <f>-3524+3524</f>
        <v>0</v>
      </c>
      <c r="K344" s="1172"/>
      <c r="L344" s="1173"/>
      <c r="M344" s="1172"/>
      <c r="N344" s="1172"/>
      <c r="O344" s="1172"/>
      <c r="P344" s="1174"/>
      <c r="Q344" s="1175"/>
      <c r="R344" s="1172"/>
      <c r="S344" s="1172"/>
      <c r="T344" s="1172"/>
      <c r="U344" s="1172"/>
      <c r="V344" s="1172"/>
      <c r="W344" s="1172"/>
      <c r="X344" s="1176"/>
    </row>
    <row r="345" spans="1:24" ht="21" customHeight="1" x14ac:dyDescent="0.2">
      <c r="A345" s="2052" t="s">
        <v>1565</v>
      </c>
      <c r="B345" s="2054" t="s">
        <v>1659</v>
      </c>
      <c r="C345" s="2056" t="s">
        <v>2298</v>
      </c>
      <c r="D345" s="1170" t="s">
        <v>195</v>
      </c>
      <c r="E345" s="1462" t="s">
        <v>74</v>
      </c>
      <c r="F345" s="1462" t="s">
        <v>1870</v>
      </c>
      <c r="G345" s="1311" t="s">
        <v>1828</v>
      </c>
      <c r="H345" s="1172"/>
      <c r="I345" s="1172"/>
      <c r="J345" s="1172"/>
      <c r="K345" s="1172"/>
      <c r="L345" s="1173">
        <v>-3357201</v>
      </c>
      <c r="M345" s="1172"/>
      <c r="N345" s="1172"/>
      <c r="O345" s="1172"/>
      <c r="P345" s="1174"/>
      <c r="Q345" s="1175"/>
      <c r="R345" s="1172"/>
      <c r="S345" s="1172"/>
      <c r="T345" s="1172"/>
      <c r="U345" s="1172"/>
      <c r="V345" s="1172"/>
      <c r="W345" s="1172"/>
      <c r="X345" s="1176"/>
    </row>
    <row r="346" spans="1:24" ht="21" customHeight="1" x14ac:dyDescent="0.2">
      <c r="A346" s="2061"/>
      <c r="B346" s="2060"/>
      <c r="C346" s="2065"/>
      <c r="D346" s="1170" t="s">
        <v>188</v>
      </c>
      <c r="E346" s="1462" t="s">
        <v>590</v>
      </c>
      <c r="F346" s="1462" t="s">
        <v>442</v>
      </c>
      <c r="G346" s="1311" t="s">
        <v>1829</v>
      </c>
      <c r="H346" s="1172"/>
      <c r="I346" s="1172"/>
      <c r="J346" s="1172">
        <f>543465+146736</f>
        <v>690201</v>
      </c>
      <c r="K346" s="1172"/>
      <c r="L346" s="1173"/>
      <c r="M346" s="1172"/>
      <c r="N346" s="1172"/>
      <c r="O346" s="1172"/>
      <c r="P346" s="1174"/>
      <c r="Q346" s="1175"/>
      <c r="R346" s="1172"/>
      <c r="S346" s="1172"/>
      <c r="T346" s="1172"/>
      <c r="U346" s="1172"/>
      <c r="V346" s="1172"/>
      <c r="W346" s="1172"/>
      <c r="X346" s="1176"/>
    </row>
    <row r="347" spans="1:24" ht="21" customHeight="1" x14ac:dyDescent="0.2">
      <c r="A347" s="2053"/>
      <c r="B347" s="2055"/>
      <c r="C347" s="2057"/>
      <c r="D347" s="1170" t="s">
        <v>188</v>
      </c>
      <c r="E347" s="1462" t="s">
        <v>131</v>
      </c>
      <c r="F347" s="1462" t="s">
        <v>1902</v>
      </c>
      <c r="G347" s="1311" t="s">
        <v>1829</v>
      </c>
      <c r="H347" s="1172"/>
      <c r="I347" s="1172"/>
      <c r="J347" s="1172">
        <f>2100000+567000</f>
        <v>2667000</v>
      </c>
      <c r="K347" s="1172"/>
      <c r="L347" s="1173"/>
      <c r="M347" s="1172"/>
      <c r="N347" s="1172"/>
      <c r="O347" s="1172"/>
      <c r="P347" s="1174"/>
      <c r="Q347" s="1175"/>
      <c r="R347" s="1172"/>
      <c r="S347" s="1172"/>
      <c r="T347" s="1172"/>
      <c r="U347" s="1172"/>
      <c r="V347" s="1172"/>
      <c r="W347" s="1172"/>
      <c r="X347" s="1176"/>
    </row>
    <row r="348" spans="1:24" ht="24" customHeight="1" x14ac:dyDescent="0.2">
      <c r="A348" s="2052" t="s">
        <v>1566</v>
      </c>
      <c r="B348" s="2054" t="s">
        <v>1660</v>
      </c>
      <c r="C348" s="2056" t="s">
        <v>2299</v>
      </c>
      <c r="D348" s="1170" t="s">
        <v>195</v>
      </c>
      <c r="E348" s="1462" t="s">
        <v>74</v>
      </c>
      <c r="F348" s="1462" t="s">
        <v>1870</v>
      </c>
      <c r="G348" s="1311" t="s">
        <v>1828</v>
      </c>
      <c r="H348" s="1172"/>
      <c r="I348" s="1172"/>
      <c r="J348" s="1172"/>
      <c r="K348" s="1172"/>
      <c r="L348" s="1173">
        <v>-614629</v>
      </c>
      <c r="M348" s="1172"/>
      <c r="N348" s="1172"/>
      <c r="O348" s="1172"/>
      <c r="P348" s="1174"/>
      <c r="Q348" s="1175"/>
      <c r="R348" s="1172"/>
      <c r="S348" s="1172"/>
      <c r="T348" s="1172"/>
      <c r="U348" s="1172"/>
      <c r="V348" s="1172"/>
      <c r="W348" s="1172"/>
      <c r="X348" s="1176"/>
    </row>
    <row r="349" spans="1:24" ht="24" customHeight="1" x14ac:dyDescent="0.2">
      <c r="A349" s="2053"/>
      <c r="B349" s="2055"/>
      <c r="C349" s="2057"/>
      <c r="D349" s="1170" t="s">
        <v>188</v>
      </c>
      <c r="E349" s="1462" t="s">
        <v>131</v>
      </c>
      <c r="F349" s="1462" t="s">
        <v>1881</v>
      </c>
      <c r="G349" s="1311" t="s">
        <v>1829</v>
      </c>
      <c r="H349" s="1172"/>
      <c r="I349" s="1172"/>
      <c r="J349" s="1172">
        <f>483960+130669</f>
        <v>614629</v>
      </c>
      <c r="K349" s="1172"/>
      <c r="L349" s="1173"/>
      <c r="M349" s="1172"/>
      <c r="N349" s="1172"/>
      <c r="O349" s="1172"/>
      <c r="P349" s="1174"/>
      <c r="Q349" s="1175"/>
      <c r="R349" s="1172"/>
      <c r="S349" s="1172"/>
      <c r="T349" s="1172"/>
      <c r="U349" s="1172"/>
      <c r="V349" s="1172"/>
      <c r="W349" s="1172"/>
      <c r="X349" s="1176"/>
    </row>
    <row r="350" spans="1:24" ht="29.25" customHeight="1" x14ac:dyDescent="0.2">
      <c r="A350" s="1491"/>
      <c r="B350" s="1490"/>
      <c r="C350" s="1631" t="s">
        <v>2302</v>
      </c>
      <c r="D350" s="1170" t="s">
        <v>197</v>
      </c>
      <c r="E350" s="1462" t="s">
        <v>1288</v>
      </c>
      <c r="F350" s="1462" t="s">
        <v>535</v>
      </c>
      <c r="G350" s="1311" t="s">
        <v>1837</v>
      </c>
      <c r="H350" s="1172"/>
      <c r="I350" s="1172"/>
      <c r="J350" s="1172"/>
      <c r="K350" s="1172"/>
      <c r="L350" s="1173"/>
      <c r="M350" s="1172"/>
      <c r="N350" s="1172"/>
      <c r="O350" s="1172"/>
      <c r="P350" s="1174">
        <f>-779206+779206</f>
        <v>0</v>
      </c>
      <c r="Q350" s="1175"/>
      <c r="R350" s="1172"/>
      <c r="S350" s="1172"/>
      <c r="T350" s="1172"/>
      <c r="U350" s="1172"/>
      <c r="V350" s="1172"/>
      <c r="W350" s="1172"/>
      <c r="X350" s="1176"/>
    </row>
    <row r="351" spans="1:24" ht="32.25" customHeight="1" x14ac:dyDescent="0.2">
      <c r="A351" s="2052" t="s">
        <v>1567</v>
      </c>
      <c r="B351" s="2054" t="s">
        <v>1661</v>
      </c>
      <c r="C351" s="2056" t="s">
        <v>2316</v>
      </c>
      <c r="D351" s="1170" t="s">
        <v>188</v>
      </c>
      <c r="E351" s="1462" t="s">
        <v>1288</v>
      </c>
      <c r="F351" s="1462" t="s">
        <v>154</v>
      </c>
      <c r="G351" s="1311" t="s">
        <v>1829</v>
      </c>
      <c r="H351" s="1172"/>
      <c r="I351" s="1172"/>
      <c r="J351" s="1172"/>
      <c r="K351" s="1172"/>
      <c r="L351" s="1173"/>
      <c r="M351" s="1172"/>
      <c r="N351" s="1172"/>
      <c r="O351" s="1172"/>
      <c r="P351" s="1174"/>
      <c r="Q351" s="1175">
        <v>111988899</v>
      </c>
      <c r="R351" s="1172"/>
      <c r="S351" s="1172"/>
      <c r="T351" s="1172"/>
      <c r="U351" s="1172"/>
      <c r="V351" s="1172"/>
      <c r="W351" s="1172"/>
      <c r="X351" s="1176">
        <v>452316643</v>
      </c>
    </row>
    <row r="352" spans="1:24" ht="32.25" customHeight="1" x14ac:dyDescent="0.2">
      <c r="A352" s="2061"/>
      <c r="B352" s="2060"/>
      <c r="C352" s="2065"/>
      <c r="D352" s="1170" t="s">
        <v>192</v>
      </c>
      <c r="E352" s="1462" t="s">
        <v>77</v>
      </c>
      <c r="F352" s="1462" t="s">
        <v>746</v>
      </c>
      <c r="G352" s="1311" t="s">
        <v>1829</v>
      </c>
      <c r="H352" s="1172"/>
      <c r="I352" s="1172"/>
      <c r="J352" s="1172"/>
      <c r="K352" s="1172"/>
      <c r="L352" s="1173">
        <v>20000000</v>
      </c>
      <c r="M352" s="1172"/>
      <c r="N352" s="1172"/>
      <c r="O352" s="1172"/>
      <c r="P352" s="1174"/>
      <c r="Q352" s="1175"/>
      <c r="R352" s="1172"/>
      <c r="S352" s="1172"/>
      <c r="T352" s="1172"/>
      <c r="U352" s="1172"/>
      <c r="V352" s="1172"/>
      <c r="W352" s="1172"/>
      <c r="X352" s="1176"/>
    </row>
    <row r="353" spans="1:24" ht="32.25" customHeight="1" x14ac:dyDescent="0.2">
      <c r="A353" s="2061"/>
      <c r="B353" s="2060"/>
      <c r="C353" s="2065"/>
      <c r="D353" s="1170" t="s">
        <v>188</v>
      </c>
      <c r="E353" s="1462" t="s">
        <v>1868</v>
      </c>
      <c r="F353" s="1462" t="s">
        <v>1867</v>
      </c>
      <c r="G353" s="1311" t="s">
        <v>1829</v>
      </c>
      <c r="H353" s="1172"/>
      <c r="I353" s="1172"/>
      <c r="J353" s="1172">
        <f>19685039+5314961</f>
        <v>25000000</v>
      </c>
      <c r="K353" s="1172"/>
      <c r="L353" s="1173"/>
      <c r="M353" s="1172"/>
      <c r="N353" s="1172"/>
      <c r="O353" s="1172"/>
      <c r="P353" s="1174"/>
      <c r="Q353" s="1175"/>
      <c r="R353" s="1172"/>
      <c r="S353" s="1172"/>
      <c r="T353" s="1172"/>
      <c r="U353" s="1172"/>
      <c r="V353" s="1172"/>
      <c r="W353" s="1172"/>
      <c r="X353" s="1176"/>
    </row>
    <row r="354" spans="1:24" ht="32.25" customHeight="1" x14ac:dyDescent="0.2">
      <c r="A354" s="2061"/>
      <c r="B354" s="2060"/>
      <c r="C354" s="2065"/>
      <c r="D354" s="1170" t="s">
        <v>188</v>
      </c>
      <c r="E354" s="1462" t="s">
        <v>854</v>
      </c>
      <c r="F354" s="1462" t="s">
        <v>853</v>
      </c>
      <c r="G354" s="1311" t="s">
        <v>1829</v>
      </c>
      <c r="H354" s="1172"/>
      <c r="I354" s="1172"/>
      <c r="J354" s="1172">
        <f>7874016+2125984</f>
        <v>10000000</v>
      </c>
      <c r="K354" s="1172"/>
      <c r="L354" s="1173"/>
      <c r="M354" s="1172"/>
      <c r="N354" s="1172"/>
      <c r="O354" s="1172"/>
      <c r="P354" s="1174"/>
      <c r="Q354" s="1175"/>
      <c r="R354" s="1172"/>
      <c r="S354" s="1172"/>
      <c r="T354" s="1172"/>
      <c r="U354" s="1172"/>
      <c r="V354" s="1172"/>
      <c r="W354" s="1172"/>
      <c r="X354" s="1176"/>
    </row>
    <row r="355" spans="1:24" ht="32.25" customHeight="1" x14ac:dyDescent="0.2">
      <c r="A355" s="2061"/>
      <c r="B355" s="2060"/>
      <c r="C355" s="2065"/>
      <c r="D355" s="1170" t="s">
        <v>195</v>
      </c>
      <c r="E355" s="1462" t="s">
        <v>74</v>
      </c>
      <c r="F355" s="1462" t="s">
        <v>1870</v>
      </c>
      <c r="G355" s="1311" t="s">
        <v>1829</v>
      </c>
      <c r="H355" s="1172"/>
      <c r="I355" s="1172"/>
      <c r="J355" s="1172"/>
      <c r="K355" s="1172"/>
      <c r="L355" s="1173">
        <v>265465542</v>
      </c>
      <c r="M355" s="1172"/>
      <c r="N355" s="1172"/>
      <c r="O355" s="1172"/>
      <c r="P355" s="1174"/>
      <c r="Q355" s="1175"/>
      <c r="R355" s="1172"/>
      <c r="S355" s="1172"/>
      <c r="T355" s="1172"/>
      <c r="U355" s="1172"/>
      <c r="V355" s="1172"/>
      <c r="W355" s="1172"/>
      <c r="X355" s="1176"/>
    </row>
    <row r="356" spans="1:24" ht="32.25" customHeight="1" x14ac:dyDescent="0.2">
      <c r="A356" s="2061"/>
      <c r="B356" s="2060"/>
      <c r="C356" s="2065"/>
      <c r="D356" s="1170" t="s">
        <v>194</v>
      </c>
      <c r="E356" s="1462" t="s">
        <v>1502</v>
      </c>
      <c r="F356" s="1462" t="s">
        <v>1501</v>
      </c>
      <c r="G356" s="1311" t="s">
        <v>1829</v>
      </c>
      <c r="H356" s="1172"/>
      <c r="I356" s="1172"/>
      <c r="J356" s="1172"/>
      <c r="K356" s="1172"/>
      <c r="L356" s="1173"/>
      <c r="M356" s="1172"/>
      <c r="N356" s="1172">
        <f>130000000+35100000+22000000+5940000</f>
        <v>193040000</v>
      </c>
      <c r="O356" s="1172"/>
      <c r="P356" s="1174"/>
      <c r="Q356" s="1175"/>
      <c r="R356" s="1172"/>
      <c r="S356" s="1172"/>
      <c r="T356" s="1172"/>
      <c r="U356" s="1172"/>
      <c r="V356" s="1172"/>
      <c r="W356" s="1172"/>
      <c r="X356" s="1176"/>
    </row>
    <row r="357" spans="1:24" ht="32.25" customHeight="1" x14ac:dyDescent="0.2">
      <c r="A357" s="2053"/>
      <c r="B357" s="2055"/>
      <c r="C357" s="2057"/>
      <c r="D357" s="1170" t="s">
        <v>194</v>
      </c>
      <c r="E357" s="1462" t="s">
        <v>620</v>
      </c>
      <c r="F357" s="1462" t="s">
        <v>134</v>
      </c>
      <c r="G357" s="1311" t="s">
        <v>1829</v>
      </c>
      <c r="H357" s="1172"/>
      <c r="I357" s="1172"/>
      <c r="J357" s="1172"/>
      <c r="K357" s="1172"/>
      <c r="L357" s="1173"/>
      <c r="M357" s="1172"/>
      <c r="N357" s="1172">
        <f>6500000+1755000+28000000+7560000+5500000+1485000</f>
        <v>50800000</v>
      </c>
      <c r="O357" s="1172"/>
      <c r="P357" s="1174"/>
      <c r="Q357" s="1175"/>
      <c r="R357" s="1172"/>
      <c r="S357" s="1172"/>
      <c r="T357" s="1172"/>
      <c r="U357" s="1172"/>
      <c r="V357" s="1172"/>
      <c r="W357" s="1172"/>
      <c r="X357" s="1176"/>
    </row>
    <row r="358" spans="1:24" ht="27.75" customHeight="1" x14ac:dyDescent="0.2">
      <c r="A358" s="2052" t="s">
        <v>1568</v>
      </c>
      <c r="B358" s="2054" t="s">
        <v>1662</v>
      </c>
      <c r="C358" s="2056" t="s">
        <v>2318</v>
      </c>
      <c r="D358" s="1170" t="s">
        <v>188</v>
      </c>
      <c r="E358" s="1462" t="s">
        <v>131</v>
      </c>
      <c r="F358" s="1462" t="s">
        <v>1883</v>
      </c>
      <c r="G358" s="1311" t="s">
        <v>1828</v>
      </c>
      <c r="H358" s="1172"/>
      <c r="I358" s="1172"/>
      <c r="J358" s="1172">
        <f>-500000-136000</f>
        <v>-636000</v>
      </c>
      <c r="K358" s="1172"/>
      <c r="L358" s="1173"/>
      <c r="M358" s="1172"/>
      <c r="N358" s="1172"/>
      <c r="O358" s="1172"/>
      <c r="P358" s="1174"/>
      <c r="Q358" s="1175"/>
      <c r="R358" s="1172"/>
      <c r="S358" s="1172"/>
      <c r="T358" s="1172"/>
      <c r="U358" s="1172"/>
      <c r="V358" s="1172"/>
      <c r="W358" s="1172"/>
      <c r="X358" s="1176"/>
    </row>
    <row r="359" spans="1:24" ht="27.75" customHeight="1" x14ac:dyDescent="0.2">
      <c r="A359" s="2053"/>
      <c r="B359" s="2055"/>
      <c r="C359" s="2057"/>
      <c r="D359" s="1170" t="s">
        <v>188</v>
      </c>
      <c r="E359" s="1462" t="s">
        <v>583</v>
      </c>
      <c r="F359" s="1462" t="s">
        <v>2103</v>
      </c>
      <c r="G359" s="1311" t="s">
        <v>1829</v>
      </c>
      <c r="H359" s="1172"/>
      <c r="I359" s="1172"/>
      <c r="J359" s="1172">
        <f>500000+136000</f>
        <v>636000</v>
      </c>
      <c r="K359" s="1172"/>
      <c r="L359" s="1173"/>
      <c r="M359" s="1172"/>
      <c r="N359" s="1172"/>
      <c r="O359" s="1172"/>
      <c r="P359" s="1174"/>
      <c r="Q359" s="1175"/>
      <c r="R359" s="1172"/>
      <c r="S359" s="1172"/>
      <c r="T359" s="1172"/>
      <c r="U359" s="1172"/>
      <c r="V359" s="1172"/>
      <c r="W359" s="1172"/>
      <c r="X359" s="1176"/>
    </row>
    <row r="360" spans="1:24" ht="38.25" customHeight="1" x14ac:dyDescent="0.2">
      <c r="A360" s="2052" t="s">
        <v>1569</v>
      </c>
      <c r="B360" s="2054" t="s">
        <v>1665</v>
      </c>
      <c r="C360" s="2056" t="s">
        <v>2876</v>
      </c>
      <c r="D360" s="1170" t="s">
        <v>195</v>
      </c>
      <c r="E360" s="1462" t="s">
        <v>74</v>
      </c>
      <c r="F360" s="1462" t="s">
        <v>1870</v>
      </c>
      <c r="G360" s="1311" t="s">
        <v>1828</v>
      </c>
      <c r="H360" s="1172"/>
      <c r="I360" s="1172"/>
      <c r="J360" s="1172"/>
      <c r="K360" s="1172"/>
      <c r="L360" s="1173">
        <v>-8000000</v>
      </c>
      <c r="M360" s="1172"/>
      <c r="N360" s="1172"/>
      <c r="O360" s="1172"/>
      <c r="P360" s="1174"/>
      <c r="Q360" s="1175"/>
      <c r="R360" s="1172"/>
      <c r="S360" s="1172"/>
      <c r="T360" s="1172"/>
      <c r="U360" s="1172"/>
      <c r="V360" s="1172"/>
      <c r="W360" s="1172"/>
      <c r="X360" s="1176"/>
    </row>
    <row r="361" spans="1:24" ht="38.25" customHeight="1" x14ac:dyDescent="0.2">
      <c r="A361" s="2053"/>
      <c r="B361" s="2055"/>
      <c r="C361" s="2057"/>
      <c r="D361" s="1170" t="s">
        <v>191</v>
      </c>
      <c r="E361" s="1462" t="s">
        <v>1288</v>
      </c>
      <c r="F361" s="1462" t="s">
        <v>2026</v>
      </c>
      <c r="G361" s="1311" t="s">
        <v>1829</v>
      </c>
      <c r="H361" s="1172"/>
      <c r="I361" s="1172"/>
      <c r="J361" s="1172"/>
      <c r="K361" s="1172"/>
      <c r="L361" s="1173"/>
      <c r="M361" s="1172"/>
      <c r="N361" s="1172"/>
      <c r="O361" s="1172">
        <v>8000000</v>
      </c>
      <c r="P361" s="1174"/>
      <c r="Q361" s="1175"/>
      <c r="R361" s="1172"/>
      <c r="S361" s="1172"/>
      <c r="T361" s="1172"/>
      <c r="U361" s="1172"/>
      <c r="V361" s="1172"/>
      <c r="W361" s="1172"/>
      <c r="X361" s="1176"/>
    </row>
    <row r="362" spans="1:24" ht="27" customHeight="1" x14ac:dyDescent="0.2">
      <c r="A362" s="2052" t="s">
        <v>1570</v>
      </c>
      <c r="B362" s="2054" t="s">
        <v>1666</v>
      </c>
      <c r="C362" s="2056" t="s">
        <v>2320</v>
      </c>
      <c r="D362" s="1170" t="s">
        <v>195</v>
      </c>
      <c r="E362" s="1462" t="s">
        <v>74</v>
      </c>
      <c r="F362" s="1462" t="s">
        <v>1870</v>
      </c>
      <c r="G362" s="1311" t="s">
        <v>1828</v>
      </c>
      <c r="H362" s="1172"/>
      <c r="I362" s="1172"/>
      <c r="J362" s="1172"/>
      <c r="K362" s="1172"/>
      <c r="L362" s="1173">
        <v>-4871500</v>
      </c>
      <c r="M362" s="1172"/>
      <c r="N362" s="1172"/>
      <c r="O362" s="1172"/>
      <c r="P362" s="1174"/>
      <c r="Q362" s="1175"/>
      <c r="R362" s="1172"/>
      <c r="S362" s="1172"/>
      <c r="T362" s="1172"/>
      <c r="U362" s="1172"/>
      <c r="V362" s="1172"/>
      <c r="W362" s="1172"/>
      <c r="X362" s="1176"/>
    </row>
    <row r="363" spans="1:24" ht="27" customHeight="1" x14ac:dyDescent="0.2">
      <c r="A363" s="2053"/>
      <c r="B363" s="2055"/>
      <c r="C363" s="2057"/>
      <c r="D363" s="1170" t="s">
        <v>188</v>
      </c>
      <c r="E363" s="1462" t="s">
        <v>131</v>
      </c>
      <c r="F363" s="1462" t="s">
        <v>2321</v>
      </c>
      <c r="G363" s="1311" t="s">
        <v>1829</v>
      </c>
      <c r="H363" s="1172"/>
      <c r="I363" s="1172"/>
      <c r="J363" s="1172">
        <f>3150000+850500+871000</f>
        <v>4871500</v>
      </c>
      <c r="K363" s="1172"/>
      <c r="L363" s="1173"/>
      <c r="M363" s="1172"/>
      <c r="N363" s="1172"/>
      <c r="O363" s="1172"/>
      <c r="P363" s="1174"/>
      <c r="Q363" s="1175"/>
      <c r="R363" s="1172"/>
      <c r="S363" s="1172"/>
      <c r="T363" s="1172"/>
      <c r="U363" s="1172"/>
      <c r="V363" s="1172"/>
      <c r="W363" s="1172"/>
      <c r="X363" s="1176"/>
    </row>
    <row r="364" spans="1:24" ht="28.5" customHeight="1" x14ac:dyDescent="0.2">
      <c r="A364" s="2052" t="s">
        <v>1571</v>
      </c>
      <c r="B364" s="2054" t="s">
        <v>1667</v>
      </c>
      <c r="C364" s="2056" t="s">
        <v>2325</v>
      </c>
      <c r="D364" s="1170" t="s">
        <v>188</v>
      </c>
      <c r="E364" s="1462" t="s">
        <v>620</v>
      </c>
      <c r="F364" s="1462" t="s">
        <v>68</v>
      </c>
      <c r="G364" s="1311" t="s">
        <v>1829</v>
      </c>
      <c r="H364" s="1172"/>
      <c r="I364" s="1172"/>
      <c r="J364" s="1172"/>
      <c r="K364" s="1172"/>
      <c r="L364" s="1173"/>
      <c r="M364" s="1172"/>
      <c r="N364" s="1172"/>
      <c r="O364" s="1172"/>
      <c r="P364" s="1174"/>
      <c r="Q364" s="1175"/>
      <c r="R364" s="1172"/>
      <c r="S364" s="1172"/>
      <c r="T364" s="1172"/>
      <c r="U364" s="1172">
        <v>600000</v>
      </c>
      <c r="V364" s="1172"/>
      <c r="W364" s="1172"/>
      <c r="X364" s="1176"/>
    </row>
    <row r="365" spans="1:24" ht="28.5" customHeight="1" x14ac:dyDescent="0.2">
      <c r="A365" s="2053"/>
      <c r="B365" s="2055"/>
      <c r="C365" s="2057"/>
      <c r="D365" s="1170" t="s">
        <v>195</v>
      </c>
      <c r="E365" s="1462" t="s">
        <v>74</v>
      </c>
      <c r="F365" s="1462" t="s">
        <v>1870</v>
      </c>
      <c r="G365" s="1311" t="s">
        <v>1829</v>
      </c>
      <c r="H365" s="1172"/>
      <c r="I365" s="1172"/>
      <c r="J365" s="1172"/>
      <c r="K365" s="1172"/>
      <c r="L365" s="1173">
        <v>600000</v>
      </c>
      <c r="M365" s="1172"/>
      <c r="N365" s="1172"/>
      <c r="O365" s="1172"/>
      <c r="P365" s="1174"/>
      <c r="Q365" s="1175"/>
      <c r="R365" s="1172"/>
      <c r="S365" s="1172"/>
      <c r="T365" s="1172"/>
      <c r="U365" s="1172"/>
      <c r="V365" s="1172"/>
      <c r="W365" s="1172"/>
      <c r="X365" s="1176"/>
    </row>
    <row r="366" spans="1:24" ht="78.75" customHeight="1" x14ac:dyDescent="0.2">
      <c r="A366" s="2052" t="s">
        <v>1572</v>
      </c>
      <c r="B366" s="2054" t="s">
        <v>1668</v>
      </c>
      <c r="C366" s="2056" t="s">
        <v>2359</v>
      </c>
      <c r="D366" s="1170" t="s">
        <v>193</v>
      </c>
      <c r="E366" s="1462" t="s">
        <v>620</v>
      </c>
      <c r="F366" s="1462" t="s">
        <v>134</v>
      </c>
      <c r="G366" s="1311" t="s">
        <v>1837</v>
      </c>
      <c r="H366" s="1172"/>
      <c r="I366" s="1172"/>
      <c r="J366" s="1172"/>
      <c r="K366" s="1172"/>
      <c r="L366" s="1173"/>
      <c r="M366" s="1172">
        <f>-6732042+1918775</f>
        <v>-4813267</v>
      </c>
      <c r="N366" s="1172"/>
      <c r="O366" s="1172"/>
      <c r="P366" s="1174"/>
      <c r="Q366" s="1175"/>
      <c r="R366" s="1172"/>
      <c r="S366" s="1172"/>
      <c r="T366" s="1172"/>
      <c r="U366" s="1172"/>
      <c r="V366" s="1172"/>
      <c r="W366" s="1172"/>
      <c r="X366" s="1176"/>
    </row>
    <row r="367" spans="1:24" ht="78.75" customHeight="1" x14ac:dyDescent="0.2">
      <c r="A367" s="2053"/>
      <c r="B367" s="2055"/>
      <c r="C367" s="2057"/>
      <c r="D367" s="1170" t="s">
        <v>195</v>
      </c>
      <c r="E367" s="1462" t="s">
        <v>74</v>
      </c>
      <c r="F367" s="1462" t="s">
        <v>1870</v>
      </c>
      <c r="G367" s="1311" t="s">
        <v>1829</v>
      </c>
      <c r="H367" s="1172"/>
      <c r="I367" s="1172"/>
      <c r="J367" s="1172"/>
      <c r="K367" s="1172"/>
      <c r="L367" s="1173">
        <v>4813267</v>
      </c>
      <c r="M367" s="1172"/>
      <c r="N367" s="1172"/>
      <c r="O367" s="1172"/>
      <c r="P367" s="1174"/>
      <c r="Q367" s="1175"/>
      <c r="R367" s="1172"/>
      <c r="S367" s="1172"/>
      <c r="T367" s="1172"/>
      <c r="U367" s="1172"/>
      <c r="V367" s="1172"/>
      <c r="W367" s="1172"/>
      <c r="X367" s="1176"/>
    </row>
    <row r="368" spans="1:24" ht="38.25" customHeight="1" x14ac:dyDescent="0.2">
      <c r="A368" s="2052" t="s">
        <v>1573</v>
      </c>
      <c r="B368" s="2054" t="s">
        <v>1669</v>
      </c>
      <c r="C368" s="2056" t="s">
        <v>2328</v>
      </c>
      <c r="D368" s="1170" t="s">
        <v>192</v>
      </c>
      <c r="E368" s="1462" t="s">
        <v>1288</v>
      </c>
      <c r="F368" s="1462" t="s">
        <v>2026</v>
      </c>
      <c r="G368" s="1311" t="s">
        <v>1828</v>
      </c>
      <c r="H368" s="1172"/>
      <c r="I368" s="1172"/>
      <c r="J368" s="1172"/>
      <c r="K368" s="1172"/>
      <c r="L368" s="1173">
        <v>-2200000</v>
      </c>
      <c r="M368" s="1172"/>
      <c r="N368" s="1172"/>
      <c r="O368" s="1172"/>
      <c r="P368" s="1174"/>
      <c r="Q368" s="1175"/>
      <c r="R368" s="1172"/>
      <c r="S368" s="1172"/>
      <c r="T368" s="1172"/>
      <c r="U368" s="1172"/>
      <c r="V368" s="1172"/>
      <c r="W368" s="1172"/>
      <c r="X368" s="1176"/>
    </row>
    <row r="369" spans="1:24" ht="38.25" customHeight="1" x14ac:dyDescent="0.2">
      <c r="A369" s="2061"/>
      <c r="B369" s="2060"/>
      <c r="C369" s="2065"/>
      <c r="D369" s="1170" t="s">
        <v>191</v>
      </c>
      <c r="E369" s="1462" t="s">
        <v>71</v>
      </c>
      <c r="F369" s="1462" t="s">
        <v>1875</v>
      </c>
      <c r="G369" s="1311" t="s">
        <v>1829</v>
      </c>
      <c r="H369" s="1172"/>
      <c r="I369" s="1172"/>
      <c r="J369" s="1172"/>
      <c r="K369" s="1172"/>
      <c r="L369" s="1173"/>
      <c r="M369" s="1172"/>
      <c r="N369" s="1172"/>
      <c r="O369" s="1172">
        <v>1000000</v>
      </c>
      <c r="P369" s="1174"/>
      <c r="Q369" s="1175"/>
      <c r="R369" s="1172"/>
      <c r="S369" s="1172"/>
      <c r="T369" s="1172"/>
      <c r="U369" s="1172"/>
      <c r="V369" s="1172"/>
      <c r="W369" s="1172"/>
      <c r="X369" s="1176"/>
    </row>
    <row r="370" spans="1:24" ht="38.25" customHeight="1" x14ac:dyDescent="0.2">
      <c r="A370" s="2053"/>
      <c r="B370" s="2055"/>
      <c r="C370" s="2057"/>
      <c r="D370" s="1170" t="s">
        <v>195</v>
      </c>
      <c r="E370" s="1462" t="s">
        <v>74</v>
      </c>
      <c r="F370" s="1462" t="s">
        <v>1870</v>
      </c>
      <c r="G370" s="1311" t="s">
        <v>1829</v>
      </c>
      <c r="H370" s="1172"/>
      <c r="I370" s="1172"/>
      <c r="J370" s="1172"/>
      <c r="K370" s="1172"/>
      <c r="L370" s="1173">
        <v>1200000</v>
      </c>
      <c r="M370" s="1172"/>
      <c r="N370" s="1172"/>
      <c r="O370" s="1172"/>
      <c r="P370" s="1174"/>
      <c r="Q370" s="1175"/>
      <c r="R370" s="1172"/>
      <c r="S370" s="1172"/>
      <c r="T370" s="1172"/>
      <c r="U370" s="1172"/>
      <c r="V370" s="1172"/>
      <c r="W370" s="1172"/>
      <c r="X370" s="1176"/>
    </row>
    <row r="371" spans="1:24" ht="34.5" customHeight="1" x14ac:dyDescent="0.2">
      <c r="A371" s="2088" t="s">
        <v>1574</v>
      </c>
      <c r="B371" s="2054" t="s">
        <v>1670</v>
      </c>
      <c r="C371" s="2056" t="s">
        <v>2329</v>
      </c>
      <c r="D371" s="1177" t="s">
        <v>188</v>
      </c>
      <c r="E371" s="1374" t="s">
        <v>1868</v>
      </c>
      <c r="F371" s="1374" t="s">
        <v>1867</v>
      </c>
      <c r="G371" s="1178" t="s">
        <v>2330</v>
      </c>
      <c r="H371" s="1172"/>
      <c r="I371" s="1172"/>
      <c r="J371" s="1172">
        <f>-1574803-425197</f>
        <v>-2000000</v>
      </c>
      <c r="K371" s="1172"/>
      <c r="L371" s="1173"/>
      <c r="M371" s="1172"/>
      <c r="N371" s="1172"/>
      <c r="O371" s="1172"/>
      <c r="P371" s="1174"/>
      <c r="Q371" s="1175"/>
      <c r="R371" s="1172"/>
      <c r="S371" s="1172"/>
      <c r="T371" s="1172"/>
      <c r="U371" s="1172"/>
      <c r="V371" s="1172"/>
      <c r="W371" s="1172"/>
      <c r="X371" s="1176"/>
    </row>
    <row r="372" spans="1:24" ht="34.5" customHeight="1" x14ac:dyDescent="0.2">
      <c r="A372" s="2089"/>
      <c r="B372" s="2055"/>
      <c r="C372" s="2057"/>
      <c r="D372" s="1177" t="s">
        <v>192</v>
      </c>
      <c r="E372" s="1374" t="s">
        <v>602</v>
      </c>
      <c r="F372" s="1374" t="s">
        <v>1875</v>
      </c>
      <c r="G372" s="1178" t="s">
        <v>1829</v>
      </c>
      <c r="H372" s="1172"/>
      <c r="I372" s="1172"/>
      <c r="J372" s="1172"/>
      <c r="K372" s="1172"/>
      <c r="L372" s="1173">
        <v>2000000</v>
      </c>
      <c r="M372" s="1172"/>
      <c r="N372" s="1172"/>
      <c r="O372" s="1172"/>
      <c r="P372" s="1174"/>
      <c r="Q372" s="1175"/>
      <c r="R372" s="1172"/>
      <c r="S372" s="1172"/>
      <c r="T372" s="1172"/>
      <c r="U372" s="1172"/>
      <c r="V372" s="1172"/>
      <c r="W372" s="1172"/>
      <c r="X372" s="1176"/>
    </row>
    <row r="373" spans="1:24" ht="27" customHeight="1" x14ac:dyDescent="0.2">
      <c r="A373" s="2088" t="s">
        <v>1575</v>
      </c>
      <c r="B373" s="2054" t="s">
        <v>1671</v>
      </c>
      <c r="C373" s="2056" t="s">
        <v>2360</v>
      </c>
      <c r="D373" s="1177" t="s">
        <v>195</v>
      </c>
      <c r="E373" s="1374" t="s">
        <v>74</v>
      </c>
      <c r="F373" s="1374" t="s">
        <v>1870</v>
      </c>
      <c r="G373" s="1178" t="s">
        <v>1828</v>
      </c>
      <c r="H373" s="1172"/>
      <c r="I373" s="1172"/>
      <c r="J373" s="1172"/>
      <c r="K373" s="1172"/>
      <c r="L373" s="1173">
        <v>-350000</v>
      </c>
      <c r="M373" s="1172"/>
      <c r="N373" s="1172"/>
      <c r="O373" s="1172"/>
      <c r="P373" s="1174"/>
      <c r="Q373" s="1175"/>
      <c r="R373" s="1172"/>
      <c r="S373" s="1172"/>
      <c r="T373" s="1172"/>
      <c r="U373" s="1172"/>
      <c r="V373" s="1172"/>
      <c r="W373" s="1172"/>
      <c r="X373" s="1176"/>
    </row>
    <row r="374" spans="1:24" ht="27" customHeight="1" x14ac:dyDescent="0.2">
      <c r="A374" s="2089"/>
      <c r="B374" s="2055"/>
      <c r="C374" s="2057"/>
      <c r="D374" s="1177" t="s">
        <v>192</v>
      </c>
      <c r="E374" s="1374" t="s">
        <v>71</v>
      </c>
      <c r="F374" s="1374" t="s">
        <v>1875</v>
      </c>
      <c r="G374" s="1178" t="s">
        <v>1829</v>
      </c>
      <c r="H374" s="1172"/>
      <c r="I374" s="1172"/>
      <c r="J374" s="1172"/>
      <c r="K374" s="1172"/>
      <c r="L374" s="1173">
        <v>350000</v>
      </c>
      <c r="M374" s="1172"/>
      <c r="N374" s="1172"/>
      <c r="O374" s="1172"/>
      <c r="P374" s="1174"/>
      <c r="Q374" s="1175"/>
      <c r="R374" s="1172"/>
      <c r="S374" s="1172"/>
      <c r="T374" s="1172"/>
      <c r="U374" s="1172"/>
      <c r="V374" s="1172"/>
      <c r="W374" s="1172"/>
      <c r="X374" s="1176"/>
    </row>
    <row r="375" spans="1:24" ht="27" customHeight="1" x14ac:dyDescent="0.2">
      <c r="A375" s="2088" t="s">
        <v>1576</v>
      </c>
      <c r="B375" s="2054" t="s">
        <v>1672</v>
      </c>
      <c r="C375" s="2056" t="s">
        <v>2333</v>
      </c>
      <c r="D375" s="1177" t="s">
        <v>191</v>
      </c>
      <c r="E375" s="1374" t="s">
        <v>73</v>
      </c>
      <c r="F375" s="1374" t="s">
        <v>2334</v>
      </c>
      <c r="G375" s="1178" t="s">
        <v>1828</v>
      </c>
      <c r="H375" s="1172"/>
      <c r="I375" s="1172"/>
      <c r="J375" s="1172"/>
      <c r="K375" s="1172"/>
      <c r="L375" s="1173"/>
      <c r="M375" s="1172"/>
      <c r="N375" s="1172"/>
      <c r="O375" s="1172">
        <v>-1020000</v>
      </c>
      <c r="P375" s="1174"/>
      <c r="Q375" s="1175"/>
      <c r="R375" s="1172"/>
      <c r="S375" s="1172"/>
      <c r="T375" s="1172"/>
      <c r="U375" s="1172"/>
      <c r="V375" s="1172"/>
      <c r="W375" s="1172"/>
      <c r="X375" s="1176"/>
    </row>
    <row r="376" spans="1:24" ht="27" customHeight="1" x14ac:dyDescent="0.2">
      <c r="A376" s="2089"/>
      <c r="B376" s="2055"/>
      <c r="C376" s="2057"/>
      <c r="D376" s="1177" t="s">
        <v>192</v>
      </c>
      <c r="E376" s="1374" t="s">
        <v>73</v>
      </c>
      <c r="F376" s="1374" t="s">
        <v>2334</v>
      </c>
      <c r="G376" s="1178" t="s">
        <v>1829</v>
      </c>
      <c r="H376" s="1172"/>
      <c r="I376" s="1172"/>
      <c r="J376" s="1172"/>
      <c r="K376" s="1172"/>
      <c r="L376" s="1173">
        <v>1020000</v>
      </c>
      <c r="M376" s="1172"/>
      <c r="N376" s="1172"/>
      <c r="O376" s="1172"/>
      <c r="P376" s="1174"/>
      <c r="Q376" s="1175"/>
      <c r="R376" s="1172"/>
      <c r="S376" s="1172"/>
      <c r="T376" s="1172"/>
      <c r="U376" s="1172"/>
      <c r="V376" s="1172"/>
      <c r="W376" s="1172"/>
      <c r="X376" s="1176"/>
    </row>
    <row r="377" spans="1:24" ht="47.25" customHeight="1" x14ac:dyDescent="0.2">
      <c r="A377" s="2088" t="s">
        <v>1577</v>
      </c>
      <c r="B377" s="2054" t="s">
        <v>1673</v>
      </c>
      <c r="C377" s="2056" t="s">
        <v>2337</v>
      </c>
      <c r="D377" s="1177" t="s">
        <v>195</v>
      </c>
      <c r="E377" s="1374" t="s">
        <v>74</v>
      </c>
      <c r="F377" s="1374" t="s">
        <v>1870</v>
      </c>
      <c r="G377" s="1178" t="s">
        <v>1828</v>
      </c>
      <c r="H377" s="1172"/>
      <c r="I377" s="1172"/>
      <c r="J377" s="1172"/>
      <c r="K377" s="1172"/>
      <c r="L377" s="1173">
        <v>-100000</v>
      </c>
      <c r="M377" s="1172"/>
      <c r="N377" s="1172"/>
      <c r="O377" s="1172"/>
      <c r="P377" s="1174"/>
      <c r="Q377" s="1175"/>
      <c r="R377" s="1172"/>
      <c r="S377" s="1172"/>
      <c r="T377" s="1172"/>
      <c r="U377" s="1172"/>
      <c r="V377" s="1172"/>
      <c r="W377" s="1172"/>
      <c r="X377" s="1176"/>
    </row>
    <row r="378" spans="1:24" ht="47.25" customHeight="1" x14ac:dyDescent="0.2">
      <c r="A378" s="2089"/>
      <c r="B378" s="2055"/>
      <c r="C378" s="2057"/>
      <c r="D378" s="1177" t="s">
        <v>192</v>
      </c>
      <c r="E378" s="1374" t="s">
        <v>77</v>
      </c>
      <c r="F378" s="1374" t="s">
        <v>1875</v>
      </c>
      <c r="G378" s="1178" t="s">
        <v>1829</v>
      </c>
      <c r="H378" s="1172"/>
      <c r="I378" s="1172"/>
      <c r="J378" s="1172"/>
      <c r="K378" s="1172"/>
      <c r="L378" s="1173">
        <v>100000</v>
      </c>
      <c r="M378" s="1172"/>
      <c r="N378" s="1172"/>
      <c r="O378" s="1172"/>
      <c r="P378" s="1174"/>
      <c r="Q378" s="1175"/>
      <c r="R378" s="1172"/>
      <c r="S378" s="1172"/>
      <c r="T378" s="1172"/>
      <c r="U378" s="1172"/>
      <c r="V378" s="1172"/>
      <c r="W378" s="1172"/>
      <c r="X378" s="1176"/>
    </row>
    <row r="379" spans="1:24" ht="25.5" x14ac:dyDescent="0.2">
      <c r="A379" s="1634"/>
      <c r="B379" s="1482"/>
      <c r="C379" s="1403" t="s">
        <v>2340</v>
      </c>
      <c r="D379" s="1177" t="s">
        <v>197</v>
      </c>
      <c r="E379" s="1374" t="s">
        <v>1288</v>
      </c>
      <c r="F379" s="1374" t="s">
        <v>535</v>
      </c>
      <c r="G379" s="1178" t="s">
        <v>1837</v>
      </c>
      <c r="H379" s="1172"/>
      <c r="I379" s="1172"/>
      <c r="J379" s="1172"/>
      <c r="K379" s="1172"/>
      <c r="L379" s="1173"/>
      <c r="M379" s="1172"/>
      <c r="N379" s="1172"/>
      <c r="O379" s="1172"/>
      <c r="P379" s="1174">
        <f>-508000+508000</f>
        <v>0</v>
      </c>
      <c r="Q379" s="1175"/>
      <c r="R379" s="1172"/>
      <c r="S379" s="1172"/>
      <c r="T379" s="1172"/>
      <c r="U379" s="1172"/>
      <c r="V379" s="1172"/>
      <c r="W379" s="1172"/>
      <c r="X379" s="1176"/>
    </row>
    <row r="380" spans="1:24" ht="21" customHeight="1" x14ac:dyDescent="0.2">
      <c r="A380" s="2088" t="s">
        <v>1578</v>
      </c>
      <c r="B380" s="2054" t="s">
        <v>1674</v>
      </c>
      <c r="C380" s="2056" t="s">
        <v>2345</v>
      </c>
      <c r="D380" s="1177" t="s">
        <v>195</v>
      </c>
      <c r="E380" s="1374" t="s">
        <v>74</v>
      </c>
      <c r="F380" s="1374" t="s">
        <v>1870</v>
      </c>
      <c r="G380" s="1178" t="s">
        <v>1828</v>
      </c>
      <c r="H380" s="1172"/>
      <c r="I380" s="1172"/>
      <c r="J380" s="1172"/>
      <c r="K380" s="1172"/>
      <c r="L380" s="1173">
        <v>-1000000</v>
      </c>
      <c r="M380" s="1172"/>
      <c r="N380" s="1172"/>
      <c r="O380" s="1172"/>
      <c r="P380" s="1174"/>
      <c r="Q380" s="1175"/>
      <c r="R380" s="1172"/>
      <c r="S380" s="1172"/>
      <c r="T380" s="1172"/>
      <c r="U380" s="1172"/>
      <c r="V380" s="1172"/>
      <c r="W380" s="1172"/>
      <c r="X380" s="1176"/>
    </row>
    <row r="381" spans="1:24" ht="21" customHeight="1" x14ac:dyDescent="0.2">
      <c r="A381" s="2089"/>
      <c r="B381" s="2055"/>
      <c r="C381" s="2057"/>
      <c r="D381" s="1177" t="s">
        <v>188</v>
      </c>
      <c r="E381" s="1374" t="s">
        <v>599</v>
      </c>
      <c r="F381" s="1374" t="s">
        <v>2346</v>
      </c>
      <c r="G381" s="1178" t="s">
        <v>1829</v>
      </c>
      <c r="H381" s="1172"/>
      <c r="I381" s="1172"/>
      <c r="J381" s="1172">
        <f>787402+212598</f>
        <v>1000000</v>
      </c>
      <c r="K381" s="1172"/>
      <c r="L381" s="1173"/>
      <c r="M381" s="1172"/>
      <c r="N381" s="1172"/>
      <c r="O381" s="1172"/>
      <c r="P381" s="1174"/>
      <c r="Q381" s="1175"/>
      <c r="R381" s="1172"/>
      <c r="S381" s="1172"/>
      <c r="T381" s="1172"/>
      <c r="U381" s="1172"/>
      <c r="V381" s="1172"/>
      <c r="W381" s="1172"/>
      <c r="X381" s="1176"/>
    </row>
    <row r="382" spans="1:24" ht="22.5" customHeight="1" x14ac:dyDescent="0.2">
      <c r="A382" s="2088" t="s">
        <v>1579</v>
      </c>
      <c r="B382" s="2054" t="s">
        <v>1675</v>
      </c>
      <c r="C382" s="2056" t="s">
        <v>2361</v>
      </c>
      <c r="D382" s="1177" t="s">
        <v>188</v>
      </c>
      <c r="E382" s="1374" t="s">
        <v>1868</v>
      </c>
      <c r="F382" s="1374" t="s">
        <v>1867</v>
      </c>
      <c r="G382" s="1178" t="s">
        <v>1828</v>
      </c>
      <c r="H382" s="1172"/>
      <c r="I382" s="1172"/>
      <c r="J382" s="1172">
        <f>-13385827-3614173</f>
        <v>-17000000</v>
      </c>
      <c r="K382" s="1172"/>
      <c r="L382" s="1173"/>
      <c r="M382" s="1172"/>
      <c r="N382" s="1172"/>
      <c r="O382" s="1172"/>
      <c r="P382" s="1174"/>
      <c r="Q382" s="1175"/>
      <c r="R382" s="1172"/>
      <c r="S382" s="1172"/>
      <c r="T382" s="1172"/>
      <c r="U382" s="1172"/>
      <c r="V382" s="1172"/>
      <c r="W382" s="1172"/>
      <c r="X382" s="1176"/>
    </row>
    <row r="383" spans="1:24" ht="22.5" customHeight="1" x14ac:dyDescent="0.2">
      <c r="A383" s="2090"/>
      <c r="B383" s="2060"/>
      <c r="C383" s="2065"/>
      <c r="D383" s="1177" t="s">
        <v>188</v>
      </c>
      <c r="E383" s="1374" t="s">
        <v>64</v>
      </c>
      <c r="F383" s="1374" t="s">
        <v>526</v>
      </c>
      <c r="G383" s="1178" t="s">
        <v>1829</v>
      </c>
      <c r="H383" s="1172"/>
      <c r="I383" s="1172"/>
      <c r="J383" s="1172">
        <f>5811024+6000000+3188976</f>
        <v>15000000</v>
      </c>
      <c r="K383" s="1172"/>
      <c r="L383" s="1173"/>
      <c r="M383" s="1172"/>
      <c r="N383" s="1172"/>
      <c r="O383" s="1172"/>
      <c r="P383" s="1174"/>
      <c r="Q383" s="1175"/>
      <c r="R383" s="1172"/>
      <c r="S383" s="1172"/>
      <c r="T383" s="1172"/>
      <c r="U383" s="1172"/>
      <c r="V383" s="1172"/>
      <c r="W383" s="1172"/>
      <c r="X383" s="1176"/>
    </row>
    <row r="384" spans="1:24" ht="22.5" customHeight="1" x14ac:dyDescent="0.2">
      <c r="A384" s="2089"/>
      <c r="B384" s="2055"/>
      <c r="C384" s="2057"/>
      <c r="D384" s="1177" t="s">
        <v>188</v>
      </c>
      <c r="E384" s="1374" t="s">
        <v>2137</v>
      </c>
      <c r="F384" s="1374" t="s">
        <v>2136</v>
      </c>
      <c r="G384" s="1178" t="s">
        <v>1829</v>
      </c>
      <c r="H384" s="1172"/>
      <c r="I384" s="1172"/>
      <c r="J384" s="1172">
        <f>1574803+425197</f>
        <v>2000000</v>
      </c>
      <c r="K384" s="1172"/>
      <c r="L384" s="1173"/>
      <c r="M384" s="1172"/>
      <c r="N384" s="1172"/>
      <c r="O384" s="1172"/>
      <c r="P384" s="1174"/>
      <c r="Q384" s="1175"/>
      <c r="R384" s="1172"/>
      <c r="S384" s="1172"/>
      <c r="T384" s="1172"/>
      <c r="U384" s="1172"/>
      <c r="V384" s="1172"/>
      <c r="W384" s="1172"/>
      <c r="X384" s="1176"/>
    </row>
    <row r="385" spans="1:24" ht="27.75" customHeight="1" x14ac:dyDescent="0.2">
      <c r="A385" s="2088" t="s">
        <v>1580</v>
      </c>
      <c r="B385" s="2054" t="s">
        <v>1676</v>
      </c>
      <c r="C385" s="2056" t="s">
        <v>2362</v>
      </c>
      <c r="D385" s="1177" t="s">
        <v>198</v>
      </c>
      <c r="E385" s="1374" t="s">
        <v>1375</v>
      </c>
      <c r="F385" s="1374" t="s">
        <v>1878</v>
      </c>
      <c r="G385" s="1178" t="s">
        <v>1829</v>
      </c>
      <c r="H385" s="1172"/>
      <c r="I385" s="1172"/>
      <c r="J385" s="1172"/>
      <c r="K385" s="1172"/>
      <c r="L385" s="1173"/>
      <c r="M385" s="1172"/>
      <c r="N385" s="1172"/>
      <c r="O385" s="1172"/>
      <c r="P385" s="1174"/>
      <c r="Q385" s="1175">
        <v>2410752</v>
      </c>
      <c r="R385" s="1172"/>
      <c r="S385" s="1172"/>
      <c r="T385" s="1172"/>
      <c r="U385" s="1172"/>
      <c r="V385" s="1172"/>
      <c r="W385" s="1172"/>
      <c r="X385" s="1176"/>
    </row>
    <row r="386" spans="1:24" ht="27.75" customHeight="1" x14ac:dyDescent="0.2">
      <c r="A386" s="2089"/>
      <c r="B386" s="2055"/>
      <c r="C386" s="2057"/>
      <c r="D386" s="1177" t="s">
        <v>195</v>
      </c>
      <c r="E386" s="1374" t="s">
        <v>74</v>
      </c>
      <c r="F386" s="1374" t="s">
        <v>1870</v>
      </c>
      <c r="G386" s="1178" t="s">
        <v>1829</v>
      </c>
      <c r="H386" s="1172"/>
      <c r="I386" s="1172"/>
      <c r="J386" s="1172"/>
      <c r="K386" s="1172"/>
      <c r="L386" s="1173">
        <v>2410752</v>
      </c>
      <c r="M386" s="1172"/>
      <c r="N386" s="1172"/>
      <c r="O386" s="1172"/>
      <c r="P386" s="1174"/>
      <c r="Q386" s="1175"/>
      <c r="R386" s="1172"/>
      <c r="S386" s="1172"/>
      <c r="T386" s="1172"/>
      <c r="U386" s="1172"/>
      <c r="V386" s="1172"/>
      <c r="W386" s="1172"/>
      <c r="X386" s="1176"/>
    </row>
    <row r="387" spans="1:24" ht="39.75" customHeight="1" x14ac:dyDescent="0.2">
      <c r="A387" s="1545" t="s">
        <v>1581</v>
      </c>
      <c r="B387" s="1493" t="s">
        <v>1677</v>
      </c>
      <c r="C387" s="1492" t="s">
        <v>2363</v>
      </c>
      <c r="D387" s="1177" t="s">
        <v>188</v>
      </c>
      <c r="E387" s="1374" t="s">
        <v>813</v>
      </c>
      <c r="F387" s="1374" t="s">
        <v>812</v>
      </c>
      <c r="G387" s="1178" t="s">
        <v>1837</v>
      </c>
      <c r="H387" s="1172"/>
      <c r="I387" s="1172"/>
      <c r="J387" s="1172">
        <f>-600000+600000</f>
        <v>0</v>
      </c>
      <c r="K387" s="1172"/>
      <c r="L387" s="1173"/>
      <c r="M387" s="1172"/>
      <c r="N387" s="1172"/>
      <c r="O387" s="1172"/>
      <c r="P387" s="1174"/>
      <c r="Q387" s="1175"/>
      <c r="R387" s="1172"/>
      <c r="S387" s="1172"/>
      <c r="T387" s="1172"/>
      <c r="U387" s="1172"/>
      <c r="V387" s="1172"/>
      <c r="W387" s="1172"/>
      <c r="X387" s="1176"/>
    </row>
    <row r="388" spans="1:24" ht="54.75" customHeight="1" x14ac:dyDescent="0.2">
      <c r="A388" s="1634" t="s">
        <v>1582</v>
      </c>
      <c r="B388" s="1482" t="s">
        <v>1678</v>
      </c>
      <c r="C388" s="1630" t="s">
        <v>2373</v>
      </c>
      <c r="D388" s="1177" t="s">
        <v>188</v>
      </c>
      <c r="E388" s="1374" t="s">
        <v>2137</v>
      </c>
      <c r="F388" s="1374" t="s">
        <v>2136</v>
      </c>
      <c r="G388" s="1178" t="s">
        <v>1837</v>
      </c>
      <c r="H388" s="1172">
        <v>952649</v>
      </c>
      <c r="I388" s="1172"/>
      <c r="J388" s="1172">
        <f>-999893+47244</f>
        <v>-952649</v>
      </c>
      <c r="K388" s="1172"/>
      <c r="L388" s="1173"/>
      <c r="M388" s="1172"/>
      <c r="N388" s="1172"/>
      <c r="O388" s="1172"/>
      <c r="P388" s="1174"/>
      <c r="Q388" s="1175"/>
      <c r="R388" s="1172"/>
      <c r="S388" s="1172"/>
      <c r="T388" s="1172"/>
      <c r="U388" s="1172"/>
      <c r="V388" s="1172"/>
      <c r="W388" s="1172"/>
      <c r="X388" s="1176"/>
    </row>
    <row r="389" spans="1:24" ht="30" customHeight="1" x14ac:dyDescent="0.2">
      <c r="A389" s="2088" t="s">
        <v>1583</v>
      </c>
      <c r="B389" s="2054" t="s">
        <v>1679</v>
      </c>
      <c r="C389" s="2056" t="s">
        <v>2364</v>
      </c>
      <c r="D389" s="1177" t="s">
        <v>188</v>
      </c>
      <c r="E389" s="1374" t="s">
        <v>131</v>
      </c>
      <c r="F389" s="1374" t="s">
        <v>154</v>
      </c>
      <c r="G389" s="1178" t="s">
        <v>1829</v>
      </c>
      <c r="H389" s="1172"/>
      <c r="I389" s="1172"/>
      <c r="J389" s="1172"/>
      <c r="K389" s="1172"/>
      <c r="L389" s="1173"/>
      <c r="M389" s="1172"/>
      <c r="N389" s="1172"/>
      <c r="O389" s="1172"/>
      <c r="P389" s="1174"/>
      <c r="Q389" s="1175"/>
      <c r="R389" s="1172"/>
      <c r="S389" s="1172"/>
      <c r="T389" s="1172">
        <v>23878</v>
      </c>
      <c r="U389" s="1172"/>
      <c r="V389" s="1172"/>
      <c r="W389" s="1172"/>
      <c r="X389" s="1176"/>
    </row>
    <row r="390" spans="1:24" ht="30" customHeight="1" x14ac:dyDescent="0.2">
      <c r="A390" s="2089"/>
      <c r="B390" s="2055"/>
      <c r="C390" s="2057"/>
      <c r="D390" s="1177" t="s">
        <v>195</v>
      </c>
      <c r="E390" s="1374" t="s">
        <v>74</v>
      </c>
      <c r="F390" s="1374" t="s">
        <v>1870</v>
      </c>
      <c r="G390" s="1178" t="s">
        <v>1829</v>
      </c>
      <c r="H390" s="1172"/>
      <c r="I390" s="1172"/>
      <c r="J390" s="1172"/>
      <c r="K390" s="1172"/>
      <c r="L390" s="1173">
        <v>23878</v>
      </c>
      <c r="M390" s="1172"/>
      <c r="N390" s="1172"/>
      <c r="O390" s="1172"/>
      <c r="P390" s="1174"/>
      <c r="Q390" s="1175"/>
      <c r="R390" s="1172"/>
      <c r="S390" s="1172"/>
      <c r="T390" s="1172"/>
      <c r="U390" s="1172"/>
      <c r="V390" s="1172"/>
      <c r="W390" s="1172"/>
      <c r="X390" s="1176"/>
    </row>
    <row r="391" spans="1:24" ht="38.25" customHeight="1" x14ac:dyDescent="0.2">
      <c r="A391" s="1545" t="s">
        <v>1584</v>
      </c>
      <c r="B391" s="1313" t="s">
        <v>1680</v>
      </c>
      <c r="C391" s="1492" t="s">
        <v>2365</v>
      </c>
      <c r="D391" s="1177" t="s">
        <v>188</v>
      </c>
      <c r="E391" s="1374" t="s">
        <v>2366</v>
      </c>
      <c r="F391" s="1374" t="s">
        <v>1260</v>
      </c>
      <c r="G391" s="1178" t="s">
        <v>1837</v>
      </c>
      <c r="H391" s="1172"/>
      <c r="I391" s="1172"/>
      <c r="J391" s="1172">
        <f>-1920000+1920000</f>
        <v>0</v>
      </c>
      <c r="K391" s="1172"/>
      <c r="L391" s="1173"/>
      <c r="M391" s="1172"/>
      <c r="N391" s="1172"/>
      <c r="O391" s="1172"/>
      <c r="P391" s="1174"/>
      <c r="Q391" s="1175"/>
      <c r="R391" s="1172"/>
      <c r="S391" s="1172"/>
      <c r="T391" s="1172"/>
      <c r="U391" s="1172"/>
      <c r="V391" s="1172"/>
      <c r="W391" s="1172"/>
      <c r="X391" s="1176"/>
    </row>
    <row r="392" spans="1:24" ht="27" customHeight="1" x14ac:dyDescent="0.2">
      <c r="A392" s="2088" t="s">
        <v>1585</v>
      </c>
      <c r="B392" s="2054" t="s">
        <v>1681</v>
      </c>
      <c r="C392" s="2056" t="s">
        <v>2371</v>
      </c>
      <c r="D392" s="1177" t="s">
        <v>195</v>
      </c>
      <c r="E392" s="1374" t="s">
        <v>74</v>
      </c>
      <c r="F392" s="1374" t="s">
        <v>1870</v>
      </c>
      <c r="G392" s="1178" t="s">
        <v>1828</v>
      </c>
      <c r="H392" s="1172"/>
      <c r="I392" s="1172"/>
      <c r="J392" s="1172"/>
      <c r="K392" s="1172"/>
      <c r="L392" s="1173">
        <v>-2567783</v>
      </c>
      <c r="M392" s="1172"/>
      <c r="N392" s="1172"/>
      <c r="O392" s="1172"/>
      <c r="P392" s="1174"/>
      <c r="Q392" s="1175"/>
      <c r="R392" s="1172"/>
      <c r="S392" s="1172"/>
      <c r="T392" s="1172"/>
      <c r="U392" s="1172"/>
      <c r="V392" s="1172"/>
      <c r="W392" s="1172"/>
      <c r="X392" s="1176"/>
    </row>
    <row r="393" spans="1:24" ht="27" customHeight="1" x14ac:dyDescent="0.2">
      <c r="A393" s="2089"/>
      <c r="B393" s="2055"/>
      <c r="C393" s="2057"/>
      <c r="D393" s="1177" t="s">
        <v>188</v>
      </c>
      <c r="E393" s="1374" t="s">
        <v>620</v>
      </c>
      <c r="F393" s="1374" t="s">
        <v>1857</v>
      </c>
      <c r="G393" s="1178" t="s">
        <v>1829</v>
      </c>
      <c r="H393" s="1172"/>
      <c r="I393" s="1172"/>
      <c r="J393" s="1172">
        <f>922956+1164512+480315</f>
        <v>2567783</v>
      </c>
      <c r="K393" s="1172"/>
      <c r="L393" s="1173"/>
      <c r="M393" s="1172"/>
      <c r="N393" s="1172"/>
      <c r="O393" s="1172"/>
      <c r="P393" s="1174"/>
      <c r="Q393" s="1175"/>
      <c r="R393" s="1172"/>
      <c r="S393" s="1172"/>
      <c r="T393" s="1172"/>
      <c r="U393" s="1172"/>
      <c r="V393" s="1172"/>
      <c r="W393" s="1172"/>
      <c r="X393" s="1176"/>
    </row>
    <row r="394" spans="1:24" ht="55.5" customHeight="1" x14ac:dyDescent="0.2">
      <c r="A394" s="1545" t="s">
        <v>1586</v>
      </c>
      <c r="B394" s="1313" t="s">
        <v>1682</v>
      </c>
      <c r="C394" s="1492" t="s">
        <v>2372</v>
      </c>
      <c r="D394" s="1177" t="s">
        <v>188</v>
      </c>
      <c r="E394" s="1374" t="s">
        <v>1985</v>
      </c>
      <c r="F394" s="1374" t="s">
        <v>1984</v>
      </c>
      <c r="G394" s="1178" t="s">
        <v>1837</v>
      </c>
      <c r="H394" s="1172"/>
      <c r="I394" s="1172"/>
      <c r="J394" s="1172">
        <f>-63894+14126+45000+4768</f>
        <v>0</v>
      </c>
      <c r="K394" s="1172"/>
      <c r="L394" s="1173"/>
      <c r="M394" s="1172"/>
      <c r="N394" s="1172"/>
      <c r="O394" s="1172"/>
      <c r="P394" s="1174"/>
      <c r="Q394" s="1175"/>
      <c r="R394" s="1172"/>
      <c r="S394" s="1172"/>
      <c r="T394" s="1172"/>
      <c r="U394" s="1172"/>
      <c r="V394" s="1172"/>
      <c r="W394" s="1172"/>
      <c r="X394" s="1176"/>
    </row>
    <row r="395" spans="1:24" ht="42.75" customHeight="1" x14ac:dyDescent="0.2">
      <c r="A395" s="1545" t="s">
        <v>1587</v>
      </c>
      <c r="B395" s="1493" t="s">
        <v>1683</v>
      </c>
      <c r="C395" s="1492" t="s">
        <v>2378</v>
      </c>
      <c r="D395" s="1177" t="s">
        <v>193</v>
      </c>
      <c r="E395" s="1374" t="s">
        <v>130</v>
      </c>
      <c r="F395" s="1374" t="s">
        <v>91</v>
      </c>
      <c r="G395" s="1178" t="s">
        <v>1837</v>
      </c>
      <c r="H395" s="1172"/>
      <c r="I395" s="1172"/>
      <c r="J395" s="1172"/>
      <c r="K395" s="1172"/>
      <c r="L395" s="1173"/>
      <c r="M395" s="1172">
        <f>-940000-253800+940000+253800</f>
        <v>0</v>
      </c>
      <c r="N395" s="1172"/>
      <c r="O395" s="1172"/>
      <c r="P395" s="1174"/>
      <c r="Q395" s="1175"/>
      <c r="R395" s="1172"/>
      <c r="S395" s="1172"/>
      <c r="T395" s="1172"/>
      <c r="U395" s="1172"/>
      <c r="V395" s="1172"/>
      <c r="W395" s="1172"/>
      <c r="X395" s="1176"/>
    </row>
    <row r="396" spans="1:24" ht="24" customHeight="1" x14ac:dyDescent="0.2">
      <c r="A396" s="2088" t="s">
        <v>1588</v>
      </c>
      <c r="B396" s="2054" t="s">
        <v>1684</v>
      </c>
      <c r="C396" s="2056" t="s">
        <v>2479</v>
      </c>
      <c r="D396" s="1177" t="s">
        <v>195</v>
      </c>
      <c r="E396" s="1374" t="s">
        <v>74</v>
      </c>
      <c r="F396" s="1374" t="s">
        <v>1870</v>
      </c>
      <c r="G396" s="1178" t="s">
        <v>1828</v>
      </c>
      <c r="H396" s="1172"/>
      <c r="I396" s="1172"/>
      <c r="J396" s="1172"/>
      <c r="K396" s="1172"/>
      <c r="L396" s="1173">
        <v>-63500</v>
      </c>
      <c r="M396" s="1172"/>
      <c r="N396" s="1172"/>
      <c r="O396" s="1172"/>
      <c r="P396" s="1174"/>
      <c r="Q396" s="1175"/>
      <c r="R396" s="1172"/>
      <c r="S396" s="1172"/>
      <c r="T396" s="1172"/>
      <c r="U396" s="1172"/>
      <c r="V396" s="1172"/>
      <c r="W396" s="1172"/>
      <c r="X396" s="1176"/>
    </row>
    <row r="397" spans="1:24" ht="24" customHeight="1" x14ac:dyDescent="0.2">
      <c r="A397" s="2089"/>
      <c r="B397" s="2055"/>
      <c r="C397" s="2057"/>
      <c r="D397" s="1177" t="s">
        <v>188</v>
      </c>
      <c r="E397" s="1374" t="s">
        <v>545</v>
      </c>
      <c r="F397" s="1374" t="s">
        <v>831</v>
      </c>
      <c r="G397" s="1178" t="s">
        <v>1829</v>
      </c>
      <c r="H397" s="1172"/>
      <c r="I397" s="1172"/>
      <c r="J397" s="1172">
        <f>50000+13500</f>
        <v>63500</v>
      </c>
      <c r="K397" s="1172"/>
      <c r="L397" s="1173"/>
      <c r="M397" s="1172"/>
      <c r="N397" s="1172"/>
      <c r="O397" s="1172"/>
      <c r="P397" s="1174"/>
      <c r="Q397" s="1175"/>
      <c r="R397" s="1172"/>
      <c r="S397" s="1172"/>
      <c r="T397" s="1172"/>
      <c r="U397" s="1172"/>
      <c r="V397" s="1172"/>
      <c r="W397" s="1172"/>
      <c r="X397" s="1176"/>
    </row>
    <row r="398" spans="1:24" ht="45.75" customHeight="1" x14ac:dyDescent="0.2">
      <c r="A398" s="2088" t="s">
        <v>1589</v>
      </c>
      <c r="B398" s="2054" t="s">
        <v>1685</v>
      </c>
      <c r="C398" s="2056" t="s">
        <v>2392</v>
      </c>
      <c r="D398" s="1177" t="s">
        <v>188</v>
      </c>
      <c r="E398" s="1374" t="s">
        <v>854</v>
      </c>
      <c r="F398" s="1374" t="s">
        <v>853</v>
      </c>
      <c r="G398" s="1178" t="s">
        <v>1828</v>
      </c>
      <c r="H398" s="1172"/>
      <c r="I398" s="1172"/>
      <c r="J398" s="1172">
        <f>-5905512-1594488</f>
        <v>-7500000</v>
      </c>
      <c r="K398" s="1172"/>
      <c r="L398" s="1173"/>
      <c r="M398" s="1172"/>
      <c r="N398" s="1172"/>
      <c r="O398" s="1172"/>
      <c r="P398" s="1174"/>
      <c r="Q398" s="1175"/>
      <c r="R398" s="1172"/>
      <c r="S398" s="1172"/>
      <c r="T398" s="1172"/>
      <c r="U398" s="1172"/>
      <c r="V398" s="1172"/>
      <c r="W398" s="1172"/>
      <c r="X398" s="1176"/>
    </row>
    <row r="399" spans="1:24" ht="45.75" customHeight="1" x14ac:dyDescent="0.2">
      <c r="A399" s="2089"/>
      <c r="B399" s="2055"/>
      <c r="C399" s="2057"/>
      <c r="D399" s="1177" t="s">
        <v>195</v>
      </c>
      <c r="E399" s="1374" t="s">
        <v>74</v>
      </c>
      <c r="F399" s="1374" t="s">
        <v>1870</v>
      </c>
      <c r="G399" s="1178" t="s">
        <v>1829</v>
      </c>
      <c r="H399" s="1172"/>
      <c r="I399" s="1172"/>
      <c r="J399" s="1172"/>
      <c r="K399" s="1172"/>
      <c r="L399" s="1173">
        <v>7500000</v>
      </c>
      <c r="M399" s="1172"/>
      <c r="N399" s="1172"/>
      <c r="O399" s="1172"/>
      <c r="P399" s="1174"/>
      <c r="Q399" s="1175"/>
      <c r="R399" s="1172"/>
      <c r="S399" s="1172"/>
      <c r="T399" s="1172"/>
      <c r="U399" s="1172"/>
      <c r="V399" s="1172"/>
      <c r="W399" s="1172"/>
      <c r="X399" s="1176"/>
    </row>
    <row r="400" spans="1:24" ht="25.5" customHeight="1" x14ac:dyDescent="0.2">
      <c r="A400" s="2088" t="s">
        <v>1590</v>
      </c>
      <c r="B400" s="2054" t="s">
        <v>1686</v>
      </c>
      <c r="C400" s="2056" t="s">
        <v>2393</v>
      </c>
      <c r="D400" s="1177" t="s">
        <v>188</v>
      </c>
      <c r="E400" s="1374" t="s">
        <v>2270</v>
      </c>
      <c r="F400" s="1374" t="s">
        <v>2268</v>
      </c>
      <c r="G400" s="1178" t="s">
        <v>1828</v>
      </c>
      <c r="H400" s="1172"/>
      <c r="I400" s="1172"/>
      <c r="J400" s="1172">
        <f>-1264875-341516</f>
        <v>-1606391</v>
      </c>
      <c r="K400" s="1172"/>
      <c r="L400" s="1173"/>
      <c r="M400" s="1172"/>
      <c r="N400" s="1172"/>
      <c r="O400" s="1172"/>
      <c r="P400" s="1174"/>
      <c r="Q400" s="1175"/>
      <c r="R400" s="1172"/>
      <c r="S400" s="1172"/>
      <c r="T400" s="1172"/>
      <c r="U400" s="1172"/>
      <c r="V400" s="1172"/>
      <c r="W400" s="1172"/>
      <c r="X400" s="1176"/>
    </row>
    <row r="401" spans="1:24" ht="25.5" customHeight="1" x14ac:dyDescent="0.2">
      <c r="A401" s="2089"/>
      <c r="B401" s="2055"/>
      <c r="C401" s="2057"/>
      <c r="D401" s="1177" t="s">
        <v>193</v>
      </c>
      <c r="E401" s="1374" t="s">
        <v>583</v>
      </c>
      <c r="F401" s="1374" t="s">
        <v>128</v>
      </c>
      <c r="G401" s="1178" t="s">
        <v>1829</v>
      </c>
      <c r="H401" s="1172"/>
      <c r="I401" s="1172"/>
      <c r="J401" s="1172"/>
      <c r="K401" s="1172"/>
      <c r="L401" s="1173"/>
      <c r="M401" s="1172">
        <f>1264875+341516</f>
        <v>1606391</v>
      </c>
      <c r="N401" s="1172"/>
      <c r="O401" s="1172"/>
      <c r="P401" s="1174"/>
      <c r="Q401" s="1175"/>
      <c r="R401" s="1172"/>
      <c r="S401" s="1172"/>
      <c r="T401" s="1172"/>
      <c r="U401" s="1172"/>
      <c r="V401" s="1172"/>
      <c r="W401" s="1172"/>
      <c r="X401" s="1176"/>
    </row>
    <row r="402" spans="1:24" ht="23.25" customHeight="1" x14ac:dyDescent="0.2">
      <c r="A402" s="2088" t="s">
        <v>1591</v>
      </c>
      <c r="B402" s="2054" t="s">
        <v>1687</v>
      </c>
      <c r="C402" s="2056" t="s">
        <v>2395</v>
      </c>
      <c r="D402" s="1177" t="s">
        <v>193</v>
      </c>
      <c r="E402" s="1374" t="s">
        <v>583</v>
      </c>
      <c r="F402" s="1374" t="s">
        <v>128</v>
      </c>
      <c r="G402" s="1178" t="s">
        <v>1828</v>
      </c>
      <c r="H402" s="1172"/>
      <c r="I402" s="1172"/>
      <c r="J402" s="1172"/>
      <c r="K402" s="1172"/>
      <c r="L402" s="1173"/>
      <c r="M402" s="1172">
        <f>-2786688-752406</f>
        <v>-3539094</v>
      </c>
      <c r="N402" s="1172"/>
      <c r="O402" s="1172"/>
      <c r="P402" s="1174"/>
      <c r="Q402" s="1175"/>
      <c r="R402" s="1172"/>
      <c r="S402" s="1172"/>
      <c r="T402" s="1172"/>
      <c r="U402" s="1172"/>
      <c r="V402" s="1172"/>
      <c r="W402" s="1172"/>
      <c r="X402" s="1176"/>
    </row>
    <row r="403" spans="1:24" ht="23.25" customHeight="1" x14ac:dyDescent="0.2">
      <c r="A403" s="2089"/>
      <c r="B403" s="2055"/>
      <c r="C403" s="2057"/>
      <c r="D403" s="1177" t="s">
        <v>193</v>
      </c>
      <c r="E403" s="1374" t="s">
        <v>583</v>
      </c>
      <c r="F403" s="1374" t="s">
        <v>128</v>
      </c>
      <c r="G403" s="1178" t="s">
        <v>1829</v>
      </c>
      <c r="H403" s="1172"/>
      <c r="I403" s="1172"/>
      <c r="J403" s="1172"/>
      <c r="K403" s="1172"/>
      <c r="L403" s="1173"/>
      <c r="M403" s="1172">
        <f>2786688+752406</f>
        <v>3539094</v>
      </c>
      <c r="N403" s="1172"/>
      <c r="O403" s="1172"/>
      <c r="P403" s="1174"/>
      <c r="Q403" s="1175"/>
      <c r="R403" s="1172"/>
      <c r="S403" s="1172"/>
      <c r="T403" s="1172"/>
      <c r="U403" s="1172"/>
      <c r="V403" s="1172"/>
      <c r="W403" s="1172"/>
      <c r="X403" s="1176"/>
    </row>
    <row r="404" spans="1:24" ht="39.75" customHeight="1" x14ac:dyDescent="0.2">
      <c r="A404" s="2088" t="s">
        <v>1592</v>
      </c>
      <c r="B404" s="2054" t="s">
        <v>1688</v>
      </c>
      <c r="C404" s="2056" t="s">
        <v>2480</v>
      </c>
      <c r="D404" s="1177" t="s">
        <v>195</v>
      </c>
      <c r="E404" s="1374" t="s">
        <v>74</v>
      </c>
      <c r="F404" s="1374" t="s">
        <v>1870</v>
      </c>
      <c r="G404" s="1178" t="s">
        <v>1828</v>
      </c>
      <c r="H404" s="1172"/>
      <c r="I404" s="1172"/>
      <c r="J404" s="1172"/>
      <c r="K404" s="1172"/>
      <c r="L404" s="1173">
        <v>-17091183</v>
      </c>
      <c r="M404" s="1172"/>
      <c r="N404" s="1172"/>
      <c r="O404" s="1172"/>
      <c r="P404" s="1174"/>
      <c r="Q404" s="1175"/>
      <c r="R404" s="1172"/>
      <c r="S404" s="1172"/>
      <c r="T404" s="1172"/>
      <c r="U404" s="1172"/>
      <c r="V404" s="1172"/>
      <c r="W404" s="1172"/>
      <c r="X404" s="1176"/>
    </row>
    <row r="405" spans="1:24" ht="39.75" customHeight="1" x14ac:dyDescent="0.2">
      <c r="A405" s="2089"/>
      <c r="B405" s="2055"/>
      <c r="C405" s="2057"/>
      <c r="D405" s="1177" t="s">
        <v>195</v>
      </c>
      <c r="E405" s="1374" t="s">
        <v>74</v>
      </c>
      <c r="F405" s="1374" t="s">
        <v>1870</v>
      </c>
      <c r="G405" s="1178" t="s">
        <v>1829</v>
      </c>
      <c r="H405" s="1172"/>
      <c r="I405" s="1172"/>
      <c r="J405" s="1172"/>
      <c r="K405" s="1172"/>
      <c r="L405" s="1173">
        <v>17091183</v>
      </c>
      <c r="M405" s="1172"/>
      <c r="N405" s="1172"/>
      <c r="O405" s="1172"/>
      <c r="P405" s="1174"/>
      <c r="Q405" s="1175"/>
      <c r="R405" s="1172"/>
      <c r="S405" s="1172"/>
      <c r="T405" s="1172"/>
      <c r="U405" s="1172"/>
      <c r="V405" s="1172"/>
      <c r="W405" s="1172"/>
      <c r="X405" s="1176"/>
    </row>
    <row r="406" spans="1:24" ht="30.75" customHeight="1" x14ac:dyDescent="0.2">
      <c r="A406" s="2088" t="s">
        <v>1593</v>
      </c>
      <c r="B406" s="2054" t="s">
        <v>1689</v>
      </c>
      <c r="C406" s="2056" t="s">
        <v>2400</v>
      </c>
      <c r="D406" s="1177" t="s">
        <v>193</v>
      </c>
      <c r="E406" s="1374" t="s">
        <v>583</v>
      </c>
      <c r="F406" s="1374" t="s">
        <v>1457</v>
      </c>
      <c r="G406" s="1178" t="s">
        <v>1828</v>
      </c>
      <c r="H406" s="1172"/>
      <c r="I406" s="1172"/>
      <c r="J406" s="1172"/>
      <c r="K406" s="1172"/>
      <c r="L406" s="1173"/>
      <c r="M406" s="1172">
        <f>-7352546-1985187</f>
        <v>-9337733</v>
      </c>
      <c r="N406" s="1172"/>
      <c r="O406" s="1172"/>
      <c r="P406" s="1174"/>
      <c r="Q406" s="1175"/>
      <c r="R406" s="1172"/>
      <c r="S406" s="1172"/>
      <c r="T406" s="1172"/>
      <c r="U406" s="1172"/>
      <c r="V406" s="1172"/>
      <c r="W406" s="1172"/>
      <c r="X406" s="1176"/>
    </row>
    <row r="407" spans="1:24" ht="30.75" customHeight="1" x14ac:dyDescent="0.2">
      <c r="A407" s="2089"/>
      <c r="B407" s="2055"/>
      <c r="C407" s="2057"/>
      <c r="D407" s="1177" t="s">
        <v>188</v>
      </c>
      <c r="E407" s="1374" t="s">
        <v>584</v>
      </c>
      <c r="F407" s="1374" t="s">
        <v>825</v>
      </c>
      <c r="G407" s="1178" t="s">
        <v>1829</v>
      </c>
      <c r="H407" s="1172"/>
      <c r="I407" s="1172"/>
      <c r="J407" s="1172">
        <f>7352546+1985187</f>
        <v>9337733</v>
      </c>
      <c r="K407" s="1172"/>
      <c r="L407" s="1173"/>
      <c r="M407" s="1172"/>
      <c r="N407" s="1172"/>
      <c r="O407" s="1172"/>
      <c r="P407" s="1174"/>
      <c r="Q407" s="1175"/>
      <c r="R407" s="1172"/>
      <c r="S407" s="1172"/>
      <c r="T407" s="1172"/>
      <c r="U407" s="1172"/>
      <c r="V407" s="1172"/>
      <c r="W407" s="1172"/>
      <c r="X407" s="1176"/>
    </row>
    <row r="408" spans="1:24" ht="22.5" customHeight="1" x14ac:dyDescent="0.2">
      <c r="A408" s="2088" t="s">
        <v>1594</v>
      </c>
      <c r="B408" s="2054" t="s">
        <v>1690</v>
      </c>
      <c r="C408" s="2056" t="s">
        <v>2401</v>
      </c>
      <c r="D408" s="1177" t="s">
        <v>195</v>
      </c>
      <c r="E408" s="1374" t="s">
        <v>74</v>
      </c>
      <c r="F408" s="1374" t="s">
        <v>1870</v>
      </c>
      <c r="G408" s="1178" t="s">
        <v>1828</v>
      </c>
      <c r="H408" s="1172"/>
      <c r="I408" s="1172"/>
      <c r="J408" s="1172"/>
      <c r="K408" s="1172"/>
      <c r="L408" s="1173">
        <v>-7987538</v>
      </c>
      <c r="M408" s="1172"/>
      <c r="N408" s="1172"/>
      <c r="O408" s="1172"/>
      <c r="P408" s="1174"/>
      <c r="Q408" s="1175"/>
      <c r="R408" s="1172"/>
      <c r="S408" s="1172"/>
      <c r="T408" s="1172"/>
      <c r="U408" s="1172"/>
      <c r="V408" s="1172"/>
      <c r="W408" s="1172"/>
      <c r="X408" s="1176"/>
    </row>
    <row r="409" spans="1:24" ht="22.5" customHeight="1" x14ac:dyDescent="0.2">
      <c r="A409" s="2089"/>
      <c r="B409" s="2055"/>
      <c r="C409" s="2057"/>
      <c r="D409" s="1177" t="s">
        <v>193</v>
      </c>
      <c r="E409" s="1374" t="s">
        <v>583</v>
      </c>
      <c r="F409" s="1374" t="s">
        <v>128</v>
      </c>
      <c r="G409" s="1178" t="s">
        <v>1829</v>
      </c>
      <c r="H409" s="1172"/>
      <c r="I409" s="1172"/>
      <c r="J409" s="1172"/>
      <c r="K409" s="1172"/>
      <c r="L409" s="1173"/>
      <c r="M409" s="1172">
        <f>6289400+1698138</f>
        <v>7987538</v>
      </c>
      <c r="N409" s="1172"/>
      <c r="O409" s="1172"/>
      <c r="P409" s="1174"/>
      <c r="Q409" s="1175"/>
      <c r="R409" s="1172"/>
      <c r="S409" s="1172"/>
      <c r="T409" s="1172"/>
      <c r="U409" s="1172"/>
      <c r="V409" s="1172"/>
      <c r="W409" s="1172"/>
      <c r="X409" s="1176"/>
    </row>
    <row r="410" spans="1:24" ht="43.5" customHeight="1" x14ac:dyDescent="0.2">
      <c r="A410" s="1546" t="s">
        <v>1595</v>
      </c>
      <c r="B410" s="1375" t="s">
        <v>1691</v>
      </c>
      <c r="C410" s="1631" t="s">
        <v>2403</v>
      </c>
      <c r="D410" s="1177" t="s">
        <v>188</v>
      </c>
      <c r="E410" s="1374" t="s">
        <v>74</v>
      </c>
      <c r="F410" s="1374" t="s">
        <v>538</v>
      </c>
      <c r="G410" s="1178" t="s">
        <v>1837</v>
      </c>
      <c r="H410" s="1172"/>
      <c r="I410" s="1172"/>
      <c r="J410" s="1172">
        <f>-500000+500000</f>
        <v>0</v>
      </c>
      <c r="K410" s="1172"/>
      <c r="L410" s="1173"/>
      <c r="M410" s="1172"/>
      <c r="N410" s="1172"/>
      <c r="O410" s="1172"/>
      <c r="P410" s="1174"/>
      <c r="Q410" s="1175"/>
      <c r="R410" s="1172"/>
      <c r="S410" s="1172"/>
      <c r="T410" s="1172"/>
      <c r="U410" s="1172"/>
      <c r="V410" s="1172"/>
      <c r="W410" s="1172"/>
      <c r="X410" s="1176"/>
    </row>
    <row r="411" spans="1:24" ht="27" customHeight="1" x14ac:dyDescent="0.2">
      <c r="A411" s="2088" t="s">
        <v>1596</v>
      </c>
      <c r="B411" s="2054" t="s">
        <v>1692</v>
      </c>
      <c r="C411" s="2056" t="s">
        <v>2404</v>
      </c>
      <c r="D411" s="1177" t="s">
        <v>188</v>
      </c>
      <c r="E411" s="1374" t="s">
        <v>74</v>
      </c>
      <c r="F411" s="1374" t="s">
        <v>538</v>
      </c>
      <c r="G411" s="1178" t="s">
        <v>1828</v>
      </c>
      <c r="H411" s="1172"/>
      <c r="I411" s="1172">
        <v>-388041</v>
      </c>
      <c r="J411" s="1172">
        <v>-23370</v>
      </c>
      <c r="K411" s="1172"/>
      <c r="L411" s="1173"/>
      <c r="M411" s="1172"/>
      <c r="N411" s="1172"/>
      <c r="O411" s="1172"/>
      <c r="P411" s="1174"/>
      <c r="Q411" s="1175"/>
      <c r="R411" s="1172"/>
      <c r="S411" s="1172"/>
      <c r="T411" s="1172"/>
      <c r="U411" s="1172"/>
      <c r="V411" s="1172"/>
      <c r="W411" s="1172"/>
      <c r="X411" s="1176"/>
    </row>
    <row r="412" spans="1:24" ht="27" customHeight="1" x14ac:dyDescent="0.2">
      <c r="A412" s="2090"/>
      <c r="B412" s="2060"/>
      <c r="C412" s="2065"/>
      <c r="D412" s="1177" t="s">
        <v>188</v>
      </c>
      <c r="E412" s="1374" t="s">
        <v>1868</v>
      </c>
      <c r="F412" s="1374" t="s">
        <v>2282</v>
      </c>
      <c r="G412" s="1178" t="s">
        <v>1829</v>
      </c>
      <c r="H412" s="1172"/>
      <c r="I412" s="1172"/>
      <c r="J412" s="1172">
        <v>23370</v>
      </c>
      <c r="K412" s="1172"/>
      <c r="L412" s="1173"/>
      <c r="M412" s="1172"/>
      <c r="N412" s="1172"/>
      <c r="O412" s="1172"/>
      <c r="P412" s="1174"/>
      <c r="Q412" s="1175"/>
      <c r="R412" s="1172"/>
      <c r="S412" s="1172"/>
      <c r="T412" s="1172"/>
      <c r="U412" s="1172"/>
      <c r="V412" s="1172"/>
      <c r="W412" s="1172"/>
      <c r="X412" s="1176"/>
    </row>
    <row r="413" spans="1:24" ht="27" customHeight="1" x14ac:dyDescent="0.2">
      <c r="A413" s="2090"/>
      <c r="B413" s="2060"/>
      <c r="C413" s="2065"/>
      <c r="D413" s="1177" t="s">
        <v>188</v>
      </c>
      <c r="E413" s="1374" t="s">
        <v>590</v>
      </c>
      <c r="F413" s="1374" t="s">
        <v>442</v>
      </c>
      <c r="G413" s="1178" t="s">
        <v>1837</v>
      </c>
      <c r="H413" s="1172">
        <f>-90000+90000</f>
        <v>0</v>
      </c>
      <c r="I413" s="1172"/>
      <c r="J413" s="1172"/>
      <c r="K413" s="1172"/>
      <c r="L413" s="1173"/>
      <c r="M413" s="1172"/>
      <c r="N413" s="1172"/>
      <c r="O413" s="1172"/>
      <c r="P413" s="1174"/>
      <c r="Q413" s="1175"/>
      <c r="R413" s="1172"/>
      <c r="S413" s="1172"/>
      <c r="T413" s="1172"/>
      <c r="U413" s="1172"/>
      <c r="V413" s="1172"/>
      <c r="W413" s="1172"/>
      <c r="X413" s="1176"/>
    </row>
    <row r="414" spans="1:24" ht="27" customHeight="1" x14ac:dyDescent="0.2">
      <c r="A414" s="2090"/>
      <c r="B414" s="2060"/>
      <c r="C414" s="2065"/>
      <c r="D414" s="1177" t="s">
        <v>188</v>
      </c>
      <c r="E414" s="1374" t="s">
        <v>542</v>
      </c>
      <c r="F414" s="1374" t="s">
        <v>449</v>
      </c>
      <c r="G414" s="1178" t="s">
        <v>1837</v>
      </c>
      <c r="H414" s="1172">
        <f>-155971+155971</f>
        <v>0</v>
      </c>
      <c r="I414" s="1172"/>
      <c r="J414" s="1172"/>
      <c r="K414" s="1172"/>
      <c r="L414" s="1173"/>
      <c r="M414" s="1172"/>
      <c r="N414" s="1172"/>
      <c r="O414" s="1172"/>
      <c r="P414" s="1174"/>
      <c r="Q414" s="1175"/>
      <c r="R414" s="1172"/>
      <c r="S414" s="1172"/>
      <c r="T414" s="1172"/>
      <c r="U414" s="1172"/>
      <c r="V414" s="1172"/>
      <c r="W414" s="1172"/>
      <c r="X414" s="1176"/>
    </row>
    <row r="415" spans="1:24" ht="27" customHeight="1" x14ac:dyDescent="0.2">
      <c r="A415" s="2089"/>
      <c r="B415" s="2055"/>
      <c r="C415" s="2057"/>
      <c r="D415" s="1177" t="s">
        <v>188</v>
      </c>
      <c r="E415" s="1374" t="s">
        <v>2137</v>
      </c>
      <c r="F415" s="1374" t="s">
        <v>2136</v>
      </c>
      <c r="G415" s="1178" t="s">
        <v>1829</v>
      </c>
      <c r="H415" s="1172"/>
      <c r="I415" s="1172">
        <v>388041</v>
      </c>
      <c r="J415" s="1172"/>
      <c r="K415" s="1172"/>
      <c r="L415" s="1173"/>
      <c r="M415" s="1172"/>
      <c r="N415" s="1172"/>
      <c r="O415" s="1172"/>
      <c r="P415" s="1174"/>
      <c r="Q415" s="1175"/>
      <c r="R415" s="1172"/>
      <c r="S415" s="1172"/>
      <c r="T415" s="1172"/>
      <c r="U415" s="1172"/>
      <c r="V415" s="1172"/>
      <c r="W415" s="1172"/>
      <c r="X415" s="1176"/>
    </row>
    <row r="416" spans="1:24" ht="23.25" customHeight="1" x14ac:dyDescent="0.2">
      <c r="A416" s="2088" t="s">
        <v>1597</v>
      </c>
      <c r="B416" s="2054" t="s">
        <v>1693</v>
      </c>
      <c r="C416" s="2056" t="s">
        <v>2405</v>
      </c>
      <c r="D416" s="1177" t="s">
        <v>188</v>
      </c>
      <c r="E416" s="1374" t="s">
        <v>1980</v>
      </c>
      <c r="F416" s="1374" t="s">
        <v>1979</v>
      </c>
      <c r="G416" s="1178" t="s">
        <v>1828</v>
      </c>
      <c r="H416" s="1172"/>
      <c r="I416" s="1172"/>
      <c r="J416" s="1172">
        <v>-600000</v>
      </c>
      <c r="K416" s="1172"/>
      <c r="L416" s="1173"/>
      <c r="M416" s="1172"/>
      <c r="N416" s="1172"/>
      <c r="O416" s="1172"/>
      <c r="P416" s="1174"/>
      <c r="Q416" s="1175"/>
      <c r="R416" s="1172"/>
      <c r="S416" s="1172"/>
      <c r="T416" s="1172"/>
      <c r="U416" s="1172"/>
      <c r="V416" s="1172"/>
      <c r="W416" s="1172"/>
      <c r="X416" s="1176"/>
    </row>
    <row r="417" spans="1:24" ht="23.25" customHeight="1" x14ac:dyDescent="0.2">
      <c r="A417" s="2089"/>
      <c r="B417" s="2055"/>
      <c r="C417" s="2057"/>
      <c r="D417" s="1177" t="s">
        <v>188</v>
      </c>
      <c r="E417" s="1374" t="s">
        <v>2129</v>
      </c>
      <c r="F417" s="1374" t="s">
        <v>2128</v>
      </c>
      <c r="G417" s="1178" t="s">
        <v>1829</v>
      </c>
      <c r="H417" s="1172"/>
      <c r="I417" s="1172"/>
      <c r="J417" s="1172">
        <v>600000</v>
      </c>
      <c r="K417" s="1172"/>
      <c r="L417" s="1173"/>
      <c r="M417" s="1172"/>
      <c r="N417" s="1172"/>
      <c r="O417" s="1172"/>
      <c r="P417" s="1174"/>
      <c r="Q417" s="1175"/>
      <c r="R417" s="1172"/>
      <c r="S417" s="1172"/>
      <c r="T417" s="1172"/>
      <c r="U417" s="1172"/>
      <c r="V417" s="1172"/>
      <c r="W417" s="1172"/>
      <c r="X417" s="1176"/>
    </row>
    <row r="418" spans="1:24" ht="57.75" customHeight="1" x14ac:dyDescent="0.2">
      <c r="A418" s="2088" t="s">
        <v>1598</v>
      </c>
      <c r="B418" s="2054" t="s">
        <v>1694</v>
      </c>
      <c r="C418" s="2056" t="s">
        <v>2406</v>
      </c>
      <c r="D418" s="1177" t="s">
        <v>195</v>
      </c>
      <c r="E418" s="1374" t="s">
        <v>74</v>
      </c>
      <c r="F418" s="1374" t="s">
        <v>1870</v>
      </c>
      <c r="G418" s="1178" t="s">
        <v>1828</v>
      </c>
      <c r="H418" s="1172"/>
      <c r="I418" s="1172"/>
      <c r="J418" s="1172"/>
      <c r="K418" s="1172"/>
      <c r="L418" s="1173">
        <v>-4556704</v>
      </c>
      <c r="M418" s="1172"/>
      <c r="N418" s="1172"/>
      <c r="O418" s="1172"/>
      <c r="P418" s="1174"/>
      <c r="Q418" s="1175"/>
      <c r="R418" s="1172"/>
      <c r="S418" s="1172"/>
      <c r="T418" s="1172"/>
      <c r="U418" s="1172"/>
      <c r="V418" s="1172"/>
      <c r="W418" s="1172"/>
      <c r="X418" s="1176"/>
    </row>
    <row r="419" spans="1:24" ht="57.75" customHeight="1" x14ac:dyDescent="0.2">
      <c r="A419" s="2089"/>
      <c r="B419" s="2055"/>
      <c r="C419" s="2057"/>
      <c r="D419" s="1177" t="s">
        <v>197</v>
      </c>
      <c r="E419" s="1374" t="s">
        <v>1288</v>
      </c>
      <c r="F419" s="1374" t="s">
        <v>535</v>
      </c>
      <c r="G419" s="1178" t="s">
        <v>1829</v>
      </c>
      <c r="H419" s="1172"/>
      <c r="I419" s="1172"/>
      <c r="J419" s="1172"/>
      <c r="K419" s="1172"/>
      <c r="L419" s="1173"/>
      <c r="M419" s="1172"/>
      <c r="N419" s="1172"/>
      <c r="O419" s="1172"/>
      <c r="P419" s="1174">
        <v>4556704</v>
      </c>
      <c r="Q419" s="1175"/>
      <c r="R419" s="1172"/>
      <c r="S419" s="1172"/>
      <c r="T419" s="1172"/>
      <c r="U419" s="1172"/>
      <c r="V419" s="1172"/>
      <c r="W419" s="1172"/>
      <c r="X419" s="1176"/>
    </row>
    <row r="420" spans="1:24" ht="28.5" customHeight="1" x14ac:dyDescent="0.2">
      <c r="A420" s="2088" t="s">
        <v>1599</v>
      </c>
      <c r="B420" s="2054" t="s">
        <v>1695</v>
      </c>
      <c r="C420" s="2056" t="s">
        <v>2410</v>
      </c>
      <c r="D420" s="1177" t="s">
        <v>193</v>
      </c>
      <c r="E420" s="1374" t="s">
        <v>130</v>
      </c>
      <c r="F420" s="1374" t="s">
        <v>91</v>
      </c>
      <c r="G420" s="1178" t="s">
        <v>1828</v>
      </c>
      <c r="H420" s="1172"/>
      <c r="I420" s="1172"/>
      <c r="J420" s="1172"/>
      <c r="K420" s="1172"/>
      <c r="L420" s="1173"/>
      <c r="M420" s="1172">
        <f>-122042-32951-822958-222199</f>
        <v>-1200150</v>
      </c>
      <c r="N420" s="1172"/>
      <c r="O420" s="1172"/>
      <c r="P420" s="1174"/>
      <c r="Q420" s="1175"/>
      <c r="R420" s="1172"/>
      <c r="S420" s="1172"/>
      <c r="T420" s="1172"/>
      <c r="U420" s="1172"/>
      <c r="V420" s="1172"/>
      <c r="W420" s="1172"/>
      <c r="X420" s="1176"/>
    </row>
    <row r="421" spans="1:24" ht="28.5" customHeight="1" x14ac:dyDescent="0.2">
      <c r="A421" s="2089"/>
      <c r="B421" s="2055"/>
      <c r="C421" s="2057"/>
      <c r="D421" s="1177" t="s">
        <v>188</v>
      </c>
      <c r="E421" s="1374" t="s">
        <v>2102</v>
      </c>
      <c r="F421" s="1374" t="s">
        <v>2101</v>
      </c>
      <c r="G421" s="1178" t="s">
        <v>1829</v>
      </c>
      <c r="H421" s="1172"/>
      <c r="I421" s="1172"/>
      <c r="J421" s="1172">
        <f>945000+255150</f>
        <v>1200150</v>
      </c>
      <c r="K421" s="1172"/>
      <c r="L421" s="1173"/>
      <c r="M421" s="1172"/>
      <c r="N421" s="1172"/>
      <c r="O421" s="1172"/>
      <c r="P421" s="1174"/>
      <c r="Q421" s="1175"/>
      <c r="R421" s="1172"/>
      <c r="S421" s="1172"/>
      <c r="T421" s="1172"/>
      <c r="U421" s="1172"/>
      <c r="V421" s="1172"/>
      <c r="W421" s="1172"/>
      <c r="X421" s="1176"/>
    </row>
    <row r="422" spans="1:24" ht="22.5" customHeight="1" x14ac:dyDescent="0.2">
      <c r="A422" s="2088" t="s">
        <v>1600</v>
      </c>
      <c r="B422" s="2054" t="s">
        <v>1696</v>
      </c>
      <c r="C422" s="2056" t="s">
        <v>2411</v>
      </c>
      <c r="D422" s="1177" t="s">
        <v>195</v>
      </c>
      <c r="E422" s="1374" t="s">
        <v>74</v>
      </c>
      <c r="F422" s="1374" t="s">
        <v>1870</v>
      </c>
      <c r="G422" s="1178" t="s">
        <v>1828</v>
      </c>
      <c r="H422" s="1172"/>
      <c r="I422" s="1172"/>
      <c r="J422" s="1172"/>
      <c r="K422" s="1172"/>
      <c r="L422" s="1173">
        <v>-2133600</v>
      </c>
      <c r="M422" s="1172"/>
      <c r="N422" s="1172"/>
      <c r="O422" s="1172"/>
      <c r="P422" s="1174"/>
      <c r="Q422" s="1175"/>
      <c r="R422" s="1172"/>
      <c r="S422" s="1172"/>
      <c r="T422" s="1172"/>
      <c r="U422" s="1172"/>
      <c r="V422" s="1172"/>
      <c r="W422" s="1172"/>
      <c r="X422" s="1176"/>
    </row>
    <row r="423" spans="1:24" ht="22.5" customHeight="1" x14ac:dyDescent="0.2">
      <c r="A423" s="2089"/>
      <c r="B423" s="2055"/>
      <c r="C423" s="2057"/>
      <c r="D423" s="1177" t="s">
        <v>188</v>
      </c>
      <c r="E423" s="1374" t="s">
        <v>590</v>
      </c>
      <c r="F423" s="1374" t="s">
        <v>442</v>
      </c>
      <c r="G423" s="1178" t="s">
        <v>1829</v>
      </c>
      <c r="H423" s="1172"/>
      <c r="I423" s="1172"/>
      <c r="J423" s="1172">
        <f>1680000+453600</f>
        <v>2133600</v>
      </c>
      <c r="K423" s="1172"/>
      <c r="L423" s="1173"/>
      <c r="M423" s="1172"/>
      <c r="N423" s="1172"/>
      <c r="O423" s="1172"/>
      <c r="P423" s="1174"/>
      <c r="Q423" s="1175"/>
      <c r="R423" s="1172"/>
      <c r="S423" s="1172"/>
      <c r="T423" s="1172"/>
      <c r="U423" s="1172"/>
      <c r="V423" s="1172"/>
      <c r="W423" s="1172"/>
      <c r="X423" s="1176"/>
    </row>
    <row r="424" spans="1:24" ht="27" customHeight="1" x14ac:dyDescent="0.2">
      <c r="A424" s="2088" t="s">
        <v>1601</v>
      </c>
      <c r="B424" s="2054" t="s">
        <v>1697</v>
      </c>
      <c r="C424" s="2056" t="s">
        <v>2412</v>
      </c>
      <c r="D424" s="1177" t="s">
        <v>193</v>
      </c>
      <c r="E424" s="1374" t="s">
        <v>583</v>
      </c>
      <c r="F424" s="1374" t="s">
        <v>1457</v>
      </c>
      <c r="G424" s="1178" t="s">
        <v>1828</v>
      </c>
      <c r="H424" s="1172"/>
      <c r="I424" s="1172"/>
      <c r="J424" s="1172"/>
      <c r="K424" s="1172"/>
      <c r="L424" s="1173"/>
      <c r="M424" s="1172">
        <f>-465700-125739</f>
        <v>-591439</v>
      </c>
      <c r="N424" s="1172"/>
      <c r="O424" s="1172"/>
      <c r="P424" s="1174"/>
      <c r="Q424" s="1175"/>
      <c r="R424" s="1172"/>
      <c r="S424" s="1172"/>
      <c r="T424" s="1172"/>
      <c r="U424" s="1172"/>
      <c r="V424" s="1172"/>
      <c r="W424" s="1172"/>
      <c r="X424" s="1176"/>
    </row>
    <row r="425" spans="1:24" ht="27" customHeight="1" x14ac:dyDescent="0.2">
      <c r="A425" s="2089"/>
      <c r="B425" s="2055"/>
      <c r="C425" s="2057"/>
      <c r="D425" s="1177" t="s">
        <v>193</v>
      </c>
      <c r="E425" s="1374" t="s">
        <v>583</v>
      </c>
      <c r="F425" s="1374" t="s">
        <v>2103</v>
      </c>
      <c r="G425" s="1178" t="s">
        <v>1829</v>
      </c>
      <c r="H425" s="1172"/>
      <c r="I425" s="1172"/>
      <c r="J425" s="1172"/>
      <c r="K425" s="1172"/>
      <c r="L425" s="1173"/>
      <c r="M425" s="1172">
        <f>465700+125739</f>
        <v>591439</v>
      </c>
      <c r="N425" s="1172"/>
      <c r="O425" s="1172"/>
      <c r="P425" s="1174"/>
      <c r="Q425" s="1175"/>
      <c r="R425" s="1172"/>
      <c r="S425" s="1172"/>
      <c r="T425" s="1172"/>
      <c r="U425" s="1172"/>
      <c r="V425" s="1172"/>
      <c r="W425" s="1172"/>
      <c r="X425" s="1176"/>
    </row>
    <row r="426" spans="1:24" ht="27.75" customHeight="1" x14ac:dyDescent="0.2">
      <c r="A426" s="2088" t="s">
        <v>1602</v>
      </c>
      <c r="B426" s="2054" t="s">
        <v>1698</v>
      </c>
      <c r="C426" s="2056" t="s">
        <v>2413</v>
      </c>
      <c r="D426" s="1177" t="s">
        <v>188</v>
      </c>
      <c r="E426" s="1374" t="s">
        <v>2270</v>
      </c>
      <c r="F426" s="1374" t="s">
        <v>2268</v>
      </c>
      <c r="G426" s="1178" t="s">
        <v>1828</v>
      </c>
      <c r="H426" s="1172"/>
      <c r="I426" s="1172"/>
      <c r="J426" s="1172">
        <f>-560598-151362</f>
        <v>-711960</v>
      </c>
      <c r="K426" s="1172"/>
      <c r="L426" s="1173"/>
      <c r="M426" s="1172"/>
      <c r="N426" s="1172"/>
      <c r="O426" s="1172"/>
      <c r="P426" s="1174"/>
      <c r="Q426" s="1175"/>
      <c r="R426" s="1172"/>
      <c r="S426" s="1172"/>
      <c r="T426" s="1172"/>
      <c r="U426" s="1172"/>
      <c r="V426" s="1172"/>
      <c r="W426" s="1172"/>
      <c r="X426" s="1176"/>
    </row>
    <row r="427" spans="1:24" ht="27.75" customHeight="1" x14ac:dyDescent="0.2">
      <c r="A427" s="2089"/>
      <c r="B427" s="2055"/>
      <c r="C427" s="2057"/>
      <c r="D427" s="1177" t="s">
        <v>188</v>
      </c>
      <c r="E427" s="1374" t="s">
        <v>589</v>
      </c>
      <c r="F427" s="1374" t="s">
        <v>587</v>
      </c>
      <c r="G427" s="1178" t="s">
        <v>1829</v>
      </c>
      <c r="H427" s="1172"/>
      <c r="I427" s="1172"/>
      <c r="J427" s="1172">
        <f>560598+151362</f>
        <v>711960</v>
      </c>
      <c r="K427" s="1172"/>
      <c r="L427" s="1173"/>
      <c r="M427" s="1172"/>
      <c r="N427" s="1172"/>
      <c r="O427" s="1172"/>
      <c r="P427" s="1174"/>
      <c r="Q427" s="1175"/>
      <c r="R427" s="1172"/>
      <c r="S427" s="1172"/>
      <c r="T427" s="1172"/>
      <c r="U427" s="1172"/>
      <c r="V427" s="1172"/>
      <c r="W427" s="1172"/>
      <c r="X427" s="1176"/>
    </row>
    <row r="428" spans="1:24" ht="27.75" customHeight="1" x14ac:dyDescent="0.2">
      <c r="A428" s="2091" t="s">
        <v>1603</v>
      </c>
      <c r="B428" s="2067" t="s">
        <v>1699</v>
      </c>
      <c r="C428" s="2087" t="s">
        <v>2414</v>
      </c>
      <c r="D428" s="1177" t="s">
        <v>195</v>
      </c>
      <c r="E428" s="1374" t="s">
        <v>74</v>
      </c>
      <c r="F428" s="1374" t="s">
        <v>1870</v>
      </c>
      <c r="G428" s="1178" t="s">
        <v>1828</v>
      </c>
      <c r="H428" s="1172"/>
      <c r="I428" s="1172"/>
      <c r="J428" s="1172"/>
      <c r="K428" s="1172"/>
      <c r="L428" s="1173">
        <v>-3079750</v>
      </c>
      <c r="M428" s="1172"/>
      <c r="N428" s="1172"/>
      <c r="O428" s="1172"/>
      <c r="P428" s="1174"/>
      <c r="Q428" s="1175"/>
      <c r="R428" s="1172"/>
      <c r="S428" s="1172"/>
      <c r="T428" s="1172"/>
      <c r="U428" s="1172"/>
      <c r="V428" s="1172"/>
      <c r="W428" s="1172"/>
      <c r="X428" s="1176"/>
    </row>
    <row r="429" spans="1:24" ht="27.75" customHeight="1" x14ac:dyDescent="0.2">
      <c r="A429" s="2091"/>
      <c r="B429" s="2067"/>
      <c r="C429" s="2087"/>
      <c r="D429" s="1177" t="s">
        <v>193</v>
      </c>
      <c r="E429" s="1374" t="s">
        <v>583</v>
      </c>
      <c r="F429" s="1374" t="s">
        <v>128</v>
      </c>
      <c r="G429" s="1178" t="s">
        <v>1829</v>
      </c>
      <c r="H429" s="1172"/>
      <c r="I429" s="1172"/>
      <c r="J429" s="1172"/>
      <c r="K429" s="1172"/>
      <c r="L429" s="1173"/>
      <c r="M429" s="1172">
        <f>2425000+654750</f>
        <v>3079750</v>
      </c>
      <c r="N429" s="1172"/>
      <c r="O429" s="1172"/>
      <c r="P429" s="1174"/>
      <c r="Q429" s="1175"/>
      <c r="R429" s="1172"/>
      <c r="S429" s="1172"/>
      <c r="T429" s="1172"/>
      <c r="U429" s="1172"/>
      <c r="V429" s="1172"/>
      <c r="W429" s="1172"/>
      <c r="X429" s="1176"/>
    </row>
    <row r="430" spans="1:24" ht="34.5" customHeight="1" x14ac:dyDescent="0.2">
      <c r="A430" s="2088" t="s">
        <v>1604</v>
      </c>
      <c r="B430" s="2054" t="s">
        <v>1700</v>
      </c>
      <c r="C430" s="2056" t="s">
        <v>2416</v>
      </c>
      <c r="D430" s="1177" t="s">
        <v>195</v>
      </c>
      <c r="E430" s="1374" t="s">
        <v>74</v>
      </c>
      <c r="F430" s="1374" t="s">
        <v>1870</v>
      </c>
      <c r="G430" s="1178" t="s">
        <v>1828</v>
      </c>
      <c r="H430" s="1172"/>
      <c r="I430" s="1172"/>
      <c r="J430" s="1172"/>
      <c r="K430" s="1172"/>
      <c r="L430" s="1173">
        <v>-482600</v>
      </c>
      <c r="M430" s="1172"/>
      <c r="N430" s="1172"/>
      <c r="O430" s="1172"/>
      <c r="P430" s="1174"/>
      <c r="Q430" s="1175"/>
      <c r="R430" s="1172"/>
      <c r="S430" s="1172"/>
      <c r="T430" s="1172"/>
      <c r="U430" s="1172"/>
      <c r="V430" s="1172"/>
      <c r="W430" s="1172"/>
      <c r="X430" s="1176"/>
    </row>
    <row r="431" spans="1:24" ht="34.5" customHeight="1" x14ac:dyDescent="0.2">
      <c r="A431" s="2089"/>
      <c r="B431" s="2055"/>
      <c r="C431" s="2057"/>
      <c r="D431" s="1177" t="s">
        <v>193</v>
      </c>
      <c r="E431" s="1374" t="s">
        <v>556</v>
      </c>
      <c r="F431" s="1374" t="s">
        <v>1499</v>
      </c>
      <c r="G431" s="1178" t="s">
        <v>1829</v>
      </c>
      <c r="H431" s="1172"/>
      <c r="I431" s="1172"/>
      <c r="J431" s="1172"/>
      <c r="K431" s="1172"/>
      <c r="L431" s="1173"/>
      <c r="M431" s="1172">
        <f>380000+102600</f>
        <v>482600</v>
      </c>
      <c r="N431" s="1172"/>
      <c r="O431" s="1172"/>
      <c r="P431" s="1174"/>
      <c r="Q431" s="1175"/>
      <c r="R431" s="1172"/>
      <c r="S431" s="1172"/>
      <c r="T431" s="1172"/>
      <c r="U431" s="1172"/>
      <c r="V431" s="1172"/>
      <c r="W431" s="1172"/>
      <c r="X431" s="1176"/>
    </row>
    <row r="432" spans="1:24" ht="52.5" customHeight="1" x14ac:dyDescent="0.2">
      <c r="A432" s="1545" t="s">
        <v>1605</v>
      </c>
      <c r="B432" s="1313" t="s">
        <v>1701</v>
      </c>
      <c r="C432" s="1492" t="s">
        <v>2419</v>
      </c>
      <c r="D432" s="1177" t="s">
        <v>188</v>
      </c>
      <c r="E432" s="1374" t="s">
        <v>131</v>
      </c>
      <c r="F432" s="1374" t="s">
        <v>1881</v>
      </c>
      <c r="G432" s="1178" t="s">
        <v>1837</v>
      </c>
      <c r="H432" s="1172"/>
      <c r="I432" s="1172"/>
      <c r="J432" s="1172">
        <f>-12000+12000</f>
        <v>0</v>
      </c>
      <c r="K432" s="1172"/>
      <c r="L432" s="1173"/>
      <c r="M432" s="1172"/>
      <c r="N432" s="1172"/>
      <c r="O432" s="1172"/>
      <c r="P432" s="1174"/>
      <c r="Q432" s="1175"/>
      <c r="R432" s="1172"/>
      <c r="S432" s="1172"/>
      <c r="T432" s="1172"/>
      <c r="U432" s="1172"/>
      <c r="V432" s="1172"/>
      <c r="W432" s="1172"/>
      <c r="X432" s="1176"/>
    </row>
    <row r="433" spans="1:24" ht="22.5" customHeight="1" x14ac:dyDescent="0.2">
      <c r="A433" s="2088" t="s">
        <v>1606</v>
      </c>
      <c r="B433" s="2054" t="s">
        <v>1702</v>
      </c>
      <c r="C433" s="2056" t="s">
        <v>2420</v>
      </c>
      <c r="D433" s="1177" t="s">
        <v>188</v>
      </c>
      <c r="E433" s="1374" t="s">
        <v>2270</v>
      </c>
      <c r="F433" s="1374" t="s">
        <v>2268</v>
      </c>
      <c r="G433" s="1178" t="s">
        <v>1828</v>
      </c>
      <c r="H433" s="1172"/>
      <c r="I433" s="1172"/>
      <c r="J433" s="1172">
        <f>-3937008-1062992</f>
        <v>-5000000</v>
      </c>
      <c r="K433" s="1172"/>
      <c r="L433" s="1173"/>
      <c r="M433" s="1172"/>
      <c r="N433" s="1172"/>
      <c r="O433" s="1172"/>
      <c r="P433" s="1174"/>
      <c r="Q433" s="1175"/>
      <c r="R433" s="1172"/>
      <c r="S433" s="1172"/>
      <c r="T433" s="1172"/>
      <c r="U433" s="1172"/>
      <c r="V433" s="1172"/>
      <c r="W433" s="1172"/>
      <c r="X433" s="1176"/>
    </row>
    <row r="434" spans="1:24" ht="22.5" customHeight="1" x14ac:dyDescent="0.2">
      <c r="A434" s="2089"/>
      <c r="B434" s="2055"/>
      <c r="C434" s="2057"/>
      <c r="D434" s="1177" t="s">
        <v>188</v>
      </c>
      <c r="E434" s="1374" t="s">
        <v>1980</v>
      </c>
      <c r="F434" s="1374" t="s">
        <v>1979</v>
      </c>
      <c r="G434" s="1178" t="s">
        <v>1829</v>
      </c>
      <c r="H434" s="1172"/>
      <c r="I434" s="1172"/>
      <c r="J434" s="1172">
        <f>3937008+1062992</f>
        <v>5000000</v>
      </c>
      <c r="K434" s="1172"/>
      <c r="L434" s="1173"/>
      <c r="M434" s="1172"/>
      <c r="N434" s="1172"/>
      <c r="O434" s="1172"/>
      <c r="P434" s="1174"/>
      <c r="Q434" s="1175"/>
      <c r="R434" s="1172"/>
      <c r="S434" s="1172"/>
      <c r="T434" s="1172"/>
      <c r="U434" s="1172"/>
      <c r="V434" s="1172"/>
      <c r="W434" s="1172"/>
      <c r="X434" s="1176"/>
    </row>
    <row r="435" spans="1:24" ht="21.75" customHeight="1" x14ac:dyDescent="0.2">
      <c r="A435" s="2088" t="s">
        <v>1607</v>
      </c>
      <c r="B435" s="2054" t="s">
        <v>1703</v>
      </c>
      <c r="C435" s="2056" t="s">
        <v>2421</v>
      </c>
      <c r="D435" s="1177" t="s">
        <v>193</v>
      </c>
      <c r="E435" s="1374" t="s">
        <v>589</v>
      </c>
      <c r="F435" s="1374" t="s">
        <v>587</v>
      </c>
      <c r="G435" s="1178" t="s">
        <v>1828</v>
      </c>
      <c r="H435" s="1172"/>
      <c r="I435" s="1172"/>
      <c r="J435" s="1172"/>
      <c r="K435" s="1172"/>
      <c r="L435" s="1173"/>
      <c r="M435" s="1172">
        <f>-219402-10990</f>
        <v>-230392</v>
      </c>
      <c r="N435" s="1172"/>
      <c r="O435" s="1172"/>
      <c r="P435" s="1174"/>
      <c r="Q435" s="1175"/>
      <c r="R435" s="1172"/>
      <c r="S435" s="1172"/>
      <c r="T435" s="1172"/>
      <c r="U435" s="1172"/>
      <c r="V435" s="1172"/>
      <c r="W435" s="1172"/>
      <c r="X435" s="1176"/>
    </row>
    <row r="436" spans="1:24" ht="21.75" customHeight="1" x14ac:dyDescent="0.2">
      <c r="A436" s="2089"/>
      <c r="B436" s="2055"/>
      <c r="C436" s="2057"/>
      <c r="D436" s="1177" t="s">
        <v>188</v>
      </c>
      <c r="E436" s="1374" t="s">
        <v>589</v>
      </c>
      <c r="F436" s="1374" t="s">
        <v>587</v>
      </c>
      <c r="G436" s="1178" t="s">
        <v>1829</v>
      </c>
      <c r="H436" s="1172"/>
      <c r="I436" s="1172"/>
      <c r="J436" s="1172">
        <f>219402+10990</f>
        <v>230392</v>
      </c>
      <c r="K436" s="1172"/>
      <c r="L436" s="1173"/>
      <c r="M436" s="1172"/>
      <c r="N436" s="1172"/>
      <c r="O436" s="1172"/>
      <c r="P436" s="1174"/>
      <c r="Q436" s="1175"/>
      <c r="R436" s="1172"/>
      <c r="S436" s="1172"/>
      <c r="T436" s="1172"/>
      <c r="U436" s="1172"/>
      <c r="V436" s="1172"/>
      <c r="W436" s="1172"/>
      <c r="X436" s="1176"/>
    </row>
    <row r="437" spans="1:24" ht="33" customHeight="1" x14ac:dyDescent="0.2">
      <c r="A437" s="2088" t="s">
        <v>1608</v>
      </c>
      <c r="B437" s="2054" t="s">
        <v>1704</v>
      </c>
      <c r="C437" s="2056" t="s">
        <v>2422</v>
      </c>
      <c r="D437" s="1177" t="s">
        <v>195</v>
      </c>
      <c r="E437" s="1374" t="s">
        <v>74</v>
      </c>
      <c r="F437" s="1374" t="s">
        <v>1870</v>
      </c>
      <c r="G437" s="1178" t="s">
        <v>1828</v>
      </c>
      <c r="H437" s="1172"/>
      <c r="I437" s="1172"/>
      <c r="J437" s="1172"/>
      <c r="K437" s="1172"/>
      <c r="L437" s="1173">
        <v>-624710</v>
      </c>
      <c r="M437" s="1172"/>
      <c r="N437" s="1172"/>
      <c r="O437" s="1172"/>
      <c r="P437" s="1174"/>
      <c r="Q437" s="1175"/>
      <c r="R437" s="1172"/>
      <c r="S437" s="1172"/>
      <c r="T437" s="1172"/>
      <c r="U437" s="1172"/>
      <c r="V437" s="1172"/>
      <c r="W437" s="1172"/>
      <c r="X437" s="1176"/>
    </row>
    <row r="438" spans="1:24" ht="33" customHeight="1" x14ac:dyDescent="0.2">
      <c r="A438" s="2089"/>
      <c r="B438" s="2055"/>
      <c r="C438" s="2057"/>
      <c r="D438" s="1177" t="s">
        <v>193</v>
      </c>
      <c r="E438" s="1374" t="s">
        <v>556</v>
      </c>
      <c r="F438" s="1374" t="s">
        <v>1499</v>
      </c>
      <c r="G438" s="1178" t="s">
        <v>1829</v>
      </c>
      <c r="H438" s="1172"/>
      <c r="I438" s="1172"/>
      <c r="J438" s="1172"/>
      <c r="K438" s="1172"/>
      <c r="L438" s="1173"/>
      <c r="M438" s="1172">
        <f>491898+132812</f>
        <v>624710</v>
      </c>
      <c r="N438" s="1172"/>
      <c r="O438" s="1172"/>
      <c r="P438" s="1174"/>
      <c r="Q438" s="1175"/>
      <c r="R438" s="1172"/>
      <c r="S438" s="1172"/>
      <c r="T438" s="1172"/>
      <c r="U438" s="1172"/>
      <c r="V438" s="1172"/>
      <c r="W438" s="1172"/>
      <c r="X438" s="1176"/>
    </row>
    <row r="439" spans="1:24" ht="29.25" customHeight="1" x14ac:dyDescent="0.2">
      <c r="A439" s="1545" t="s">
        <v>1609</v>
      </c>
      <c r="B439" s="1313" t="s">
        <v>1705</v>
      </c>
      <c r="C439" s="1492" t="s">
        <v>2423</v>
      </c>
      <c r="D439" s="1177" t="s">
        <v>188</v>
      </c>
      <c r="E439" s="1374" t="s">
        <v>626</v>
      </c>
      <c r="F439" s="1374" t="s">
        <v>136</v>
      </c>
      <c r="G439" s="1178" t="s">
        <v>1837</v>
      </c>
      <c r="H439" s="1172"/>
      <c r="I439" s="1172"/>
      <c r="J439" s="1172">
        <f>-120000+120000</f>
        <v>0</v>
      </c>
      <c r="K439" s="1172"/>
      <c r="L439" s="1173"/>
      <c r="M439" s="1172"/>
      <c r="N439" s="1172"/>
      <c r="O439" s="1172"/>
      <c r="P439" s="1174"/>
      <c r="Q439" s="1175"/>
      <c r="R439" s="1172"/>
      <c r="S439" s="1172"/>
      <c r="T439" s="1172"/>
      <c r="U439" s="1172"/>
      <c r="V439" s="1172"/>
      <c r="W439" s="1172"/>
      <c r="X439" s="1176"/>
    </row>
    <row r="440" spans="1:24" ht="42" customHeight="1" x14ac:dyDescent="0.2">
      <c r="A440" s="1545" t="s">
        <v>1610</v>
      </c>
      <c r="B440" s="1313" t="s">
        <v>2424</v>
      </c>
      <c r="C440" s="1492" t="s">
        <v>2425</v>
      </c>
      <c r="D440" s="1177" t="s">
        <v>188</v>
      </c>
      <c r="E440" s="1374" t="s">
        <v>2137</v>
      </c>
      <c r="F440" s="1374" t="s">
        <v>2136</v>
      </c>
      <c r="G440" s="1178" t="s">
        <v>1837</v>
      </c>
      <c r="H440" s="1172">
        <v>200000</v>
      </c>
      <c r="I440" s="1172"/>
      <c r="J440" s="1172">
        <f>-300000+100000</f>
        <v>-200000</v>
      </c>
      <c r="K440" s="1172"/>
      <c r="L440" s="1173"/>
      <c r="M440" s="1172"/>
      <c r="N440" s="1172"/>
      <c r="O440" s="1172"/>
      <c r="P440" s="1174"/>
      <c r="Q440" s="1175"/>
      <c r="R440" s="1172"/>
      <c r="S440" s="1172"/>
      <c r="T440" s="1172"/>
      <c r="U440" s="1172"/>
      <c r="V440" s="1172"/>
      <c r="W440" s="1172"/>
      <c r="X440" s="1176"/>
    </row>
    <row r="441" spans="1:24" ht="27" customHeight="1" x14ac:dyDescent="0.2">
      <c r="A441" s="2088" t="s">
        <v>1611</v>
      </c>
      <c r="B441" s="2054" t="s">
        <v>1707</v>
      </c>
      <c r="C441" s="2056" t="s">
        <v>2426</v>
      </c>
      <c r="D441" s="1177" t="s">
        <v>195</v>
      </c>
      <c r="E441" s="1374" t="s">
        <v>74</v>
      </c>
      <c r="F441" s="1374" t="s">
        <v>1870</v>
      </c>
      <c r="G441" s="1178" t="s">
        <v>1828</v>
      </c>
      <c r="H441" s="1172"/>
      <c r="I441" s="1172"/>
      <c r="J441" s="1172"/>
      <c r="K441" s="1172"/>
      <c r="L441" s="1173">
        <v>-1651000</v>
      </c>
      <c r="M441" s="1172"/>
      <c r="N441" s="1172"/>
      <c r="O441" s="1172"/>
      <c r="P441" s="1174"/>
      <c r="Q441" s="1175"/>
      <c r="R441" s="1172"/>
      <c r="S441" s="1172"/>
      <c r="T441" s="1172"/>
      <c r="U441" s="1172"/>
      <c r="V441" s="1172"/>
      <c r="W441" s="1172"/>
      <c r="X441" s="1176"/>
    </row>
    <row r="442" spans="1:24" ht="27" customHeight="1" x14ac:dyDescent="0.2">
      <c r="A442" s="2089"/>
      <c r="B442" s="2055"/>
      <c r="C442" s="2057"/>
      <c r="D442" s="1177" t="s">
        <v>197</v>
      </c>
      <c r="E442" s="1374" t="s">
        <v>1288</v>
      </c>
      <c r="F442" s="1374" t="s">
        <v>535</v>
      </c>
      <c r="G442" s="1178" t="s">
        <v>1829</v>
      </c>
      <c r="H442" s="1172"/>
      <c r="I442" s="1172"/>
      <c r="J442" s="1172"/>
      <c r="K442" s="1172"/>
      <c r="L442" s="1173"/>
      <c r="M442" s="1172"/>
      <c r="N442" s="1172"/>
      <c r="O442" s="1172"/>
      <c r="P442" s="1174">
        <v>1651000</v>
      </c>
      <c r="Q442" s="1175"/>
      <c r="R442" s="1172"/>
      <c r="S442" s="1172"/>
      <c r="T442" s="1172"/>
      <c r="U442" s="1172"/>
      <c r="V442" s="1172"/>
      <c r="W442" s="1172"/>
      <c r="X442" s="1176"/>
    </row>
    <row r="443" spans="1:24" ht="41.25" customHeight="1" x14ac:dyDescent="0.2">
      <c r="A443" s="2088" t="s">
        <v>1612</v>
      </c>
      <c r="B443" s="2054" t="s">
        <v>1708</v>
      </c>
      <c r="C443" s="2056" t="s">
        <v>2427</v>
      </c>
      <c r="D443" s="1177" t="s">
        <v>195</v>
      </c>
      <c r="E443" s="1374" t="s">
        <v>74</v>
      </c>
      <c r="F443" s="1374" t="s">
        <v>1870</v>
      </c>
      <c r="G443" s="1178" t="s">
        <v>1828</v>
      </c>
      <c r="H443" s="1172"/>
      <c r="I443" s="1172"/>
      <c r="J443" s="1172"/>
      <c r="K443" s="1172"/>
      <c r="L443" s="1173">
        <v>-2131953</v>
      </c>
      <c r="M443" s="1172"/>
      <c r="N443" s="1172"/>
      <c r="O443" s="1172"/>
      <c r="P443" s="1174"/>
      <c r="Q443" s="1175"/>
      <c r="R443" s="1172"/>
      <c r="S443" s="1172"/>
      <c r="T443" s="1172"/>
      <c r="U443" s="1172"/>
      <c r="V443" s="1172"/>
      <c r="W443" s="1172"/>
      <c r="X443" s="1176"/>
    </row>
    <row r="444" spans="1:24" ht="41.25" customHeight="1" x14ac:dyDescent="0.2">
      <c r="A444" s="2089"/>
      <c r="B444" s="2055"/>
      <c r="C444" s="2057"/>
      <c r="D444" s="1177" t="s">
        <v>188</v>
      </c>
      <c r="E444" s="1374" t="s">
        <v>2102</v>
      </c>
      <c r="F444" s="1374" t="s">
        <v>2101</v>
      </c>
      <c r="G444" s="1178" t="s">
        <v>1829</v>
      </c>
      <c r="H444" s="1172"/>
      <c r="I444" s="1172"/>
      <c r="J444" s="1172">
        <f>1678703+453250</f>
        <v>2131953</v>
      </c>
      <c r="K444" s="1172"/>
      <c r="L444" s="1173"/>
      <c r="M444" s="1172"/>
      <c r="N444" s="1172"/>
      <c r="O444" s="1172"/>
      <c r="P444" s="1174"/>
      <c r="Q444" s="1175"/>
      <c r="R444" s="1172"/>
      <c r="S444" s="1172"/>
      <c r="T444" s="1172"/>
      <c r="U444" s="1172"/>
      <c r="V444" s="1172"/>
      <c r="W444" s="1172"/>
      <c r="X444" s="1176"/>
    </row>
    <row r="445" spans="1:24" ht="39.75" customHeight="1" x14ac:dyDescent="0.2">
      <c r="A445" s="2088" t="s">
        <v>1613</v>
      </c>
      <c r="B445" s="2054" t="s">
        <v>1709</v>
      </c>
      <c r="C445" s="2056" t="s">
        <v>2428</v>
      </c>
      <c r="D445" s="1177" t="s">
        <v>195</v>
      </c>
      <c r="E445" s="1374" t="s">
        <v>74</v>
      </c>
      <c r="F445" s="1374" t="s">
        <v>1870</v>
      </c>
      <c r="G445" s="1178" t="s">
        <v>1828</v>
      </c>
      <c r="H445" s="1172"/>
      <c r="I445" s="1172"/>
      <c r="J445" s="1172"/>
      <c r="K445" s="1172"/>
      <c r="L445" s="1173">
        <v>-3561547</v>
      </c>
      <c r="M445" s="1172"/>
      <c r="N445" s="1172"/>
      <c r="O445" s="1172"/>
      <c r="P445" s="1174"/>
      <c r="Q445" s="1175"/>
      <c r="R445" s="1172"/>
      <c r="S445" s="1172"/>
      <c r="T445" s="1172"/>
      <c r="U445" s="1172"/>
      <c r="V445" s="1172"/>
      <c r="W445" s="1172"/>
      <c r="X445" s="1176"/>
    </row>
    <row r="446" spans="1:24" ht="39.75" customHeight="1" x14ac:dyDescent="0.2">
      <c r="A446" s="2089"/>
      <c r="B446" s="2055"/>
      <c r="C446" s="2057"/>
      <c r="D446" s="1177" t="s">
        <v>188</v>
      </c>
      <c r="E446" s="1374" t="s">
        <v>2102</v>
      </c>
      <c r="F446" s="1374" t="s">
        <v>2101</v>
      </c>
      <c r="G446" s="1178" t="s">
        <v>1829</v>
      </c>
      <c r="H446" s="1172"/>
      <c r="I446" s="1172"/>
      <c r="J446" s="1172">
        <f>2804368+757179</f>
        <v>3561547</v>
      </c>
      <c r="K446" s="1172"/>
      <c r="L446" s="1173"/>
      <c r="M446" s="1172"/>
      <c r="N446" s="1172"/>
      <c r="O446" s="1172"/>
      <c r="P446" s="1174"/>
      <c r="Q446" s="1175"/>
      <c r="R446" s="1172"/>
      <c r="S446" s="1172"/>
      <c r="T446" s="1172"/>
      <c r="U446" s="1172"/>
      <c r="V446" s="1172"/>
      <c r="W446" s="1172"/>
      <c r="X446" s="1176"/>
    </row>
    <row r="447" spans="1:24" ht="45" customHeight="1" x14ac:dyDescent="0.2">
      <c r="A447" s="2088" t="s">
        <v>1614</v>
      </c>
      <c r="B447" s="2054" t="s">
        <v>1710</v>
      </c>
      <c r="C447" s="2056" t="s">
        <v>2429</v>
      </c>
      <c r="D447" s="1177" t="s">
        <v>195</v>
      </c>
      <c r="E447" s="1374" t="s">
        <v>74</v>
      </c>
      <c r="F447" s="1374" t="s">
        <v>1870</v>
      </c>
      <c r="G447" s="1178" t="s">
        <v>1828</v>
      </c>
      <c r="H447" s="1172"/>
      <c r="I447" s="1172"/>
      <c r="J447" s="1172"/>
      <c r="K447" s="1172"/>
      <c r="L447" s="1173">
        <v>-591500</v>
      </c>
      <c r="M447" s="1172"/>
      <c r="N447" s="1172"/>
      <c r="O447" s="1172"/>
      <c r="P447" s="1174"/>
      <c r="Q447" s="1175"/>
      <c r="R447" s="1172"/>
      <c r="S447" s="1172"/>
      <c r="T447" s="1172"/>
      <c r="U447" s="1172"/>
      <c r="V447" s="1172"/>
      <c r="W447" s="1172"/>
      <c r="X447" s="1176"/>
    </row>
    <row r="448" spans="1:24" ht="45" customHeight="1" x14ac:dyDescent="0.2">
      <c r="A448" s="2089"/>
      <c r="B448" s="2055"/>
      <c r="C448" s="2057"/>
      <c r="D448" s="1177" t="s">
        <v>188</v>
      </c>
      <c r="E448" s="1374" t="s">
        <v>2102</v>
      </c>
      <c r="F448" s="1374" t="s">
        <v>2101</v>
      </c>
      <c r="G448" s="1178" t="s">
        <v>1829</v>
      </c>
      <c r="H448" s="1172"/>
      <c r="I448" s="1172"/>
      <c r="J448" s="1172">
        <f>465748+125752</f>
        <v>591500</v>
      </c>
      <c r="K448" s="1172"/>
      <c r="L448" s="1173"/>
      <c r="M448" s="1172"/>
      <c r="N448" s="1172"/>
      <c r="O448" s="1172"/>
      <c r="P448" s="1174"/>
      <c r="Q448" s="1175"/>
      <c r="R448" s="1172"/>
      <c r="S448" s="1172"/>
      <c r="T448" s="1172"/>
      <c r="U448" s="1172"/>
      <c r="V448" s="1172"/>
      <c r="W448" s="1172"/>
      <c r="X448" s="1176"/>
    </row>
    <row r="449" spans="1:24" ht="27.75" customHeight="1" x14ac:dyDescent="0.2">
      <c r="A449" s="1545" t="s">
        <v>1615</v>
      </c>
      <c r="B449" s="1313" t="s">
        <v>1711</v>
      </c>
      <c r="C449" s="1492" t="s">
        <v>2430</v>
      </c>
      <c r="D449" s="1177" t="s">
        <v>188</v>
      </c>
      <c r="E449" s="1374" t="s">
        <v>1375</v>
      </c>
      <c r="F449" s="1374" t="s">
        <v>1878</v>
      </c>
      <c r="G449" s="1178" t="s">
        <v>1829</v>
      </c>
      <c r="H449" s="1172"/>
      <c r="I449" s="1172"/>
      <c r="J449" s="1172"/>
      <c r="K449" s="1172"/>
      <c r="L449" s="1173"/>
      <c r="M449" s="1172"/>
      <c r="N449" s="1172"/>
      <c r="O449" s="1172"/>
      <c r="P449" s="1174">
        <v>46051618</v>
      </c>
      <c r="Q449" s="1175"/>
      <c r="R449" s="1172"/>
      <c r="S449" s="1172"/>
      <c r="T449" s="1172"/>
      <c r="U449" s="1172"/>
      <c r="V449" s="1172"/>
      <c r="W449" s="1172"/>
      <c r="X449" s="1176">
        <v>46051618</v>
      </c>
    </row>
    <row r="450" spans="1:24" ht="23.25" customHeight="1" x14ac:dyDescent="0.2">
      <c r="A450" s="2088" t="s">
        <v>1616</v>
      </c>
      <c r="B450" s="2054" t="s">
        <v>1712</v>
      </c>
      <c r="C450" s="2056" t="s">
        <v>2431</v>
      </c>
      <c r="D450" s="1177" t="s">
        <v>195</v>
      </c>
      <c r="E450" s="1374" t="s">
        <v>74</v>
      </c>
      <c r="F450" s="1374" t="s">
        <v>1870</v>
      </c>
      <c r="G450" s="1178" t="s">
        <v>1828</v>
      </c>
      <c r="H450" s="1172"/>
      <c r="I450" s="1172"/>
      <c r="J450" s="1172"/>
      <c r="K450" s="1172"/>
      <c r="L450" s="1173">
        <v>-2525822</v>
      </c>
      <c r="M450" s="1172"/>
      <c r="N450" s="1172"/>
      <c r="O450" s="1172"/>
      <c r="P450" s="1174"/>
      <c r="Q450" s="1175"/>
      <c r="R450" s="1172"/>
      <c r="S450" s="1172"/>
      <c r="T450" s="1172"/>
      <c r="U450" s="1172"/>
      <c r="V450" s="1172"/>
      <c r="W450" s="1172"/>
      <c r="X450" s="1176"/>
    </row>
    <row r="451" spans="1:24" ht="23.25" customHeight="1" x14ac:dyDescent="0.2">
      <c r="A451" s="2090"/>
      <c r="B451" s="2060"/>
      <c r="C451" s="2065"/>
      <c r="D451" s="1177" t="s">
        <v>193</v>
      </c>
      <c r="E451" s="1374" t="s">
        <v>556</v>
      </c>
      <c r="F451" s="1374" t="s">
        <v>1499</v>
      </c>
      <c r="G451" s="1178" t="s">
        <v>1829</v>
      </c>
      <c r="H451" s="1172"/>
      <c r="I451" s="1172"/>
      <c r="J451" s="1172"/>
      <c r="K451" s="1172"/>
      <c r="L451" s="1173"/>
      <c r="M451" s="1172">
        <f>1355733+366048</f>
        <v>1721781</v>
      </c>
      <c r="N451" s="1172"/>
      <c r="O451" s="1172"/>
      <c r="P451" s="1174"/>
      <c r="Q451" s="1175"/>
      <c r="R451" s="1172"/>
      <c r="S451" s="1172"/>
      <c r="T451" s="1172"/>
      <c r="U451" s="1172"/>
      <c r="V451" s="1172"/>
      <c r="W451" s="1172"/>
      <c r="X451" s="1176"/>
    </row>
    <row r="452" spans="1:24" ht="23.25" customHeight="1" x14ac:dyDescent="0.2">
      <c r="A452" s="2089"/>
      <c r="B452" s="2055"/>
      <c r="C452" s="2057"/>
      <c r="D452" s="1177" t="s">
        <v>193</v>
      </c>
      <c r="E452" s="1374" t="s">
        <v>583</v>
      </c>
      <c r="F452" s="1374" t="s">
        <v>128</v>
      </c>
      <c r="G452" s="1178" t="s">
        <v>1829</v>
      </c>
      <c r="H452" s="1172"/>
      <c r="I452" s="1172"/>
      <c r="J452" s="1172"/>
      <c r="K452" s="1172"/>
      <c r="L452" s="1173"/>
      <c r="M452" s="1172">
        <f>633103+170938</f>
        <v>804041</v>
      </c>
      <c r="N452" s="1172"/>
      <c r="O452" s="1172"/>
      <c r="P452" s="1174"/>
      <c r="Q452" s="1175"/>
      <c r="R452" s="1172"/>
      <c r="S452" s="1172"/>
      <c r="T452" s="1172"/>
      <c r="U452" s="1172"/>
      <c r="V452" s="1172"/>
      <c r="W452" s="1172"/>
      <c r="X452" s="1176"/>
    </row>
    <row r="453" spans="1:24" ht="27" customHeight="1" x14ac:dyDescent="0.2">
      <c r="A453" s="2088" t="s">
        <v>1617</v>
      </c>
      <c r="B453" s="2054" t="s">
        <v>1713</v>
      </c>
      <c r="C453" s="2056" t="s">
        <v>2434</v>
      </c>
      <c r="D453" s="1177" t="s">
        <v>195</v>
      </c>
      <c r="E453" s="1374" t="s">
        <v>74</v>
      </c>
      <c r="F453" s="1374" t="s">
        <v>1870</v>
      </c>
      <c r="G453" s="1178" t="s">
        <v>1828</v>
      </c>
      <c r="H453" s="1172"/>
      <c r="I453" s="1172"/>
      <c r="J453" s="1172"/>
      <c r="K453" s="1172"/>
      <c r="L453" s="1173">
        <v>-19045390</v>
      </c>
      <c r="M453" s="1172"/>
      <c r="N453" s="1172"/>
      <c r="O453" s="1172"/>
      <c r="P453" s="1174"/>
      <c r="Q453" s="1175"/>
      <c r="R453" s="1172"/>
      <c r="S453" s="1172"/>
      <c r="T453" s="1172"/>
      <c r="U453" s="1172"/>
      <c r="V453" s="1172"/>
      <c r="W453" s="1172"/>
      <c r="X453" s="1176"/>
    </row>
    <row r="454" spans="1:24" ht="27" customHeight="1" x14ac:dyDescent="0.2">
      <c r="A454" s="2089"/>
      <c r="B454" s="2055"/>
      <c r="C454" s="2057"/>
      <c r="D454" s="1177" t="s">
        <v>193</v>
      </c>
      <c r="E454" s="1374" t="s">
        <v>545</v>
      </c>
      <c r="F454" s="1374" t="s">
        <v>2435</v>
      </c>
      <c r="G454" s="1178" t="s">
        <v>1829</v>
      </c>
      <c r="H454" s="1172"/>
      <c r="I454" s="1172"/>
      <c r="J454" s="1172"/>
      <c r="K454" s="1172"/>
      <c r="L454" s="1173"/>
      <c r="M454" s="1172">
        <f>14996370+4049020</f>
        <v>19045390</v>
      </c>
      <c r="N454" s="1172"/>
      <c r="O454" s="1172"/>
      <c r="P454" s="1174"/>
      <c r="Q454" s="1175"/>
      <c r="R454" s="1172"/>
      <c r="S454" s="1172"/>
      <c r="T454" s="1172"/>
      <c r="U454" s="1172"/>
      <c r="V454" s="1172"/>
      <c r="W454" s="1172"/>
      <c r="X454" s="1176"/>
    </row>
    <row r="455" spans="1:24" ht="21.75" customHeight="1" x14ac:dyDescent="0.2">
      <c r="A455" s="2088" t="s">
        <v>1618</v>
      </c>
      <c r="B455" s="2054" t="s">
        <v>2015</v>
      </c>
      <c r="C455" s="2056" t="s">
        <v>2436</v>
      </c>
      <c r="D455" s="1177" t="s">
        <v>195</v>
      </c>
      <c r="E455" s="1374" t="s">
        <v>74</v>
      </c>
      <c r="F455" s="1374" t="s">
        <v>1870</v>
      </c>
      <c r="G455" s="1178" t="s">
        <v>1828</v>
      </c>
      <c r="H455" s="1172"/>
      <c r="I455" s="1172"/>
      <c r="J455" s="1172"/>
      <c r="K455" s="1172"/>
      <c r="L455" s="1173">
        <v>-3307476</v>
      </c>
      <c r="M455" s="1172"/>
      <c r="N455" s="1172"/>
      <c r="O455" s="1172"/>
      <c r="P455" s="1174"/>
      <c r="Q455" s="1175"/>
      <c r="R455" s="1172"/>
      <c r="S455" s="1172"/>
      <c r="T455" s="1172"/>
      <c r="U455" s="1172"/>
      <c r="V455" s="1172"/>
      <c r="W455" s="1172"/>
      <c r="X455" s="1176"/>
    </row>
    <row r="456" spans="1:24" ht="21.75" customHeight="1" x14ac:dyDescent="0.2">
      <c r="A456" s="2090"/>
      <c r="B456" s="2060"/>
      <c r="C456" s="2065"/>
      <c r="D456" s="1177" t="s">
        <v>194</v>
      </c>
      <c r="E456" s="1374" t="s">
        <v>620</v>
      </c>
      <c r="F456" s="1374" t="s">
        <v>1857</v>
      </c>
      <c r="G456" s="1178" t="s">
        <v>1951</v>
      </c>
      <c r="H456" s="1172"/>
      <c r="I456" s="1172"/>
      <c r="J456" s="1172"/>
      <c r="K456" s="1172"/>
      <c r="L456" s="1173"/>
      <c r="M456" s="1172"/>
      <c r="N456" s="1172">
        <f>2579902+696574</f>
        <v>3276476</v>
      </c>
      <c r="O456" s="1172"/>
      <c r="P456" s="1174"/>
      <c r="Q456" s="1175"/>
      <c r="R456" s="1172"/>
      <c r="S456" s="1172"/>
      <c r="T456" s="1172"/>
      <c r="U456" s="1172"/>
      <c r="V456" s="1172"/>
      <c r="W456" s="1172"/>
      <c r="X456" s="1176"/>
    </row>
    <row r="457" spans="1:24" ht="21.75" customHeight="1" x14ac:dyDescent="0.2">
      <c r="A457" s="2089"/>
      <c r="B457" s="2055"/>
      <c r="C457" s="2057"/>
      <c r="D457" s="1177" t="s">
        <v>188</v>
      </c>
      <c r="E457" s="1374" t="s">
        <v>620</v>
      </c>
      <c r="F457" s="1374" t="s">
        <v>1857</v>
      </c>
      <c r="G457" s="1178" t="s">
        <v>1829</v>
      </c>
      <c r="H457" s="1172"/>
      <c r="I457" s="1172"/>
      <c r="J457" s="1172">
        <v>31000</v>
      </c>
      <c r="K457" s="1172"/>
      <c r="L457" s="1173"/>
      <c r="M457" s="1172"/>
      <c r="N457" s="1172"/>
      <c r="O457" s="1172"/>
      <c r="P457" s="1174"/>
      <c r="Q457" s="1175"/>
      <c r="R457" s="1172"/>
      <c r="S457" s="1172"/>
      <c r="T457" s="1172"/>
      <c r="U457" s="1172"/>
      <c r="V457" s="1172"/>
      <c r="W457" s="1172"/>
      <c r="X457" s="1176"/>
    </row>
    <row r="458" spans="1:24" ht="54.75" customHeight="1" x14ac:dyDescent="0.2">
      <c r="A458" s="1634" t="s">
        <v>1619</v>
      </c>
      <c r="B458" s="1482" t="s">
        <v>2016</v>
      </c>
      <c r="C458" s="1403" t="s">
        <v>2438</v>
      </c>
      <c r="D458" s="1177" t="s">
        <v>188</v>
      </c>
      <c r="E458" s="1374" t="s">
        <v>1868</v>
      </c>
      <c r="F458" s="1374" t="s">
        <v>1867</v>
      </c>
      <c r="G458" s="1178" t="s">
        <v>1837</v>
      </c>
      <c r="H458" s="1172"/>
      <c r="I458" s="1172"/>
      <c r="J458" s="1172">
        <f>-110100+100000+10100</f>
        <v>0</v>
      </c>
      <c r="K458" s="1172"/>
      <c r="L458" s="1173"/>
      <c r="M458" s="1172"/>
      <c r="N458" s="1172"/>
      <c r="O458" s="1172"/>
      <c r="P458" s="1174"/>
      <c r="Q458" s="1175"/>
      <c r="R458" s="1172"/>
      <c r="S458" s="1172"/>
      <c r="T458" s="1172"/>
      <c r="U458" s="1172"/>
      <c r="V458" s="1172"/>
      <c r="W458" s="1172"/>
      <c r="X458" s="1176"/>
    </row>
    <row r="459" spans="1:24" ht="29.25" customHeight="1" x14ac:dyDescent="0.2">
      <c r="A459" s="1634" t="s">
        <v>1620</v>
      </c>
      <c r="B459" s="1482" t="s">
        <v>2018</v>
      </c>
      <c r="C459" s="1403" t="s">
        <v>2439</v>
      </c>
      <c r="D459" s="1177" t="s">
        <v>188</v>
      </c>
      <c r="E459" s="1374" t="s">
        <v>599</v>
      </c>
      <c r="F459" s="1374" t="s">
        <v>2346</v>
      </c>
      <c r="G459" s="1178" t="s">
        <v>1837</v>
      </c>
      <c r="H459" s="1172"/>
      <c r="I459" s="1172"/>
      <c r="J459" s="1172">
        <f>-383466+383466</f>
        <v>0</v>
      </c>
      <c r="K459" s="1172"/>
      <c r="L459" s="1173"/>
      <c r="M459" s="1172"/>
      <c r="N459" s="1172"/>
      <c r="O459" s="1172"/>
      <c r="P459" s="1174"/>
      <c r="Q459" s="1175"/>
      <c r="R459" s="1172"/>
      <c r="S459" s="1172"/>
      <c r="T459" s="1172"/>
      <c r="U459" s="1172"/>
      <c r="V459" s="1172"/>
      <c r="W459" s="1172"/>
      <c r="X459" s="1176"/>
    </row>
    <row r="460" spans="1:24" ht="44.25" customHeight="1" x14ac:dyDescent="0.2">
      <c r="A460" s="1634" t="s">
        <v>1621</v>
      </c>
      <c r="B460" s="1482" t="s">
        <v>2440</v>
      </c>
      <c r="C460" s="1403" t="s">
        <v>2441</v>
      </c>
      <c r="D460" s="1177" t="s">
        <v>188</v>
      </c>
      <c r="E460" s="1374" t="s">
        <v>1985</v>
      </c>
      <c r="F460" s="1374" t="s">
        <v>1984</v>
      </c>
      <c r="G460" s="1178" t="s">
        <v>1837</v>
      </c>
      <c r="H460" s="1172"/>
      <c r="I460" s="1172"/>
      <c r="J460" s="1172">
        <f>-530000+30000+200000+300000</f>
        <v>0</v>
      </c>
      <c r="K460" s="1172"/>
      <c r="L460" s="1173"/>
      <c r="M460" s="1172"/>
      <c r="N460" s="1172"/>
      <c r="O460" s="1172"/>
      <c r="P460" s="1174"/>
      <c r="Q460" s="1175"/>
      <c r="R460" s="1172"/>
      <c r="S460" s="1172"/>
      <c r="T460" s="1172"/>
      <c r="U460" s="1172"/>
      <c r="V460" s="1172"/>
      <c r="W460" s="1172"/>
      <c r="X460" s="1176"/>
    </row>
    <row r="461" spans="1:24" ht="25.5" customHeight="1" x14ac:dyDescent="0.2">
      <c r="A461" s="2088" t="s">
        <v>1622</v>
      </c>
      <c r="B461" s="2054" t="s">
        <v>2323</v>
      </c>
      <c r="C461" s="2056" t="s">
        <v>2442</v>
      </c>
      <c r="D461" s="1177" t="s">
        <v>188</v>
      </c>
      <c r="E461" s="1374" t="s">
        <v>1375</v>
      </c>
      <c r="F461" s="1374" t="s">
        <v>1878</v>
      </c>
      <c r="G461" s="1178" t="s">
        <v>1829</v>
      </c>
      <c r="H461" s="1172"/>
      <c r="I461" s="1172"/>
      <c r="J461" s="1172"/>
      <c r="K461" s="1172"/>
      <c r="L461" s="1173"/>
      <c r="M461" s="1172"/>
      <c r="N461" s="1172"/>
      <c r="O461" s="1172"/>
      <c r="P461" s="1174"/>
      <c r="Q461" s="1175">
        <v>7749312</v>
      </c>
      <c r="R461" s="1172"/>
      <c r="S461" s="1172"/>
      <c r="T461" s="1172"/>
      <c r="U461" s="1172"/>
      <c r="V461" s="1172"/>
      <c r="W461" s="1172"/>
      <c r="X461" s="1176"/>
    </row>
    <row r="462" spans="1:24" ht="25.5" customHeight="1" x14ac:dyDescent="0.2">
      <c r="A462" s="2089"/>
      <c r="B462" s="2055"/>
      <c r="C462" s="2057"/>
      <c r="D462" s="1177" t="s">
        <v>195</v>
      </c>
      <c r="E462" s="1374" t="s">
        <v>74</v>
      </c>
      <c r="F462" s="1374" t="s">
        <v>1870</v>
      </c>
      <c r="G462" s="1178" t="s">
        <v>1829</v>
      </c>
      <c r="H462" s="1172"/>
      <c r="I462" s="1172"/>
      <c r="J462" s="1172"/>
      <c r="K462" s="1172"/>
      <c r="L462" s="1173">
        <v>7749312</v>
      </c>
      <c r="M462" s="1172"/>
      <c r="N462" s="1172"/>
      <c r="O462" s="1172"/>
      <c r="P462" s="1174"/>
      <c r="Q462" s="1175"/>
      <c r="R462" s="1172"/>
      <c r="S462" s="1172"/>
      <c r="T462" s="1172"/>
      <c r="U462" s="1172"/>
      <c r="V462" s="1172"/>
      <c r="W462" s="1172"/>
      <c r="X462" s="1176"/>
    </row>
    <row r="463" spans="1:24" ht="21.75" customHeight="1" x14ac:dyDescent="0.2">
      <c r="A463" s="2088" t="s">
        <v>1623</v>
      </c>
      <c r="B463" s="2054" t="s">
        <v>2324</v>
      </c>
      <c r="C463" s="2056" t="s">
        <v>2445</v>
      </c>
      <c r="D463" s="1177" t="s">
        <v>188</v>
      </c>
      <c r="E463" s="1374" t="s">
        <v>166</v>
      </c>
      <c r="F463" s="1374" t="s">
        <v>154</v>
      </c>
      <c r="G463" s="1178" t="s">
        <v>1829</v>
      </c>
      <c r="H463" s="1172"/>
      <c r="I463" s="1172"/>
      <c r="J463" s="1172"/>
      <c r="K463" s="1172"/>
      <c r="L463" s="1173"/>
      <c r="M463" s="1172"/>
      <c r="N463" s="1172"/>
      <c r="O463" s="1172"/>
      <c r="P463" s="1174"/>
      <c r="Q463" s="1175">
        <v>1484000</v>
      </c>
      <c r="R463" s="1172"/>
      <c r="S463" s="1172"/>
      <c r="T463" s="1172"/>
      <c r="U463" s="1172"/>
      <c r="V463" s="1172"/>
      <c r="W463" s="1172"/>
      <c r="X463" s="1176"/>
    </row>
    <row r="464" spans="1:24" ht="21.75" customHeight="1" x14ac:dyDescent="0.2">
      <c r="A464" s="2089"/>
      <c r="B464" s="2055"/>
      <c r="C464" s="2057"/>
      <c r="D464" s="1177" t="s">
        <v>195</v>
      </c>
      <c r="E464" s="1374" t="s">
        <v>74</v>
      </c>
      <c r="F464" s="1374" t="s">
        <v>1870</v>
      </c>
      <c r="G464" s="1178" t="s">
        <v>1829</v>
      </c>
      <c r="H464" s="1172"/>
      <c r="I464" s="1172"/>
      <c r="J464" s="1172"/>
      <c r="K464" s="1172"/>
      <c r="L464" s="1173">
        <v>1484000</v>
      </c>
      <c r="M464" s="1172"/>
      <c r="N464" s="1172"/>
      <c r="O464" s="1172"/>
      <c r="P464" s="1174"/>
      <c r="Q464" s="1175"/>
      <c r="R464" s="1172"/>
      <c r="S464" s="1172"/>
      <c r="T464" s="1172"/>
      <c r="U464" s="1172"/>
      <c r="V464" s="1172"/>
      <c r="W464" s="1172"/>
      <c r="X464" s="1176"/>
    </row>
    <row r="465" spans="1:24" ht="20.25" customHeight="1" x14ac:dyDescent="0.2">
      <c r="A465" s="2088" t="s">
        <v>1624</v>
      </c>
      <c r="B465" s="2054" t="s">
        <v>2446</v>
      </c>
      <c r="C465" s="2056" t="s">
        <v>2447</v>
      </c>
      <c r="D465" s="1177" t="s">
        <v>188</v>
      </c>
      <c r="E465" s="1374" t="s">
        <v>74</v>
      </c>
      <c r="F465" s="1374" t="s">
        <v>154</v>
      </c>
      <c r="G465" s="1178" t="s">
        <v>1829</v>
      </c>
      <c r="H465" s="1172"/>
      <c r="I465" s="1172"/>
      <c r="J465" s="1172"/>
      <c r="K465" s="1172"/>
      <c r="L465" s="1173"/>
      <c r="M465" s="1172"/>
      <c r="N465" s="1172"/>
      <c r="O465" s="1172"/>
      <c r="P465" s="1174"/>
      <c r="Q465" s="1175"/>
      <c r="R465" s="1172"/>
      <c r="S465" s="1172">
        <v>60902</v>
      </c>
      <c r="T465" s="1172"/>
      <c r="U465" s="1172"/>
      <c r="V465" s="1172"/>
      <c r="W465" s="1172"/>
      <c r="X465" s="1176"/>
    </row>
    <row r="466" spans="1:24" ht="20.25" customHeight="1" x14ac:dyDescent="0.2">
      <c r="A466" s="2089"/>
      <c r="B466" s="2055"/>
      <c r="C466" s="2057"/>
      <c r="D466" s="1177" t="s">
        <v>195</v>
      </c>
      <c r="E466" s="1374" t="s">
        <v>74</v>
      </c>
      <c r="F466" s="1374" t="s">
        <v>1870</v>
      </c>
      <c r="G466" s="1178" t="s">
        <v>1829</v>
      </c>
      <c r="H466" s="1172"/>
      <c r="I466" s="1172"/>
      <c r="J466" s="1172"/>
      <c r="K466" s="1172"/>
      <c r="L466" s="1173">
        <v>60902</v>
      </c>
      <c r="M466" s="1172"/>
      <c r="N466" s="1172"/>
      <c r="O466" s="1172"/>
      <c r="P466" s="1174"/>
      <c r="Q466" s="1175"/>
      <c r="R466" s="1172"/>
      <c r="S466" s="1172"/>
      <c r="T466" s="1172"/>
      <c r="U466" s="1172"/>
      <c r="V466" s="1172"/>
      <c r="W466" s="1172"/>
      <c r="X466" s="1176"/>
    </row>
    <row r="467" spans="1:24" ht="23.25" customHeight="1" x14ac:dyDescent="0.2">
      <c r="A467" s="2088" t="s">
        <v>1625</v>
      </c>
      <c r="B467" s="2054" t="s">
        <v>2449</v>
      </c>
      <c r="C467" s="2056" t="s">
        <v>2450</v>
      </c>
      <c r="D467" s="1177" t="s">
        <v>188</v>
      </c>
      <c r="E467" s="1374" t="s">
        <v>131</v>
      </c>
      <c r="F467" s="1374" t="s">
        <v>154</v>
      </c>
      <c r="G467" s="1178" t="s">
        <v>1829</v>
      </c>
      <c r="H467" s="1172"/>
      <c r="I467" s="1172"/>
      <c r="J467" s="1172"/>
      <c r="K467" s="1172"/>
      <c r="L467" s="1173"/>
      <c r="M467" s="1172"/>
      <c r="N467" s="1172"/>
      <c r="O467" s="1172"/>
      <c r="P467" s="1174"/>
      <c r="Q467" s="1175"/>
      <c r="R467" s="1172"/>
      <c r="S467" s="1172"/>
      <c r="T467" s="1172">
        <v>308000</v>
      </c>
      <c r="U467" s="1172"/>
      <c r="V467" s="1172"/>
      <c r="W467" s="1172"/>
      <c r="X467" s="1176"/>
    </row>
    <row r="468" spans="1:24" ht="24" customHeight="1" x14ac:dyDescent="0.2">
      <c r="A468" s="2089"/>
      <c r="B468" s="2055"/>
      <c r="C468" s="2057"/>
      <c r="D468" s="1177" t="s">
        <v>195</v>
      </c>
      <c r="E468" s="1374" t="s">
        <v>74</v>
      </c>
      <c r="F468" s="1374" t="s">
        <v>1870</v>
      </c>
      <c r="G468" s="1178" t="s">
        <v>1829</v>
      </c>
      <c r="H468" s="1172"/>
      <c r="I468" s="1172"/>
      <c r="J468" s="1172"/>
      <c r="K468" s="1172"/>
      <c r="L468" s="1173">
        <v>308000</v>
      </c>
      <c r="M468" s="1172"/>
      <c r="N468" s="1172"/>
      <c r="O468" s="1172"/>
      <c r="P468" s="1174"/>
      <c r="Q468" s="1175"/>
      <c r="R468" s="1172"/>
      <c r="S468" s="1172"/>
      <c r="T468" s="1172"/>
      <c r="U468" s="1172"/>
      <c r="V468" s="1172"/>
      <c r="W468" s="1172"/>
      <c r="X468" s="1176"/>
    </row>
    <row r="469" spans="1:24" ht="21.75" customHeight="1" x14ac:dyDescent="0.2">
      <c r="A469" s="2088" t="s">
        <v>1626</v>
      </c>
      <c r="B469" s="2054" t="s">
        <v>2451</v>
      </c>
      <c r="C469" s="2056" t="s">
        <v>2452</v>
      </c>
      <c r="D469" s="1177" t="s">
        <v>188</v>
      </c>
      <c r="E469" s="1374" t="s">
        <v>1980</v>
      </c>
      <c r="F469" s="1374" t="s">
        <v>1856</v>
      </c>
      <c r="G469" s="1178" t="s">
        <v>1829</v>
      </c>
      <c r="H469" s="1172"/>
      <c r="I469" s="1172"/>
      <c r="J469" s="1172"/>
      <c r="K469" s="1172"/>
      <c r="L469" s="1173"/>
      <c r="M469" s="1172"/>
      <c r="N469" s="1172"/>
      <c r="O469" s="1172"/>
      <c r="P469" s="1174"/>
      <c r="Q469" s="1175"/>
      <c r="R469" s="1172"/>
      <c r="S469" s="1172"/>
      <c r="T469" s="1172">
        <v>800000</v>
      </c>
      <c r="U469" s="1172"/>
      <c r="V469" s="1172"/>
      <c r="W469" s="1172"/>
      <c r="X469" s="1176"/>
    </row>
    <row r="470" spans="1:24" ht="21.75" customHeight="1" x14ac:dyDescent="0.2">
      <c r="A470" s="2089"/>
      <c r="B470" s="2055"/>
      <c r="C470" s="2057"/>
      <c r="D470" s="1177" t="s">
        <v>195</v>
      </c>
      <c r="E470" s="1374" t="s">
        <v>74</v>
      </c>
      <c r="F470" s="1374" t="s">
        <v>1870</v>
      </c>
      <c r="G470" s="1178" t="s">
        <v>1829</v>
      </c>
      <c r="H470" s="1172"/>
      <c r="I470" s="1172"/>
      <c r="J470" s="1172"/>
      <c r="K470" s="1172"/>
      <c r="L470" s="1173">
        <v>800000</v>
      </c>
      <c r="M470" s="1172"/>
      <c r="N470" s="1172"/>
      <c r="O470" s="1172"/>
      <c r="P470" s="1174"/>
      <c r="Q470" s="1175"/>
      <c r="R470" s="1172"/>
      <c r="S470" s="1172"/>
      <c r="T470" s="1172"/>
      <c r="U470" s="1172"/>
      <c r="V470" s="1172"/>
      <c r="W470" s="1172"/>
      <c r="X470" s="1176"/>
    </row>
    <row r="471" spans="1:24" ht="33" customHeight="1" x14ac:dyDescent="0.2">
      <c r="A471" s="1545" t="s">
        <v>1627</v>
      </c>
      <c r="B471" s="1313" t="s">
        <v>2453</v>
      </c>
      <c r="C471" s="1492" t="s">
        <v>2454</v>
      </c>
      <c r="D471" s="1177" t="s">
        <v>188</v>
      </c>
      <c r="E471" s="1374" t="s">
        <v>64</v>
      </c>
      <c r="F471" s="1374" t="s">
        <v>526</v>
      </c>
      <c r="G471" s="1178" t="s">
        <v>1829</v>
      </c>
      <c r="H471" s="1172"/>
      <c r="I471" s="1172"/>
      <c r="J471" s="1172">
        <f>787402+212598</f>
        <v>1000000</v>
      </c>
      <c r="K471" s="1172"/>
      <c r="L471" s="1173"/>
      <c r="M471" s="1172"/>
      <c r="N471" s="1172"/>
      <c r="O471" s="1172"/>
      <c r="P471" s="1174"/>
      <c r="Q471" s="1175"/>
      <c r="R471" s="1172"/>
      <c r="S471" s="1172"/>
      <c r="T471" s="1172">
        <v>1000000</v>
      </c>
      <c r="U471" s="1172"/>
      <c r="V471" s="1172"/>
      <c r="W471" s="1172"/>
      <c r="X471" s="1176"/>
    </row>
    <row r="472" spans="1:24" ht="20.25" customHeight="1" x14ac:dyDescent="0.2">
      <c r="A472" s="2088" t="s">
        <v>1628</v>
      </c>
      <c r="B472" s="2054" t="s">
        <v>2455</v>
      </c>
      <c r="C472" s="2056" t="s">
        <v>2456</v>
      </c>
      <c r="D472" s="1177" t="s">
        <v>188</v>
      </c>
      <c r="E472" s="1374" t="s">
        <v>2458</v>
      </c>
      <c r="F472" s="1374" t="s">
        <v>2457</v>
      </c>
      <c r="G472" s="1178" t="s">
        <v>1829</v>
      </c>
      <c r="H472" s="1172"/>
      <c r="I472" s="1172"/>
      <c r="J472" s="1172"/>
      <c r="K472" s="1172"/>
      <c r="L472" s="1173"/>
      <c r="M472" s="1172"/>
      <c r="N472" s="1172"/>
      <c r="O472" s="1172"/>
      <c r="P472" s="1174"/>
      <c r="Q472" s="1175"/>
      <c r="R472" s="1172"/>
      <c r="S472" s="1172"/>
      <c r="T472" s="1172">
        <v>40000000</v>
      </c>
      <c r="U472" s="1172"/>
      <c r="V472" s="1172"/>
      <c r="W472" s="1172"/>
      <c r="X472" s="1176"/>
    </row>
    <row r="473" spans="1:24" ht="20.25" customHeight="1" x14ac:dyDescent="0.2">
      <c r="A473" s="2089"/>
      <c r="B473" s="2055"/>
      <c r="C473" s="2057"/>
      <c r="D473" s="1177" t="s">
        <v>195</v>
      </c>
      <c r="E473" s="1374" t="s">
        <v>74</v>
      </c>
      <c r="F473" s="1374" t="s">
        <v>1870</v>
      </c>
      <c r="G473" s="1178" t="s">
        <v>1829</v>
      </c>
      <c r="H473" s="1172"/>
      <c r="I473" s="1172"/>
      <c r="J473" s="1172"/>
      <c r="K473" s="1172"/>
      <c r="L473" s="1173">
        <v>40000000</v>
      </c>
      <c r="M473" s="1172"/>
      <c r="N473" s="1172"/>
      <c r="O473" s="1172"/>
      <c r="P473" s="1174"/>
      <c r="Q473" s="1175"/>
      <c r="R473" s="1172"/>
      <c r="S473" s="1172"/>
      <c r="T473" s="1172"/>
      <c r="U473" s="1172"/>
      <c r="V473" s="1172"/>
      <c r="W473" s="1172"/>
      <c r="X473" s="1176"/>
    </row>
    <row r="474" spans="1:24" ht="33.75" customHeight="1" x14ac:dyDescent="0.2">
      <c r="A474" s="2088" t="s">
        <v>1629</v>
      </c>
      <c r="B474" s="2054" t="s">
        <v>2459</v>
      </c>
      <c r="C474" s="2056" t="s">
        <v>2460</v>
      </c>
      <c r="D474" s="1177" t="s">
        <v>195</v>
      </c>
      <c r="E474" s="1374" t="s">
        <v>74</v>
      </c>
      <c r="F474" s="1374" t="s">
        <v>1870</v>
      </c>
      <c r="G474" s="1178" t="s">
        <v>1828</v>
      </c>
      <c r="H474" s="1172"/>
      <c r="I474" s="1172"/>
      <c r="J474" s="1172"/>
      <c r="K474" s="1172"/>
      <c r="L474" s="1173">
        <v>-165000</v>
      </c>
      <c r="M474" s="1172"/>
      <c r="N474" s="1172"/>
      <c r="O474" s="1172"/>
      <c r="P474" s="1174"/>
      <c r="Q474" s="1175"/>
      <c r="R474" s="1172"/>
      <c r="S474" s="1172"/>
      <c r="T474" s="1172"/>
      <c r="U474" s="1172"/>
      <c r="V474" s="1172"/>
      <c r="W474" s="1172"/>
      <c r="X474" s="1176"/>
    </row>
    <row r="475" spans="1:24" ht="33.75" customHeight="1" x14ac:dyDescent="0.2">
      <c r="A475" s="2089"/>
      <c r="B475" s="2055"/>
      <c r="C475" s="2057"/>
      <c r="D475" s="1177" t="s">
        <v>197</v>
      </c>
      <c r="E475" s="1374" t="s">
        <v>1288</v>
      </c>
      <c r="F475" s="1374" t="s">
        <v>535</v>
      </c>
      <c r="G475" s="1178" t="s">
        <v>1829</v>
      </c>
      <c r="H475" s="1172"/>
      <c r="I475" s="1172"/>
      <c r="J475" s="1172"/>
      <c r="K475" s="1172"/>
      <c r="L475" s="1173"/>
      <c r="M475" s="1172"/>
      <c r="N475" s="1172"/>
      <c r="O475" s="1172"/>
      <c r="P475" s="1174">
        <v>165000</v>
      </c>
      <c r="Q475" s="1175"/>
      <c r="R475" s="1172"/>
      <c r="S475" s="1172"/>
      <c r="T475" s="1172"/>
      <c r="U475" s="1172"/>
      <c r="V475" s="1172"/>
      <c r="W475" s="1172"/>
      <c r="X475" s="1176"/>
    </row>
    <row r="476" spans="1:24" ht="21.75" customHeight="1" x14ac:dyDescent="0.2">
      <c r="A476" s="2088" t="s">
        <v>1630</v>
      </c>
      <c r="B476" s="2054" t="s">
        <v>2461</v>
      </c>
      <c r="C476" s="2056" t="s">
        <v>2462</v>
      </c>
      <c r="D476" s="1177" t="s">
        <v>188</v>
      </c>
      <c r="E476" s="1374" t="s">
        <v>131</v>
      </c>
      <c r="F476" s="1374" t="s">
        <v>154</v>
      </c>
      <c r="G476" s="1178" t="s">
        <v>1829</v>
      </c>
      <c r="H476" s="1172"/>
      <c r="I476" s="1172"/>
      <c r="J476" s="1172"/>
      <c r="K476" s="1172"/>
      <c r="L476" s="1173"/>
      <c r="M476" s="1172"/>
      <c r="N476" s="1172"/>
      <c r="O476" s="1172"/>
      <c r="P476" s="1174"/>
      <c r="Q476" s="1175"/>
      <c r="R476" s="1172"/>
      <c r="S476" s="1172"/>
      <c r="T476" s="1172">
        <v>27586</v>
      </c>
      <c r="U476" s="1172"/>
      <c r="V476" s="1172"/>
      <c r="W476" s="1172"/>
      <c r="X476" s="1176"/>
    </row>
    <row r="477" spans="1:24" ht="21.75" customHeight="1" x14ac:dyDescent="0.2">
      <c r="A477" s="2089"/>
      <c r="B477" s="2055"/>
      <c r="C477" s="2057"/>
      <c r="D477" s="1177" t="s">
        <v>195</v>
      </c>
      <c r="E477" s="1374" t="s">
        <v>74</v>
      </c>
      <c r="F477" s="1374" t="s">
        <v>1870</v>
      </c>
      <c r="G477" s="1178" t="s">
        <v>1829</v>
      </c>
      <c r="H477" s="1172"/>
      <c r="I477" s="1172"/>
      <c r="J477" s="1172"/>
      <c r="K477" s="1172"/>
      <c r="L477" s="1173">
        <v>27586</v>
      </c>
      <c r="M477" s="1172"/>
      <c r="N477" s="1172"/>
      <c r="O477" s="1172"/>
      <c r="P477" s="1174"/>
      <c r="Q477" s="1175"/>
      <c r="R477" s="1172"/>
      <c r="S477" s="1172"/>
      <c r="T477" s="1172"/>
      <c r="U477" s="1172"/>
      <c r="V477" s="1172"/>
      <c r="W477" s="1172"/>
      <c r="X477" s="1176"/>
    </row>
    <row r="478" spans="1:24" ht="32.25" customHeight="1" x14ac:dyDescent="0.2">
      <c r="A478" s="2088" t="s">
        <v>1631</v>
      </c>
      <c r="B478" s="2054" t="s">
        <v>2463</v>
      </c>
      <c r="C478" s="2056" t="s">
        <v>2464</v>
      </c>
      <c r="D478" s="1177" t="s">
        <v>198</v>
      </c>
      <c r="E478" s="1374" t="s">
        <v>1375</v>
      </c>
      <c r="F478" s="1374" t="s">
        <v>1878</v>
      </c>
      <c r="G478" s="1178" t="s">
        <v>1829</v>
      </c>
      <c r="H478" s="1172"/>
      <c r="I478" s="1172"/>
      <c r="J478" s="1172"/>
      <c r="K478" s="1172"/>
      <c r="L478" s="1173"/>
      <c r="M478" s="1172"/>
      <c r="N478" s="1172"/>
      <c r="O478" s="1172"/>
      <c r="P478" s="1174"/>
      <c r="Q478" s="1175">
        <v>2428666</v>
      </c>
      <c r="R478" s="1172"/>
      <c r="S478" s="1172"/>
      <c r="T478" s="1172"/>
      <c r="U478" s="1172"/>
      <c r="V478" s="1172"/>
      <c r="W478" s="1172"/>
      <c r="X478" s="1176"/>
    </row>
    <row r="479" spans="1:24" ht="32.25" customHeight="1" x14ac:dyDescent="0.2">
      <c r="A479" s="2089"/>
      <c r="B479" s="2055"/>
      <c r="C479" s="2057"/>
      <c r="D479" s="1177" t="s">
        <v>195</v>
      </c>
      <c r="E479" s="1374" t="s">
        <v>74</v>
      </c>
      <c r="F479" s="1374" t="s">
        <v>1870</v>
      </c>
      <c r="G479" s="1178" t="s">
        <v>1829</v>
      </c>
      <c r="H479" s="1172"/>
      <c r="I479" s="1172"/>
      <c r="J479" s="1172"/>
      <c r="K479" s="1172"/>
      <c r="L479" s="1173">
        <v>2428666</v>
      </c>
      <c r="M479" s="1172"/>
      <c r="N479" s="1172"/>
      <c r="O479" s="1172"/>
      <c r="P479" s="1174"/>
      <c r="Q479" s="1175"/>
      <c r="R479" s="1172"/>
      <c r="S479" s="1172"/>
      <c r="T479" s="1172"/>
      <c r="U479" s="1172"/>
      <c r="V479" s="1172"/>
      <c r="W479" s="1172"/>
      <c r="X479" s="1176"/>
    </row>
    <row r="480" spans="1:24" ht="21" customHeight="1" x14ac:dyDescent="0.2">
      <c r="A480" s="2088" t="s">
        <v>1632</v>
      </c>
      <c r="B480" s="2054" t="s">
        <v>2465</v>
      </c>
      <c r="C480" s="2056" t="s">
        <v>2466</v>
      </c>
      <c r="D480" s="1177" t="s">
        <v>188</v>
      </c>
      <c r="E480" s="1374" t="s">
        <v>1399</v>
      </c>
      <c r="F480" s="1374" t="s">
        <v>1389</v>
      </c>
      <c r="G480" s="1178" t="s">
        <v>1829</v>
      </c>
      <c r="H480" s="1172"/>
      <c r="I480" s="1172"/>
      <c r="J480" s="1172"/>
      <c r="K480" s="1172"/>
      <c r="L480" s="1173"/>
      <c r="M480" s="1172"/>
      <c r="N480" s="1172"/>
      <c r="O480" s="1172"/>
      <c r="P480" s="1174"/>
      <c r="Q480" s="1175"/>
      <c r="R480" s="1172"/>
      <c r="S480" s="1172">
        <v>19867664</v>
      </c>
      <c r="T480" s="1172"/>
      <c r="U480" s="1172"/>
      <c r="V480" s="1172"/>
      <c r="W480" s="1172"/>
      <c r="X480" s="1176"/>
    </row>
    <row r="481" spans="1:24" ht="21" customHeight="1" x14ac:dyDescent="0.2">
      <c r="A481" s="2090"/>
      <c r="B481" s="2060"/>
      <c r="C481" s="2065"/>
      <c r="D481" s="1177" t="s">
        <v>195</v>
      </c>
      <c r="E481" s="1374" t="s">
        <v>74</v>
      </c>
      <c r="F481" s="1374" t="s">
        <v>1870</v>
      </c>
      <c r="G481" s="1178" t="s">
        <v>1829</v>
      </c>
      <c r="H481" s="1172"/>
      <c r="I481" s="1172"/>
      <c r="J481" s="1172"/>
      <c r="K481" s="1172"/>
      <c r="L481" s="1173">
        <v>2000000</v>
      </c>
      <c r="M481" s="1172"/>
      <c r="N481" s="1172"/>
      <c r="O481" s="1172"/>
      <c r="P481" s="1174"/>
      <c r="Q481" s="1175"/>
      <c r="R481" s="1172"/>
      <c r="S481" s="1172"/>
      <c r="T481" s="1172"/>
      <c r="U481" s="1172"/>
      <c r="V481" s="1172"/>
      <c r="W481" s="1172"/>
      <c r="X481" s="1176"/>
    </row>
    <row r="482" spans="1:24" ht="21" customHeight="1" x14ac:dyDescent="0.2">
      <c r="A482" s="2089"/>
      <c r="B482" s="2055"/>
      <c r="C482" s="2057"/>
      <c r="D482" s="1177" t="s">
        <v>195</v>
      </c>
      <c r="E482" s="1374" t="s">
        <v>74</v>
      </c>
      <c r="F482" s="1374" t="s">
        <v>1870</v>
      </c>
      <c r="G482" s="1178" t="s">
        <v>1829</v>
      </c>
      <c r="H482" s="1172"/>
      <c r="I482" s="1172"/>
      <c r="J482" s="1172"/>
      <c r="K482" s="1172"/>
      <c r="L482" s="1173">
        <v>17867664</v>
      </c>
      <c r="M482" s="1172"/>
      <c r="N482" s="1172"/>
      <c r="O482" s="1172"/>
      <c r="P482" s="1174"/>
      <c r="Q482" s="1175"/>
      <c r="R482" s="1172"/>
      <c r="S482" s="1172"/>
      <c r="T482" s="1172"/>
      <c r="U482" s="1172"/>
      <c r="V482" s="1172"/>
      <c r="W482" s="1172"/>
      <c r="X482" s="1176"/>
    </row>
    <row r="483" spans="1:24" ht="30" customHeight="1" x14ac:dyDescent="0.2">
      <c r="A483" s="1634"/>
      <c r="B483" s="1482"/>
      <c r="C483" s="1403" t="s">
        <v>2157</v>
      </c>
      <c r="D483" s="1177" t="s">
        <v>197</v>
      </c>
      <c r="E483" s="1374" t="s">
        <v>1288</v>
      </c>
      <c r="F483" s="1374" t="s">
        <v>535</v>
      </c>
      <c r="G483" s="1178" t="s">
        <v>1837</v>
      </c>
      <c r="H483" s="1172"/>
      <c r="I483" s="1172"/>
      <c r="J483" s="1172"/>
      <c r="K483" s="1172"/>
      <c r="L483" s="1173"/>
      <c r="M483" s="1172"/>
      <c r="N483" s="1172"/>
      <c r="O483" s="1172"/>
      <c r="P483" s="1174">
        <f>-215035+215035</f>
        <v>0</v>
      </c>
      <c r="Q483" s="1175"/>
      <c r="R483" s="1172"/>
      <c r="S483" s="1172"/>
      <c r="T483" s="1172"/>
      <c r="U483" s="1172"/>
      <c r="V483" s="1172"/>
      <c r="W483" s="1172"/>
      <c r="X483" s="1176"/>
    </row>
    <row r="484" spans="1:24" ht="30" customHeight="1" x14ac:dyDescent="0.2">
      <c r="A484" s="1634" t="s">
        <v>1633</v>
      </c>
      <c r="B484" s="1482" t="s">
        <v>2483</v>
      </c>
      <c r="C484" s="1403" t="s">
        <v>1853</v>
      </c>
      <c r="D484" s="1177" t="s">
        <v>188</v>
      </c>
      <c r="E484" s="1374" t="s">
        <v>131</v>
      </c>
      <c r="F484" s="1374" t="s">
        <v>153</v>
      </c>
      <c r="G484" s="1178" t="s">
        <v>1829</v>
      </c>
      <c r="H484" s="1172"/>
      <c r="I484" s="1172"/>
      <c r="J484" s="1172">
        <f>15000000+4050000</f>
        <v>19050000</v>
      </c>
      <c r="K484" s="1172"/>
      <c r="L484" s="1173"/>
      <c r="M484" s="1172"/>
      <c r="N484" s="1172"/>
      <c r="O484" s="1172"/>
      <c r="P484" s="1174"/>
      <c r="Q484" s="1175"/>
      <c r="R484" s="1172"/>
      <c r="S484" s="1172"/>
      <c r="T484" s="1172">
        <f>15000000+4050000</f>
        <v>19050000</v>
      </c>
      <c r="U484" s="1172"/>
      <c r="V484" s="1172"/>
      <c r="W484" s="1172"/>
      <c r="X484" s="1176"/>
    </row>
    <row r="485" spans="1:24" ht="29.25" customHeight="1" x14ac:dyDescent="0.2">
      <c r="A485" s="2088" t="s">
        <v>1634</v>
      </c>
      <c r="B485" s="2054" t="s">
        <v>2484</v>
      </c>
      <c r="C485" s="2056" t="s">
        <v>2485</v>
      </c>
      <c r="D485" s="1177" t="s">
        <v>195</v>
      </c>
      <c r="E485" s="1374" t="s">
        <v>74</v>
      </c>
      <c r="F485" s="1374" t="s">
        <v>1870</v>
      </c>
      <c r="G485" s="1178" t="s">
        <v>1828</v>
      </c>
      <c r="H485" s="1172"/>
      <c r="I485" s="1172"/>
      <c r="J485" s="1172"/>
      <c r="K485" s="1172"/>
      <c r="L485" s="1173">
        <v>-500000</v>
      </c>
      <c r="M485" s="1172"/>
      <c r="N485" s="1172"/>
      <c r="O485" s="1172"/>
      <c r="P485" s="1174"/>
      <c r="Q485" s="1175"/>
      <c r="R485" s="1172"/>
      <c r="S485" s="1172"/>
      <c r="T485" s="1172"/>
      <c r="U485" s="1172"/>
      <c r="V485" s="1172"/>
      <c r="W485" s="1172"/>
      <c r="X485" s="1176"/>
    </row>
    <row r="486" spans="1:24" ht="29.25" customHeight="1" x14ac:dyDescent="0.2">
      <c r="A486" s="2089"/>
      <c r="B486" s="2055"/>
      <c r="C486" s="2057"/>
      <c r="D486" s="1177" t="s">
        <v>192</v>
      </c>
      <c r="E486" s="1374" t="s">
        <v>71</v>
      </c>
      <c r="F486" s="1374" t="s">
        <v>1875</v>
      </c>
      <c r="G486" s="1178" t="s">
        <v>1829</v>
      </c>
      <c r="H486" s="1172"/>
      <c r="I486" s="1172"/>
      <c r="J486" s="1172"/>
      <c r="K486" s="1172"/>
      <c r="L486" s="1173">
        <v>500000</v>
      </c>
      <c r="M486" s="1172"/>
      <c r="N486" s="1172"/>
      <c r="O486" s="1172"/>
      <c r="P486" s="1174"/>
      <c r="Q486" s="1175"/>
      <c r="R486" s="1172"/>
      <c r="S486" s="1172"/>
      <c r="T486" s="1172"/>
      <c r="U486" s="1172"/>
      <c r="V486" s="1172"/>
      <c r="W486" s="1172"/>
      <c r="X486" s="1176"/>
    </row>
    <row r="487" spans="1:24" ht="39.75" customHeight="1" x14ac:dyDescent="0.2">
      <c r="A487" s="2088" t="s">
        <v>1635</v>
      </c>
      <c r="B487" s="2054" t="s">
        <v>2487</v>
      </c>
      <c r="C487" s="2056" t="s">
        <v>2637</v>
      </c>
      <c r="D487" s="1177" t="s">
        <v>195</v>
      </c>
      <c r="E487" s="1374" t="s">
        <v>74</v>
      </c>
      <c r="F487" s="1374" t="s">
        <v>1870</v>
      </c>
      <c r="G487" s="1178" t="s">
        <v>1828</v>
      </c>
      <c r="H487" s="1172"/>
      <c r="I487" s="1172"/>
      <c r="J487" s="1172"/>
      <c r="K487" s="1172"/>
      <c r="L487" s="1173">
        <v>-100000</v>
      </c>
      <c r="M487" s="1172"/>
      <c r="N487" s="1172"/>
      <c r="O487" s="1172"/>
      <c r="P487" s="1174"/>
      <c r="Q487" s="1175"/>
      <c r="R487" s="1172"/>
      <c r="S487" s="1172"/>
      <c r="T487" s="1172"/>
      <c r="U487" s="1172"/>
      <c r="V487" s="1172"/>
      <c r="W487" s="1172"/>
      <c r="X487" s="1176"/>
    </row>
    <row r="488" spans="1:24" ht="39.75" customHeight="1" x14ac:dyDescent="0.2">
      <c r="A488" s="2089"/>
      <c r="B488" s="2055"/>
      <c r="C488" s="2057"/>
      <c r="D488" s="1177" t="s">
        <v>192</v>
      </c>
      <c r="E488" s="1374" t="s">
        <v>602</v>
      </c>
      <c r="F488" s="1374" t="s">
        <v>1875</v>
      </c>
      <c r="G488" s="1178" t="s">
        <v>1829</v>
      </c>
      <c r="H488" s="1172"/>
      <c r="I488" s="1172"/>
      <c r="J488" s="1172"/>
      <c r="K488" s="1172"/>
      <c r="L488" s="1173">
        <v>100000</v>
      </c>
      <c r="M488" s="1172"/>
      <c r="N488" s="1172"/>
      <c r="O488" s="1172"/>
      <c r="P488" s="1174"/>
      <c r="Q488" s="1175"/>
      <c r="R488" s="1172"/>
      <c r="S488" s="1172"/>
      <c r="T488" s="1172"/>
      <c r="U488" s="1172"/>
      <c r="V488" s="1172"/>
      <c r="W488" s="1172"/>
      <c r="X488" s="1176"/>
    </row>
    <row r="489" spans="1:24" ht="34.5" customHeight="1" x14ac:dyDescent="0.2">
      <c r="A489" s="2088" t="s">
        <v>1636</v>
      </c>
      <c r="B489" s="2054" t="s">
        <v>2489</v>
      </c>
      <c r="C489" s="2056" t="s">
        <v>2490</v>
      </c>
      <c r="D489" s="1170" t="s">
        <v>195</v>
      </c>
      <c r="E489" s="1374" t="s">
        <v>74</v>
      </c>
      <c r="F489" s="1374" t="s">
        <v>1870</v>
      </c>
      <c r="G489" s="1178" t="s">
        <v>1828</v>
      </c>
      <c r="H489" s="1172"/>
      <c r="I489" s="1172"/>
      <c r="J489" s="1172"/>
      <c r="K489" s="1172"/>
      <c r="L489" s="1173">
        <v>-1299464</v>
      </c>
      <c r="M489" s="1172"/>
      <c r="N489" s="1172"/>
      <c r="O489" s="1172"/>
      <c r="P489" s="1174"/>
      <c r="Q489" s="1175"/>
      <c r="R489" s="1172"/>
      <c r="S489" s="1172"/>
      <c r="T489" s="1172"/>
      <c r="U489" s="1172"/>
      <c r="V489" s="1172"/>
      <c r="W489" s="1172"/>
      <c r="X489" s="1176"/>
    </row>
    <row r="490" spans="1:24" ht="34.5" customHeight="1" x14ac:dyDescent="0.2">
      <c r="A490" s="2089"/>
      <c r="B490" s="2055"/>
      <c r="C490" s="2057"/>
      <c r="D490" s="1170" t="s">
        <v>197</v>
      </c>
      <c r="E490" s="1374" t="s">
        <v>1288</v>
      </c>
      <c r="F490" s="1374" t="s">
        <v>535</v>
      </c>
      <c r="G490" s="1178" t="s">
        <v>1829</v>
      </c>
      <c r="H490" s="1172"/>
      <c r="I490" s="1172"/>
      <c r="J490" s="1172"/>
      <c r="K490" s="1172"/>
      <c r="L490" s="1173"/>
      <c r="M490" s="1172"/>
      <c r="N490" s="1172"/>
      <c r="O490" s="1172"/>
      <c r="P490" s="1174">
        <v>1299464</v>
      </c>
      <c r="Q490" s="1175"/>
      <c r="R490" s="1172"/>
      <c r="S490" s="1172"/>
      <c r="T490" s="1172"/>
      <c r="U490" s="1172"/>
      <c r="V490" s="1172"/>
      <c r="W490" s="1172"/>
      <c r="X490" s="1176"/>
    </row>
    <row r="491" spans="1:24" ht="33.75" customHeight="1" x14ac:dyDescent="0.2">
      <c r="A491" s="2088" t="s">
        <v>1637</v>
      </c>
      <c r="B491" s="2054" t="s">
        <v>2492</v>
      </c>
      <c r="C491" s="2056" t="s">
        <v>2493</v>
      </c>
      <c r="D491" s="1170" t="s">
        <v>195</v>
      </c>
      <c r="E491" s="1374" t="s">
        <v>74</v>
      </c>
      <c r="F491" s="1374" t="s">
        <v>1870</v>
      </c>
      <c r="G491" s="1178" t="s">
        <v>1828</v>
      </c>
      <c r="H491" s="1172"/>
      <c r="I491" s="1172"/>
      <c r="J491" s="1172"/>
      <c r="K491" s="1172"/>
      <c r="L491" s="1173">
        <v>-154635</v>
      </c>
      <c r="M491" s="1172"/>
      <c r="N491" s="1172"/>
      <c r="O491" s="1172"/>
      <c r="P491" s="1174"/>
      <c r="Q491" s="1175"/>
      <c r="R491" s="1172"/>
      <c r="S491" s="1172"/>
      <c r="T491" s="1172"/>
      <c r="U491" s="1172"/>
      <c r="V491" s="1172"/>
      <c r="W491" s="1172"/>
      <c r="X491" s="1176"/>
    </row>
    <row r="492" spans="1:24" ht="33.75" customHeight="1" x14ac:dyDescent="0.2">
      <c r="A492" s="2089"/>
      <c r="B492" s="2055"/>
      <c r="C492" s="2057"/>
      <c r="D492" s="1170" t="s">
        <v>197</v>
      </c>
      <c r="E492" s="1374" t="s">
        <v>1288</v>
      </c>
      <c r="F492" s="1374" t="s">
        <v>535</v>
      </c>
      <c r="G492" s="1178" t="s">
        <v>1829</v>
      </c>
      <c r="H492" s="1172"/>
      <c r="I492" s="1172"/>
      <c r="J492" s="1172"/>
      <c r="K492" s="1172"/>
      <c r="L492" s="1173"/>
      <c r="M492" s="1172"/>
      <c r="N492" s="1172"/>
      <c r="O492" s="1172"/>
      <c r="P492" s="1174">
        <v>154635</v>
      </c>
      <c r="Q492" s="1175"/>
      <c r="R492" s="1172"/>
      <c r="S492" s="1172"/>
      <c r="T492" s="1172"/>
      <c r="U492" s="1172"/>
      <c r="V492" s="1172"/>
      <c r="W492" s="1172"/>
      <c r="X492" s="1176"/>
    </row>
    <row r="493" spans="1:24" ht="34.5" customHeight="1" x14ac:dyDescent="0.2">
      <c r="A493" s="2088" t="s">
        <v>1638</v>
      </c>
      <c r="B493" s="2054" t="s">
        <v>2494</v>
      </c>
      <c r="C493" s="2056" t="s">
        <v>2495</v>
      </c>
      <c r="D493" s="1170" t="s">
        <v>195</v>
      </c>
      <c r="E493" s="1374" t="s">
        <v>74</v>
      </c>
      <c r="F493" s="1374" t="s">
        <v>1870</v>
      </c>
      <c r="G493" s="1178" t="s">
        <v>1828</v>
      </c>
      <c r="H493" s="1172"/>
      <c r="I493" s="1172"/>
      <c r="J493" s="1172"/>
      <c r="K493" s="1172"/>
      <c r="L493" s="1173">
        <v>-1375156</v>
      </c>
      <c r="M493" s="1172"/>
      <c r="N493" s="1172"/>
      <c r="O493" s="1172"/>
      <c r="P493" s="1174"/>
      <c r="Q493" s="1175"/>
      <c r="R493" s="1172"/>
      <c r="S493" s="1172"/>
      <c r="T493" s="1172"/>
      <c r="U493" s="1172"/>
      <c r="V493" s="1172"/>
      <c r="W493" s="1172"/>
      <c r="X493" s="1176"/>
    </row>
    <row r="494" spans="1:24" ht="34.5" customHeight="1" x14ac:dyDescent="0.2">
      <c r="A494" s="2089"/>
      <c r="B494" s="2055"/>
      <c r="C494" s="2057"/>
      <c r="D494" s="1170" t="s">
        <v>197</v>
      </c>
      <c r="E494" s="1374" t="s">
        <v>1288</v>
      </c>
      <c r="F494" s="1374" t="s">
        <v>535</v>
      </c>
      <c r="G494" s="1178" t="s">
        <v>1829</v>
      </c>
      <c r="H494" s="1172"/>
      <c r="I494" s="1172"/>
      <c r="J494" s="1172"/>
      <c r="K494" s="1172"/>
      <c r="L494" s="1173"/>
      <c r="M494" s="1172"/>
      <c r="N494" s="1172"/>
      <c r="O494" s="1172"/>
      <c r="P494" s="1174">
        <v>1375156</v>
      </c>
      <c r="Q494" s="1175"/>
      <c r="R494" s="1172"/>
      <c r="S494" s="1172"/>
      <c r="T494" s="1172"/>
      <c r="U494" s="1172"/>
      <c r="V494" s="1172"/>
      <c r="W494" s="1172"/>
      <c r="X494" s="1176"/>
    </row>
    <row r="495" spans="1:24" ht="29.25" customHeight="1" x14ac:dyDescent="0.2">
      <c r="A495" s="2088" t="s">
        <v>1639</v>
      </c>
      <c r="B495" s="2054" t="s">
        <v>2498</v>
      </c>
      <c r="C495" s="2056" t="s">
        <v>2499</v>
      </c>
      <c r="D495" s="1177" t="s">
        <v>195</v>
      </c>
      <c r="E495" s="1374" t="s">
        <v>74</v>
      </c>
      <c r="F495" s="1374" t="s">
        <v>1870</v>
      </c>
      <c r="G495" s="1178" t="s">
        <v>1828</v>
      </c>
      <c r="H495" s="1172"/>
      <c r="I495" s="1172"/>
      <c r="J495" s="1172"/>
      <c r="K495" s="1172"/>
      <c r="L495" s="1173">
        <v>-544050</v>
      </c>
      <c r="M495" s="1172"/>
      <c r="N495" s="1172"/>
      <c r="O495" s="1172"/>
      <c r="P495" s="1174"/>
      <c r="Q495" s="1175"/>
      <c r="R495" s="1172"/>
      <c r="S495" s="1172"/>
      <c r="T495" s="1172"/>
      <c r="U495" s="1172"/>
      <c r="V495" s="1172"/>
      <c r="W495" s="1172"/>
      <c r="X495" s="1176"/>
    </row>
    <row r="496" spans="1:24" ht="29.25" customHeight="1" x14ac:dyDescent="0.2">
      <c r="A496" s="2089"/>
      <c r="B496" s="2055"/>
      <c r="C496" s="2057"/>
      <c r="D496" s="1177" t="s">
        <v>197</v>
      </c>
      <c r="E496" s="1374" t="s">
        <v>1288</v>
      </c>
      <c r="F496" s="1374" t="s">
        <v>535</v>
      </c>
      <c r="G496" s="1178" t="s">
        <v>1829</v>
      </c>
      <c r="H496" s="1172"/>
      <c r="I496" s="1172"/>
      <c r="J496" s="1172"/>
      <c r="K496" s="1172"/>
      <c r="L496" s="1173"/>
      <c r="M496" s="1172"/>
      <c r="N496" s="1172"/>
      <c r="O496" s="1172"/>
      <c r="P496" s="1174">
        <v>544050</v>
      </c>
      <c r="Q496" s="1175"/>
      <c r="R496" s="1172"/>
      <c r="S496" s="1172"/>
      <c r="T496" s="1172"/>
      <c r="U496" s="1172"/>
      <c r="V496" s="1172"/>
      <c r="W496" s="1172"/>
      <c r="X496" s="1176"/>
    </row>
    <row r="497" spans="1:24" ht="30" customHeight="1" x14ac:dyDescent="0.2">
      <c r="A497" s="2088" t="s">
        <v>1640</v>
      </c>
      <c r="B497" s="2054" t="s">
        <v>2500</v>
      </c>
      <c r="C497" s="2056" t="s">
        <v>2501</v>
      </c>
      <c r="D497" s="1177" t="s">
        <v>195</v>
      </c>
      <c r="E497" s="1374" t="s">
        <v>74</v>
      </c>
      <c r="F497" s="1374" t="s">
        <v>1870</v>
      </c>
      <c r="G497" s="1178" t="s">
        <v>1828</v>
      </c>
      <c r="H497" s="1172"/>
      <c r="I497" s="1172"/>
      <c r="J497" s="1172"/>
      <c r="K497" s="1172"/>
      <c r="L497" s="1173">
        <v>-135000</v>
      </c>
      <c r="M497" s="1172"/>
      <c r="N497" s="1172"/>
      <c r="O497" s="1172"/>
      <c r="P497" s="1174"/>
      <c r="Q497" s="1175"/>
      <c r="R497" s="1172"/>
      <c r="S497" s="1172"/>
      <c r="T497" s="1172"/>
      <c r="U497" s="1172"/>
      <c r="V497" s="1172"/>
      <c r="W497" s="1172"/>
      <c r="X497" s="1176"/>
    </row>
    <row r="498" spans="1:24" ht="30" customHeight="1" x14ac:dyDescent="0.2">
      <c r="A498" s="2089"/>
      <c r="B498" s="2055"/>
      <c r="C498" s="2057"/>
      <c r="D498" s="1177" t="s">
        <v>197</v>
      </c>
      <c r="E498" s="1374" t="s">
        <v>1288</v>
      </c>
      <c r="F498" s="1374" t="s">
        <v>535</v>
      </c>
      <c r="G498" s="1178" t="s">
        <v>1829</v>
      </c>
      <c r="H498" s="1172"/>
      <c r="I498" s="1172"/>
      <c r="J498" s="1172"/>
      <c r="K498" s="1172"/>
      <c r="L498" s="1173"/>
      <c r="M498" s="1172"/>
      <c r="N498" s="1172"/>
      <c r="O498" s="1172"/>
      <c r="P498" s="1174">
        <v>135000</v>
      </c>
      <c r="Q498" s="1175"/>
      <c r="R498" s="1172"/>
      <c r="S498" s="1172"/>
      <c r="T498" s="1172"/>
      <c r="U498" s="1172"/>
      <c r="V498" s="1172"/>
      <c r="W498" s="1172"/>
      <c r="X498" s="1176"/>
    </row>
    <row r="499" spans="1:24" ht="27.75" customHeight="1" x14ac:dyDescent="0.2">
      <c r="A499" s="2088" t="s">
        <v>1641</v>
      </c>
      <c r="B499" s="2054" t="s">
        <v>2503</v>
      </c>
      <c r="C499" s="2056" t="s">
        <v>2504</v>
      </c>
      <c r="D499" s="1177" t="s">
        <v>195</v>
      </c>
      <c r="E499" s="1374" t="s">
        <v>74</v>
      </c>
      <c r="F499" s="1374" t="s">
        <v>1870</v>
      </c>
      <c r="G499" s="1178" t="s">
        <v>1828</v>
      </c>
      <c r="H499" s="1172"/>
      <c r="I499" s="1172"/>
      <c r="J499" s="1172"/>
      <c r="K499" s="1172"/>
      <c r="L499" s="1173">
        <v>-726503</v>
      </c>
      <c r="M499" s="1172"/>
      <c r="N499" s="1172"/>
      <c r="O499" s="1172"/>
      <c r="P499" s="1174"/>
      <c r="Q499" s="1175"/>
      <c r="R499" s="1172"/>
      <c r="S499" s="1172"/>
      <c r="T499" s="1172"/>
      <c r="U499" s="1172"/>
      <c r="V499" s="1172"/>
      <c r="W499" s="1172"/>
      <c r="X499" s="1176"/>
    </row>
    <row r="500" spans="1:24" ht="27.75" customHeight="1" x14ac:dyDescent="0.2">
      <c r="A500" s="2089"/>
      <c r="B500" s="2055"/>
      <c r="C500" s="2057"/>
      <c r="D500" s="1177" t="s">
        <v>188</v>
      </c>
      <c r="E500" s="1374" t="s">
        <v>1971</v>
      </c>
      <c r="F500" s="1374" t="s">
        <v>1970</v>
      </c>
      <c r="G500" s="1178" t="s">
        <v>1829</v>
      </c>
      <c r="H500" s="1172"/>
      <c r="I500" s="1172"/>
      <c r="J500" s="1172">
        <f>572050+154453</f>
        <v>726503</v>
      </c>
      <c r="K500" s="1172"/>
      <c r="L500" s="1173"/>
      <c r="M500" s="1172"/>
      <c r="N500" s="1172"/>
      <c r="O500" s="1172"/>
      <c r="P500" s="1174"/>
      <c r="Q500" s="1175"/>
      <c r="R500" s="1172"/>
      <c r="S500" s="1172"/>
      <c r="T500" s="1172"/>
      <c r="U500" s="1172"/>
      <c r="V500" s="1172"/>
      <c r="W500" s="1172"/>
      <c r="X500" s="1176"/>
    </row>
    <row r="501" spans="1:24" ht="45" customHeight="1" x14ac:dyDescent="0.2">
      <c r="A501" s="1545" t="s">
        <v>1642</v>
      </c>
      <c r="B501" s="1313" t="s">
        <v>2505</v>
      </c>
      <c r="C501" s="1492" t="s">
        <v>2506</v>
      </c>
      <c r="D501" s="1177" t="s">
        <v>188</v>
      </c>
      <c r="E501" s="1374" t="s">
        <v>1971</v>
      </c>
      <c r="F501" s="1374" t="s">
        <v>1970</v>
      </c>
      <c r="G501" s="1178" t="s">
        <v>1837</v>
      </c>
      <c r="H501" s="1172"/>
      <c r="I501" s="1172"/>
      <c r="J501" s="1172">
        <f>-2000000+1574803+425197</f>
        <v>0</v>
      </c>
      <c r="K501" s="1172"/>
      <c r="L501" s="1173"/>
      <c r="M501" s="1172"/>
      <c r="N501" s="1172"/>
      <c r="O501" s="1172"/>
      <c r="P501" s="1174"/>
      <c r="Q501" s="1175"/>
      <c r="R501" s="1172"/>
      <c r="S501" s="1172"/>
      <c r="T501" s="1172"/>
      <c r="U501" s="1172"/>
      <c r="V501" s="1172"/>
      <c r="W501" s="1172"/>
      <c r="X501" s="1176"/>
    </row>
    <row r="502" spans="1:24" ht="30" customHeight="1" x14ac:dyDescent="0.2">
      <c r="A502" s="2088" t="s">
        <v>1643</v>
      </c>
      <c r="B502" s="2054" t="s">
        <v>2507</v>
      </c>
      <c r="C502" s="2056" t="s">
        <v>2508</v>
      </c>
      <c r="D502" s="1177" t="s">
        <v>195</v>
      </c>
      <c r="E502" s="1374" t="s">
        <v>74</v>
      </c>
      <c r="F502" s="1374" t="s">
        <v>1870</v>
      </c>
      <c r="G502" s="1178" t="s">
        <v>1828</v>
      </c>
      <c r="H502" s="1172"/>
      <c r="I502" s="1172"/>
      <c r="J502" s="1172"/>
      <c r="K502" s="1172"/>
      <c r="L502" s="1173">
        <v>-123952000</v>
      </c>
      <c r="M502" s="1172"/>
      <c r="N502" s="1172"/>
      <c r="O502" s="1172"/>
      <c r="P502" s="1174"/>
      <c r="Q502" s="1175"/>
      <c r="R502" s="1172"/>
      <c r="S502" s="1172"/>
      <c r="T502" s="1172"/>
      <c r="U502" s="1172"/>
      <c r="V502" s="1172"/>
      <c r="W502" s="1172"/>
      <c r="X502" s="1176"/>
    </row>
    <row r="503" spans="1:24" ht="30" customHeight="1" x14ac:dyDescent="0.2">
      <c r="A503" s="2089"/>
      <c r="B503" s="2055"/>
      <c r="C503" s="2057"/>
      <c r="D503" s="1177" t="s">
        <v>193</v>
      </c>
      <c r="E503" s="1374" t="s">
        <v>583</v>
      </c>
      <c r="F503" s="1374" t="s">
        <v>128</v>
      </c>
      <c r="G503" s="1178" t="s">
        <v>1829</v>
      </c>
      <c r="H503" s="1172"/>
      <c r="I503" s="1172"/>
      <c r="J503" s="1172"/>
      <c r="K503" s="1172"/>
      <c r="L503" s="1173"/>
      <c r="M503" s="1172">
        <f>97600000+26352000</f>
        <v>123952000</v>
      </c>
      <c r="N503" s="1172"/>
      <c r="O503" s="1172"/>
      <c r="P503" s="1174"/>
      <c r="Q503" s="1175"/>
      <c r="R503" s="1172"/>
      <c r="S503" s="1172"/>
      <c r="T503" s="1172"/>
      <c r="U503" s="1172"/>
      <c r="V503" s="1172"/>
      <c r="W503" s="1172"/>
      <c r="X503" s="1176"/>
    </row>
    <row r="504" spans="1:24" ht="42" customHeight="1" x14ac:dyDescent="0.2">
      <c r="A504" s="2088" t="s">
        <v>1644</v>
      </c>
      <c r="B504" s="2054" t="s">
        <v>2509</v>
      </c>
      <c r="C504" s="2056" t="s">
        <v>2510</v>
      </c>
      <c r="D504" s="1177" t="s">
        <v>195</v>
      </c>
      <c r="E504" s="1374" t="s">
        <v>74</v>
      </c>
      <c r="F504" s="1374" t="s">
        <v>1870</v>
      </c>
      <c r="G504" s="1178" t="s">
        <v>1828</v>
      </c>
      <c r="H504" s="1172"/>
      <c r="I504" s="1172"/>
      <c r="J504" s="1172"/>
      <c r="K504" s="1172"/>
      <c r="L504" s="1173">
        <v>-4408500</v>
      </c>
      <c r="M504" s="1172"/>
      <c r="N504" s="1172"/>
      <c r="O504" s="1172"/>
      <c r="P504" s="1174"/>
      <c r="Q504" s="1175"/>
      <c r="R504" s="1172"/>
      <c r="S504" s="1172"/>
      <c r="T504" s="1172"/>
      <c r="U504" s="1172"/>
      <c r="V504" s="1172"/>
      <c r="W504" s="1172"/>
      <c r="X504" s="1176"/>
    </row>
    <row r="505" spans="1:24" ht="42" customHeight="1" x14ac:dyDescent="0.2">
      <c r="A505" s="2089"/>
      <c r="B505" s="2055"/>
      <c r="C505" s="2057"/>
      <c r="D505" s="1177" t="s">
        <v>193</v>
      </c>
      <c r="E505" s="1374" t="s">
        <v>130</v>
      </c>
      <c r="F505" s="1374" t="s">
        <v>91</v>
      </c>
      <c r="G505" s="1178" t="s">
        <v>1829</v>
      </c>
      <c r="H505" s="1172"/>
      <c r="I505" s="1172"/>
      <c r="J505" s="1172"/>
      <c r="K505" s="1172"/>
      <c r="L505" s="1173"/>
      <c r="M505" s="1172">
        <f>3471260+937240</f>
        <v>4408500</v>
      </c>
      <c r="N505" s="1172"/>
      <c r="O505" s="1172"/>
      <c r="P505" s="1174"/>
      <c r="Q505" s="1175"/>
      <c r="R505" s="1172"/>
      <c r="S505" s="1172"/>
      <c r="T505" s="1172"/>
      <c r="U505" s="1172"/>
      <c r="V505" s="1172"/>
      <c r="W505" s="1172"/>
      <c r="X505" s="1176"/>
    </row>
    <row r="506" spans="1:24" ht="63.75" customHeight="1" x14ac:dyDescent="0.2">
      <c r="A506" s="1545" t="s">
        <v>1645</v>
      </c>
      <c r="B506" s="1313" t="s">
        <v>2511</v>
      </c>
      <c r="C506" s="1492" t="s">
        <v>2512</v>
      </c>
      <c r="D506" s="1177" t="s">
        <v>193</v>
      </c>
      <c r="E506" s="1374" t="s">
        <v>130</v>
      </c>
      <c r="F506" s="1374" t="s">
        <v>91</v>
      </c>
      <c r="G506" s="1178" t="s">
        <v>1837</v>
      </c>
      <c r="H506" s="1172"/>
      <c r="I506" s="1172"/>
      <c r="J506" s="1172"/>
      <c r="K506" s="1172"/>
      <c r="L506" s="1173"/>
      <c r="M506" s="1172">
        <f>-1778740-480260+1778740+480260</f>
        <v>0</v>
      </c>
      <c r="N506" s="1172"/>
      <c r="O506" s="1172"/>
      <c r="P506" s="1174"/>
      <c r="Q506" s="1175"/>
      <c r="R506" s="1172"/>
      <c r="S506" s="1172"/>
      <c r="T506" s="1172"/>
      <c r="U506" s="1172"/>
      <c r="V506" s="1172"/>
      <c r="W506" s="1172"/>
      <c r="X506" s="1176"/>
    </row>
    <row r="507" spans="1:24" ht="26.25" customHeight="1" x14ac:dyDescent="0.2">
      <c r="A507" s="2088" t="s">
        <v>1646</v>
      </c>
      <c r="B507" s="2054" t="s">
        <v>2513</v>
      </c>
      <c r="C507" s="2056" t="s">
        <v>2514</v>
      </c>
      <c r="D507" s="1177" t="s">
        <v>188</v>
      </c>
      <c r="E507" s="1374" t="s">
        <v>1980</v>
      </c>
      <c r="F507" s="1374" t="s">
        <v>2515</v>
      </c>
      <c r="G507" s="1178" t="s">
        <v>1828</v>
      </c>
      <c r="H507" s="1172"/>
      <c r="I507" s="1172"/>
      <c r="J507" s="1172">
        <f>-3937008-1062992</f>
        <v>-5000000</v>
      </c>
      <c r="K507" s="1172"/>
      <c r="L507" s="1173"/>
      <c r="M507" s="1172"/>
      <c r="N507" s="1172"/>
      <c r="O507" s="1172"/>
      <c r="P507" s="1174"/>
      <c r="Q507" s="1175"/>
      <c r="R507" s="1172"/>
      <c r="S507" s="1172"/>
      <c r="T507" s="1172"/>
      <c r="U507" s="1172"/>
      <c r="V507" s="1172"/>
      <c r="W507" s="1172"/>
      <c r="X507" s="1176"/>
    </row>
    <row r="508" spans="1:24" ht="26.25" customHeight="1" x14ac:dyDescent="0.2">
      <c r="A508" s="2089"/>
      <c r="B508" s="2055"/>
      <c r="C508" s="2057"/>
      <c r="D508" s="1177" t="s">
        <v>188</v>
      </c>
      <c r="E508" s="1374" t="s">
        <v>1980</v>
      </c>
      <c r="F508" s="1374" t="s">
        <v>1979</v>
      </c>
      <c r="G508" s="1178" t="s">
        <v>1829</v>
      </c>
      <c r="H508" s="1172"/>
      <c r="I508" s="1172"/>
      <c r="J508" s="1172">
        <f>3937008+1062992</f>
        <v>5000000</v>
      </c>
      <c r="K508" s="1172"/>
      <c r="L508" s="1173"/>
      <c r="M508" s="1172"/>
      <c r="N508" s="1172"/>
      <c r="O508" s="1172"/>
      <c r="P508" s="1174"/>
      <c r="Q508" s="1175"/>
      <c r="R508" s="1172"/>
      <c r="S508" s="1172"/>
      <c r="T508" s="1172"/>
      <c r="U508" s="1172"/>
      <c r="V508" s="1172"/>
      <c r="W508" s="1172"/>
      <c r="X508" s="1176"/>
    </row>
    <row r="509" spans="1:24" ht="24.75" customHeight="1" x14ac:dyDescent="0.2">
      <c r="A509" s="2088" t="s">
        <v>1647</v>
      </c>
      <c r="B509" s="2054" t="s">
        <v>2516</v>
      </c>
      <c r="C509" s="2056" t="s">
        <v>2517</v>
      </c>
      <c r="D509" s="1177" t="s">
        <v>188</v>
      </c>
      <c r="E509" s="1374" t="s">
        <v>2271</v>
      </c>
      <c r="F509" s="1374" t="s">
        <v>2269</v>
      </c>
      <c r="G509" s="1178" t="s">
        <v>1828</v>
      </c>
      <c r="H509" s="1172"/>
      <c r="I509" s="1172"/>
      <c r="J509" s="1172">
        <f>-3937008-1062992</f>
        <v>-5000000</v>
      </c>
      <c r="K509" s="1172"/>
      <c r="L509" s="1173"/>
      <c r="M509" s="1172"/>
      <c r="N509" s="1172"/>
      <c r="O509" s="1172"/>
      <c r="P509" s="1174"/>
      <c r="Q509" s="1175"/>
      <c r="R509" s="1172"/>
      <c r="S509" s="1172"/>
      <c r="T509" s="1172"/>
      <c r="U509" s="1172"/>
      <c r="V509" s="1172"/>
      <c r="W509" s="1172"/>
      <c r="X509" s="1176"/>
    </row>
    <row r="510" spans="1:24" ht="24.75" customHeight="1" x14ac:dyDescent="0.2">
      <c r="A510" s="2089"/>
      <c r="B510" s="2055"/>
      <c r="C510" s="2057"/>
      <c r="D510" s="1177" t="s">
        <v>188</v>
      </c>
      <c r="E510" s="1374" t="s">
        <v>1980</v>
      </c>
      <c r="F510" s="1374" t="s">
        <v>1979</v>
      </c>
      <c r="G510" s="1178" t="s">
        <v>1829</v>
      </c>
      <c r="H510" s="1172"/>
      <c r="I510" s="1172"/>
      <c r="J510" s="1172">
        <f>3937008+1062992</f>
        <v>5000000</v>
      </c>
      <c r="K510" s="1172"/>
      <c r="L510" s="1173"/>
      <c r="M510" s="1172"/>
      <c r="N510" s="1172"/>
      <c r="O510" s="1172"/>
      <c r="P510" s="1174"/>
      <c r="Q510" s="1175"/>
      <c r="R510" s="1172"/>
      <c r="S510" s="1172"/>
      <c r="T510" s="1172"/>
      <c r="U510" s="1172"/>
      <c r="V510" s="1172"/>
      <c r="W510" s="1172"/>
      <c r="X510" s="1176"/>
    </row>
    <row r="511" spans="1:24" ht="48" customHeight="1" x14ac:dyDescent="0.2">
      <c r="A511" s="2088" t="s">
        <v>1648</v>
      </c>
      <c r="B511" s="2054" t="s">
        <v>2518</v>
      </c>
      <c r="C511" s="2056" t="s">
        <v>2519</v>
      </c>
      <c r="D511" s="1177" t="s">
        <v>195</v>
      </c>
      <c r="E511" s="1374" t="s">
        <v>74</v>
      </c>
      <c r="F511" s="1374" t="s">
        <v>1870</v>
      </c>
      <c r="G511" s="1178" t="s">
        <v>1828</v>
      </c>
      <c r="H511" s="1172"/>
      <c r="I511" s="1172"/>
      <c r="J511" s="1172"/>
      <c r="K511" s="1172"/>
      <c r="L511" s="1173">
        <v>-100000</v>
      </c>
      <c r="M511" s="1172"/>
      <c r="N511" s="1172"/>
      <c r="O511" s="1172"/>
      <c r="P511" s="1174"/>
      <c r="Q511" s="1175"/>
      <c r="R511" s="1172"/>
      <c r="S511" s="1172"/>
      <c r="T511" s="1172"/>
      <c r="U511" s="1172"/>
      <c r="V511" s="1172"/>
      <c r="W511" s="1172"/>
      <c r="X511" s="1176"/>
    </row>
    <row r="512" spans="1:24" ht="48" customHeight="1" x14ac:dyDescent="0.2">
      <c r="A512" s="2089"/>
      <c r="B512" s="2055"/>
      <c r="C512" s="2057"/>
      <c r="D512" s="1177" t="s">
        <v>192</v>
      </c>
      <c r="E512" s="1374" t="s">
        <v>71</v>
      </c>
      <c r="F512" s="1374" t="s">
        <v>1875</v>
      </c>
      <c r="G512" s="1178" t="s">
        <v>1829</v>
      </c>
      <c r="H512" s="1172"/>
      <c r="I512" s="1172"/>
      <c r="J512" s="1172"/>
      <c r="K512" s="1172"/>
      <c r="L512" s="1173">
        <v>100000</v>
      </c>
      <c r="M512" s="1172"/>
      <c r="N512" s="1172"/>
      <c r="O512" s="1172"/>
      <c r="P512" s="1174"/>
      <c r="Q512" s="1175"/>
      <c r="R512" s="1172"/>
      <c r="S512" s="1172"/>
      <c r="T512" s="1172"/>
      <c r="U512" s="1172"/>
      <c r="V512" s="1172"/>
      <c r="W512" s="1172"/>
      <c r="X512" s="1176"/>
    </row>
    <row r="513" spans="1:24" ht="31.5" customHeight="1" x14ac:dyDescent="0.2">
      <c r="A513" s="2088" t="s">
        <v>1649</v>
      </c>
      <c r="B513" s="2054" t="s">
        <v>2521</v>
      </c>
      <c r="C513" s="2056" t="s">
        <v>2522</v>
      </c>
      <c r="D513" s="1177" t="s">
        <v>195</v>
      </c>
      <c r="E513" s="1374" t="s">
        <v>74</v>
      </c>
      <c r="F513" s="1374" t="s">
        <v>1870</v>
      </c>
      <c r="G513" s="1178" t="s">
        <v>1828</v>
      </c>
      <c r="H513" s="1172"/>
      <c r="I513" s="1172"/>
      <c r="J513" s="1172"/>
      <c r="K513" s="1172"/>
      <c r="L513" s="1173">
        <v>-1141561</v>
      </c>
      <c r="M513" s="1172"/>
      <c r="N513" s="1172"/>
      <c r="O513" s="1172"/>
      <c r="P513" s="1174"/>
      <c r="Q513" s="1175"/>
      <c r="R513" s="1172"/>
      <c r="S513" s="1172"/>
      <c r="T513" s="1172"/>
      <c r="U513" s="1172"/>
      <c r="V513" s="1172"/>
      <c r="W513" s="1172"/>
      <c r="X513" s="1176"/>
    </row>
    <row r="514" spans="1:24" ht="31.5" customHeight="1" x14ac:dyDescent="0.2">
      <c r="A514" s="2089"/>
      <c r="B514" s="2055"/>
      <c r="C514" s="2057"/>
      <c r="D514" s="1177" t="s">
        <v>193</v>
      </c>
      <c r="E514" s="1374" t="s">
        <v>167</v>
      </c>
      <c r="F514" s="1374" t="s">
        <v>1249</v>
      </c>
      <c r="G514" s="1178" t="s">
        <v>1829</v>
      </c>
      <c r="H514" s="1172"/>
      <c r="I514" s="1172"/>
      <c r="J514" s="1172"/>
      <c r="K514" s="1172"/>
      <c r="L514" s="1173"/>
      <c r="M514" s="1172">
        <f>898867+242694</f>
        <v>1141561</v>
      </c>
      <c r="N514" s="1172"/>
      <c r="O514" s="1172"/>
      <c r="P514" s="1174"/>
      <c r="Q514" s="1175"/>
      <c r="R514" s="1172"/>
      <c r="S514" s="1172"/>
      <c r="T514" s="1172"/>
      <c r="U514" s="1172"/>
      <c r="V514" s="1172"/>
      <c r="W514" s="1172"/>
      <c r="X514" s="1176"/>
    </row>
    <row r="515" spans="1:24" ht="31.5" customHeight="1" x14ac:dyDescent="0.2">
      <c r="A515" s="1545" t="s">
        <v>1650</v>
      </c>
      <c r="B515" s="1493" t="s">
        <v>2524</v>
      </c>
      <c r="C515" s="1492" t="s">
        <v>2525</v>
      </c>
      <c r="D515" s="1177" t="s">
        <v>188</v>
      </c>
      <c r="E515" s="1374" t="s">
        <v>1375</v>
      </c>
      <c r="F515" s="1374" t="s">
        <v>1878</v>
      </c>
      <c r="G515" s="1178" t="s">
        <v>1829</v>
      </c>
      <c r="H515" s="1172"/>
      <c r="I515" s="1172"/>
      <c r="J515" s="1172"/>
      <c r="K515" s="1172"/>
      <c r="L515" s="1173"/>
      <c r="M515" s="1172"/>
      <c r="N515" s="1172"/>
      <c r="O515" s="1172"/>
      <c r="P515" s="1174">
        <v>27068109</v>
      </c>
      <c r="Q515" s="1175"/>
      <c r="R515" s="1172"/>
      <c r="S515" s="1172"/>
      <c r="T515" s="1172"/>
      <c r="U515" s="1172"/>
      <c r="V515" s="1172"/>
      <c r="W515" s="1172"/>
      <c r="X515" s="1176">
        <v>27068109</v>
      </c>
    </row>
    <row r="516" spans="1:24" ht="18" customHeight="1" x14ac:dyDescent="0.2">
      <c r="A516" s="2088" t="s">
        <v>1651</v>
      </c>
      <c r="B516" s="2054" t="s">
        <v>2527</v>
      </c>
      <c r="C516" s="2056" t="s">
        <v>2526</v>
      </c>
      <c r="D516" s="1177" t="s">
        <v>188</v>
      </c>
      <c r="E516" s="1374" t="s">
        <v>1861</v>
      </c>
      <c r="F516" s="1374" t="s">
        <v>1859</v>
      </c>
      <c r="G516" s="1178" t="s">
        <v>1828</v>
      </c>
      <c r="H516" s="1172">
        <v>-654000</v>
      </c>
      <c r="I516" s="1172">
        <v>-470739</v>
      </c>
      <c r="J516" s="1172"/>
      <c r="K516" s="1172"/>
      <c r="L516" s="1173"/>
      <c r="M516" s="1172"/>
      <c r="N516" s="1172"/>
      <c r="O516" s="1172"/>
      <c r="P516" s="1174"/>
      <c r="Q516" s="1175"/>
      <c r="R516" s="1172"/>
      <c r="S516" s="1172"/>
      <c r="T516" s="1172"/>
      <c r="U516" s="1172"/>
      <c r="V516" s="1172"/>
      <c r="W516" s="1172"/>
      <c r="X516" s="1176"/>
    </row>
    <row r="517" spans="1:24" ht="18" customHeight="1" x14ac:dyDescent="0.2">
      <c r="A517" s="2090"/>
      <c r="B517" s="2060"/>
      <c r="C517" s="2065"/>
      <c r="D517" s="1177" t="s">
        <v>188</v>
      </c>
      <c r="E517" s="1374" t="s">
        <v>74</v>
      </c>
      <c r="F517" s="1374" t="s">
        <v>538</v>
      </c>
      <c r="G517" s="1178" t="s">
        <v>1837</v>
      </c>
      <c r="H517" s="1172">
        <f>-100000+100000</f>
        <v>0</v>
      </c>
      <c r="I517" s="1172"/>
      <c r="J517" s="1172"/>
      <c r="K517" s="1172"/>
      <c r="L517" s="1173"/>
      <c r="M517" s="1172"/>
      <c r="N517" s="1172"/>
      <c r="O517" s="1172"/>
      <c r="P517" s="1174"/>
      <c r="Q517" s="1175"/>
      <c r="R517" s="1172"/>
      <c r="S517" s="1172"/>
      <c r="T517" s="1172"/>
      <c r="U517" s="1172"/>
      <c r="V517" s="1172"/>
      <c r="W517" s="1172"/>
      <c r="X517" s="1176"/>
    </row>
    <row r="518" spans="1:24" ht="18" customHeight="1" x14ac:dyDescent="0.2">
      <c r="A518" s="2090"/>
      <c r="B518" s="2060"/>
      <c r="C518" s="2065"/>
      <c r="D518" s="1177" t="s">
        <v>188</v>
      </c>
      <c r="E518" s="1374" t="s">
        <v>590</v>
      </c>
      <c r="F518" s="1374" t="s">
        <v>442</v>
      </c>
      <c r="G518" s="1178" t="s">
        <v>1837</v>
      </c>
      <c r="H518" s="1172">
        <f>-90000+90000</f>
        <v>0</v>
      </c>
      <c r="I518" s="1172"/>
      <c r="J518" s="1172"/>
      <c r="K518" s="1172"/>
      <c r="L518" s="1173"/>
      <c r="M518" s="1172"/>
      <c r="N518" s="1172"/>
      <c r="O518" s="1172"/>
      <c r="P518" s="1174"/>
      <c r="Q518" s="1175"/>
      <c r="R518" s="1172"/>
      <c r="S518" s="1172"/>
      <c r="T518" s="1172"/>
      <c r="U518" s="1172"/>
      <c r="V518" s="1172"/>
      <c r="W518" s="1172"/>
      <c r="X518" s="1176"/>
    </row>
    <row r="519" spans="1:24" ht="18" customHeight="1" x14ac:dyDescent="0.2">
      <c r="A519" s="2090"/>
      <c r="B519" s="2060"/>
      <c r="C519" s="2065"/>
      <c r="D519" s="1177" t="s">
        <v>188</v>
      </c>
      <c r="E519" s="1374" t="s">
        <v>131</v>
      </c>
      <c r="F519" s="1374" t="s">
        <v>444</v>
      </c>
      <c r="G519" s="1178" t="s">
        <v>1837</v>
      </c>
      <c r="H519" s="1172">
        <f>-509195+500000+9195</f>
        <v>0</v>
      </c>
      <c r="I519" s="1172"/>
      <c r="J519" s="1172"/>
      <c r="K519" s="1172"/>
      <c r="L519" s="1173"/>
      <c r="M519" s="1172"/>
      <c r="N519" s="1172"/>
      <c r="O519" s="1172"/>
      <c r="P519" s="1174"/>
      <c r="Q519" s="1175"/>
      <c r="R519" s="1172"/>
      <c r="S519" s="1172"/>
      <c r="T519" s="1172"/>
      <c r="U519" s="1172"/>
      <c r="V519" s="1172"/>
      <c r="W519" s="1172"/>
      <c r="X519" s="1176"/>
    </row>
    <row r="520" spans="1:24" ht="18" customHeight="1" x14ac:dyDescent="0.2">
      <c r="A520" s="2090"/>
      <c r="B520" s="2060"/>
      <c r="C520" s="2065"/>
      <c r="D520" s="1177" t="s">
        <v>188</v>
      </c>
      <c r="E520" s="1374" t="s">
        <v>542</v>
      </c>
      <c r="F520" s="1374" t="s">
        <v>447</v>
      </c>
      <c r="G520" s="1178" t="s">
        <v>2528</v>
      </c>
      <c r="H520" s="1172">
        <f>-27000+27000</f>
        <v>0</v>
      </c>
      <c r="I520" s="1172"/>
      <c r="J520" s="1172"/>
      <c r="K520" s="1172"/>
      <c r="L520" s="1173"/>
      <c r="M520" s="1172"/>
      <c r="N520" s="1172"/>
      <c r="O520" s="1172"/>
      <c r="P520" s="1174"/>
      <c r="Q520" s="1175"/>
      <c r="R520" s="1172"/>
      <c r="S520" s="1172"/>
      <c r="T520" s="1172"/>
      <c r="U520" s="1172"/>
      <c r="V520" s="1172"/>
      <c r="W520" s="1172"/>
      <c r="X520" s="1176"/>
    </row>
    <row r="521" spans="1:24" ht="18" customHeight="1" x14ac:dyDescent="0.2">
      <c r="A521" s="2090"/>
      <c r="B521" s="2060"/>
      <c r="C521" s="2065"/>
      <c r="D521" s="1177" t="s">
        <v>188</v>
      </c>
      <c r="E521" s="1374" t="s">
        <v>542</v>
      </c>
      <c r="F521" s="1374" t="s">
        <v>449</v>
      </c>
      <c r="G521" s="1178" t="s">
        <v>1837</v>
      </c>
      <c r="H521" s="1172">
        <f>-58000+18000+40000</f>
        <v>0</v>
      </c>
      <c r="I521" s="1172"/>
      <c r="J521" s="1172"/>
      <c r="K521" s="1172"/>
      <c r="L521" s="1173"/>
      <c r="M521" s="1172"/>
      <c r="N521" s="1172"/>
      <c r="O521" s="1172"/>
      <c r="P521" s="1174"/>
      <c r="Q521" s="1175"/>
      <c r="R521" s="1172"/>
      <c r="S521" s="1172"/>
      <c r="T521" s="1172"/>
      <c r="U521" s="1172"/>
      <c r="V521" s="1172"/>
      <c r="W521" s="1172"/>
      <c r="X521" s="1176"/>
    </row>
    <row r="522" spans="1:24" ht="18" customHeight="1" x14ac:dyDescent="0.2">
      <c r="A522" s="2090"/>
      <c r="B522" s="2060"/>
      <c r="C522" s="2065"/>
      <c r="D522" s="1177" t="s">
        <v>188</v>
      </c>
      <c r="E522" s="1374" t="s">
        <v>1868</v>
      </c>
      <c r="F522" s="1374" t="s">
        <v>1867</v>
      </c>
      <c r="G522" s="1178" t="s">
        <v>1829</v>
      </c>
      <c r="H522" s="1172">
        <v>30000</v>
      </c>
      <c r="I522" s="1172">
        <v>353568</v>
      </c>
      <c r="J522" s="1172"/>
      <c r="K522" s="1172"/>
      <c r="L522" s="1173"/>
      <c r="M522" s="1172"/>
      <c r="N522" s="1172"/>
      <c r="O522" s="1172"/>
      <c r="P522" s="1174"/>
      <c r="Q522" s="1175"/>
      <c r="R522" s="1172"/>
      <c r="S522" s="1172"/>
      <c r="T522" s="1172"/>
      <c r="U522" s="1172"/>
      <c r="V522" s="1172"/>
      <c r="W522" s="1172"/>
      <c r="X522" s="1176"/>
    </row>
    <row r="523" spans="1:24" ht="18" customHeight="1" x14ac:dyDescent="0.2">
      <c r="A523" s="2090"/>
      <c r="B523" s="2060"/>
      <c r="C523" s="2065"/>
      <c r="D523" s="1177" t="s">
        <v>188</v>
      </c>
      <c r="E523" s="1374" t="s">
        <v>2137</v>
      </c>
      <c r="F523" s="1374" t="s">
        <v>2136</v>
      </c>
      <c r="G523" s="1178" t="s">
        <v>1829</v>
      </c>
      <c r="H523" s="1172"/>
      <c r="I523" s="1172">
        <v>35171</v>
      </c>
      <c r="J523" s="1172"/>
      <c r="K523" s="1172"/>
      <c r="L523" s="1173"/>
      <c r="M523" s="1172"/>
      <c r="N523" s="1172"/>
      <c r="O523" s="1172"/>
      <c r="P523" s="1174"/>
      <c r="Q523" s="1175"/>
      <c r="R523" s="1172"/>
      <c r="S523" s="1172"/>
      <c r="T523" s="1172"/>
      <c r="U523" s="1172"/>
      <c r="V523" s="1172"/>
      <c r="W523" s="1172"/>
      <c r="X523" s="1176"/>
    </row>
    <row r="524" spans="1:24" ht="18" customHeight="1" x14ac:dyDescent="0.2">
      <c r="A524" s="2090"/>
      <c r="B524" s="2060"/>
      <c r="C524" s="2065"/>
      <c r="D524" s="1177" t="s">
        <v>188</v>
      </c>
      <c r="E524" s="1374" t="s">
        <v>64</v>
      </c>
      <c r="F524" s="1374" t="s">
        <v>526</v>
      </c>
      <c r="G524" s="1178" t="s">
        <v>1837</v>
      </c>
      <c r="H524" s="1172">
        <f>-186209+186209</f>
        <v>0</v>
      </c>
      <c r="I524" s="1172"/>
      <c r="J524" s="1172"/>
      <c r="K524" s="1172"/>
      <c r="L524" s="1173"/>
      <c r="M524" s="1172"/>
      <c r="N524" s="1172"/>
      <c r="O524" s="1172"/>
      <c r="P524" s="1174"/>
      <c r="Q524" s="1175"/>
      <c r="R524" s="1172"/>
      <c r="S524" s="1172"/>
      <c r="T524" s="1172"/>
      <c r="U524" s="1172"/>
      <c r="V524" s="1172"/>
      <c r="W524" s="1172"/>
      <c r="X524" s="1176"/>
    </row>
    <row r="525" spans="1:24" ht="18" customHeight="1" x14ac:dyDescent="0.2">
      <c r="A525" s="2089"/>
      <c r="B525" s="2055"/>
      <c r="C525" s="2057"/>
      <c r="D525" s="1177" t="s">
        <v>188</v>
      </c>
      <c r="E525" s="1374" t="s">
        <v>599</v>
      </c>
      <c r="F525" s="1374" t="s">
        <v>2346</v>
      </c>
      <c r="G525" s="1178" t="s">
        <v>1829</v>
      </c>
      <c r="H525" s="1172">
        <v>624000</v>
      </c>
      <c r="I525" s="1172">
        <v>82000</v>
      </c>
      <c r="J525" s="1172"/>
      <c r="K525" s="1172"/>
      <c r="L525" s="1173"/>
      <c r="M525" s="1172"/>
      <c r="N525" s="1172"/>
      <c r="O525" s="1172"/>
      <c r="P525" s="1174"/>
      <c r="Q525" s="1175"/>
      <c r="R525" s="1172"/>
      <c r="S525" s="1172"/>
      <c r="T525" s="1172"/>
      <c r="U525" s="1172"/>
      <c r="V525" s="1172"/>
      <c r="W525" s="1172"/>
      <c r="X525" s="1176"/>
    </row>
    <row r="526" spans="1:24" ht="21" customHeight="1" x14ac:dyDescent="0.2">
      <c r="A526" s="2088" t="s">
        <v>1652</v>
      </c>
      <c r="B526" s="2054" t="s">
        <v>2529</v>
      </c>
      <c r="C526" s="2056" t="s">
        <v>2530</v>
      </c>
      <c r="D526" s="1177" t="s">
        <v>188</v>
      </c>
      <c r="E526" s="1374" t="s">
        <v>2270</v>
      </c>
      <c r="F526" s="1374" t="s">
        <v>2268</v>
      </c>
      <c r="G526" s="1178" t="s">
        <v>1828</v>
      </c>
      <c r="H526" s="1172"/>
      <c r="I526" s="1172"/>
      <c r="J526" s="1172">
        <f>-393711-106302</f>
        <v>-500013</v>
      </c>
      <c r="K526" s="1172"/>
      <c r="L526" s="1173"/>
      <c r="M526" s="1172"/>
      <c r="N526" s="1172"/>
      <c r="O526" s="1172"/>
      <c r="P526" s="1174"/>
      <c r="Q526" s="1175"/>
      <c r="R526" s="1172"/>
      <c r="S526" s="1172"/>
      <c r="T526" s="1172"/>
      <c r="U526" s="1172"/>
      <c r="V526" s="1172"/>
      <c r="W526" s="1172"/>
      <c r="X526" s="1176"/>
    </row>
    <row r="527" spans="1:24" ht="21" customHeight="1" x14ac:dyDescent="0.2">
      <c r="A527" s="2089"/>
      <c r="B527" s="2055"/>
      <c r="C527" s="2057"/>
      <c r="D527" s="1177" t="s">
        <v>188</v>
      </c>
      <c r="E527" s="1374" t="s">
        <v>2102</v>
      </c>
      <c r="F527" s="1374" t="s">
        <v>2101</v>
      </c>
      <c r="G527" s="1178" t="s">
        <v>1829</v>
      </c>
      <c r="H527" s="1172"/>
      <c r="I527" s="1172"/>
      <c r="J527" s="1172">
        <f>393711+106302</f>
        <v>500013</v>
      </c>
      <c r="K527" s="1172"/>
      <c r="L527" s="1173"/>
      <c r="M527" s="1172"/>
      <c r="N527" s="1172"/>
      <c r="O527" s="1172"/>
      <c r="P527" s="1174"/>
      <c r="Q527" s="1175"/>
      <c r="R527" s="1172"/>
      <c r="S527" s="1172"/>
      <c r="T527" s="1172"/>
      <c r="U527" s="1172"/>
      <c r="V527" s="1172"/>
      <c r="W527" s="1172"/>
      <c r="X527" s="1176"/>
    </row>
    <row r="528" spans="1:24" ht="22.5" customHeight="1" x14ac:dyDescent="0.2">
      <c r="A528" s="2088" t="s">
        <v>1653</v>
      </c>
      <c r="B528" s="2054" t="s">
        <v>2531</v>
      </c>
      <c r="C528" s="2056" t="s">
        <v>2532</v>
      </c>
      <c r="D528" s="1177" t="s">
        <v>188</v>
      </c>
      <c r="E528" s="1374" t="s">
        <v>1980</v>
      </c>
      <c r="F528" s="1374" t="s">
        <v>2515</v>
      </c>
      <c r="G528" s="1178" t="s">
        <v>1828</v>
      </c>
      <c r="H528" s="1172"/>
      <c r="I528" s="1172"/>
      <c r="J528" s="1172">
        <v>-600000</v>
      </c>
      <c r="K528" s="1172"/>
      <c r="L528" s="1173"/>
      <c r="M528" s="1172"/>
      <c r="N528" s="1172"/>
      <c r="O528" s="1172"/>
      <c r="P528" s="1174"/>
      <c r="Q528" s="1175"/>
      <c r="R528" s="1172"/>
      <c r="S528" s="1172"/>
      <c r="T528" s="1172"/>
      <c r="U528" s="1172"/>
      <c r="V528" s="1172"/>
      <c r="W528" s="1172"/>
      <c r="X528" s="1176"/>
    </row>
    <row r="529" spans="1:24" ht="22.5" customHeight="1" x14ac:dyDescent="0.2">
      <c r="A529" s="2089"/>
      <c r="B529" s="2055"/>
      <c r="C529" s="2057"/>
      <c r="D529" s="1177" t="s">
        <v>188</v>
      </c>
      <c r="E529" s="1374" t="s">
        <v>2129</v>
      </c>
      <c r="F529" s="1374" t="s">
        <v>2128</v>
      </c>
      <c r="G529" s="1178" t="s">
        <v>1829</v>
      </c>
      <c r="H529" s="1172"/>
      <c r="I529" s="1172"/>
      <c r="J529" s="1172">
        <v>600000</v>
      </c>
      <c r="K529" s="1172"/>
      <c r="L529" s="1173"/>
      <c r="M529" s="1172"/>
      <c r="N529" s="1172"/>
      <c r="O529" s="1172"/>
      <c r="P529" s="1174"/>
      <c r="Q529" s="1175"/>
      <c r="R529" s="1172"/>
      <c r="S529" s="1172"/>
      <c r="T529" s="1172"/>
      <c r="U529" s="1172"/>
      <c r="V529" s="1172"/>
      <c r="W529" s="1172"/>
      <c r="X529" s="1176"/>
    </row>
    <row r="530" spans="1:24" ht="32.25" customHeight="1" x14ac:dyDescent="0.2">
      <c r="A530" s="2088" t="s">
        <v>1654</v>
      </c>
      <c r="B530" s="2054" t="s">
        <v>2533</v>
      </c>
      <c r="C530" s="2056" t="s">
        <v>2534</v>
      </c>
      <c r="D530" s="1177" t="s">
        <v>195</v>
      </c>
      <c r="E530" s="1374" t="s">
        <v>74</v>
      </c>
      <c r="F530" s="1374" t="s">
        <v>1870</v>
      </c>
      <c r="G530" s="1178" t="s">
        <v>1828</v>
      </c>
      <c r="H530" s="1172"/>
      <c r="I530" s="1172"/>
      <c r="J530" s="1172"/>
      <c r="K530" s="1172"/>
      <c r="L530" s="1173">
        <v>-165630</v>
      </c>
      <c r="M530" s="1172"/>
      <c r="N530" s="1172"/>
      <c r="O530" s="1172"/>
      <c r="P530" s="1174"/>
      <c r="Q530" s="1175"/>
      <c r="R530" s="1172"/>
      <c r="S530" s="1172"/>
      <c r="T530" s="1172"/>
      <c r="U530" s="1172"/>
      <c r="V530" s="1172"/>
      <c r="W530" s="1172"/>
      <c r="X530" s="1176"/>
    </row>
    <row r="531" spans="1:24" ht="32.25" customHeight="1" x14ac:dyDescent="0.2">
      <c r="A531" s="2089"/>
      <c r="B531" s="2055"/>
      <c r="C531" s="2057"/>
      <c r="D531" s="1177" t="s">
        <v>197</v>
      </c>
      <c r="E531" s="1374" t="s">
        <v>1288</v>
      </c>
      <c r="F531" s="1374" t="s">
        <v>535</v>
      </c>
      <c r="G531" s="1178" t="s">
        <v>1829</v>
      </c>
      <c r="H531" s="1172"/>
      <c r="I531" s="1172"/>
      <c r="J531" s="1172"/>
      <c r="K531" s="1172"/>
      <c r="L531" s="1173"/>
      <c r="M531" s="1172"/>
      <c r="N531" s="1172"/>
      <c r="O531" s="1172"/>
      <c r="P531" s="1174">
        <v>165630</v>
      </c>
      <c r="Q531" s="1175"/>
      <c r="R531" s="1172"/>
      <c r="S531" s="1172"/>
      <c r="T531" s="1172"/>
      <c r="U531" s="1172"/>
      <c r="V531" s="1172"/>
      <c r="W531" s="1172"/>
      <c r="X531" s="1176"/>
    </row>
    <row r="532" spans="1:24" ht="31.5" customHeight="1" x14ac:dyDescent="0.2">
      <c r="A532" s="2088" t="s">
        <v>1655</v>
      </c>
      <c r="B532" s="2054" t="s">
        <v>2536</v>
      </c>
      <c r="C532" s="2056" t="s">
        <v>2537</v>
      </c>
      <c r="D532" s="1177" t="s">
        <v>195</v>
      </c>
      <c r="E532" s="1374" t="s">
        <v>74</v>
      </c>
      <c r="F532" s="1374" t="s">
        <v>1870</v>
      </c>
      <c r="G532" s="1178" t="s">
        <v>1828</v>
      </c>
      <c r="H532" s="1172"/>
      <c r="I532" s="1172"/>
      <c r="J532" s="1172"/>
      <c r="K532" s="1172"/>
      <c r="L532" s="1173">
        <v>-635000</v>
      </c>
      <c r="M532" s="1172"/>
      <c r="N532" s="1172"/>
      <c r="O532" s="1172"/>
      <c r="P532" s="1174"/>
      <c r="Q532" s="1175"/>
      <c r="R532" s="1172"/>
      <c r="S532" s="1172"/>
      <c r="T532" s="1172"/>
      <c r="U532" s="1172"/>
      <c r="V532" s="1172"/>
      <c r="W532" s="1172"/>
      <c r="X532" s="1176"/>
    </row>
    <row r="533" spans="1:24" ht="31.5" customHeight="1" x14ac:dyDescent="0.2">
      <c r="A533" s="2089"/>
      <c r="B533" s="2055"/>
      <c r="C533" s="2057"/>
      <c r="D533" s="1177" t="s">
        <v>188</v>
      </c>
      <c r="E533" s="1374" t="s">
        <v>75</v>
      </c>
      <c r="F533" s="1374" t="s">
        <v>2538</v>
      </c>
      <c r="G533" s="1178" t="s">
        <v>1829</v>
      </c>
      <c r="H533" s="1172"/>
      <c r="I533" s="1172"/>
      <c r="J533" s="1172">
        <f>500000+135000</f>
        <v>635000</v>
      </c>
      <c r="K533" s="1172"/>
      <c r="L533" s="1173"/>
      <c r="M533" s="1172"/>
      <c r="N533" s="1172"/>
      <c r="O533" s="1172"/>
      <c r="P533" s="1174"/>
      <c r="Q533" s="1175"/>
      <c r="R533" s="1172"/>
      <c r="S533" s="1172"/>
      <c r="T533" s="1172"/>
      <c r="U533" s="1172"/>
      <c r="V533" s="1172"/>
      <c r="W533" s="1172"/>
      <c r="X533" s="1176"/>
    </row>
    <row r="534" spans="1:24" ht="32.25" customHeight="1" x14ac:dyDescent="0.2">
      <c r="A534" s="2088" t="s">
        <v>1656</v>
      </c>
      <c r="B534" s="2054" t="s">
        <v>2542</v>
      </c>
      <c r="C534" s="2056" t="s">
        <v>2543</v>
      </c>
      <c r="D534" s="1177" t="s">
        <v>195</v>
      </c>
      <c r="E534" s="1374" t="s">
        <v>74</v>
      </c>
      <c r="F534" s="1374" t="s">
        <v>1870</v>
      </c>
      <c r="G534" s="1178" t="s">
        <v>1828</v>
      </c>
      <c r="H534" s="1172"/>
      <c r="I534" s="1172"/>
      <c r="J534" s="1172"/>
      <c r="K534" s="1172"/>
      <c r="L534" s="1173">
        <v>-190500</v>
      </c>
      <c r="M534" s="1172"/>
      <c r="N534" s="1172"/>
      <c r="O534" s="1172"/>
      <c r="P534" s="1174"/>
      <c r="Q534" s="1175"/>
      <c r="R534" s="1172"/>
      <c r="S534" s="1172"/>
      <c r="T534" s="1172"/>
      <c r="U534" s="1172"/>
      <c r="V534" s="1172"/>
      <c r="W534" s="1172"/>
      <c r="X534" s="1176"/>
    </row>
    <row r="535" spans="1:24" ht="32.25" customHeight="1" x14ac:dyDescent="0.2">
      <c r="A535" s="2089"/>
      <c r="B535" s="2055"/>
      <c r="C535" s="2057"/>
      <c r="D535" s="1177" t="s">
        <v>193</v>
      </c>
      <c r="E535" s="1374" t="s">
        <v>620</v>
      </c>
      <c r="F535" s="1374" t="s">
        <v>1488</v>
      </c>
      <c r="G535" s="1178" t="s">
        <v>1829</v>
      </c>
      <c r="H535" s="1172"/>
      <c r="I535" s="1172"/>
      <c r="J535" s="1172"/>
      <c r="K535" s="1172"/>
      <c r="L535" s="1173"/>
      <c r="M535" s="1172">
        <f>150000+40500</f>
        <v>190500</v>
      </c>
      <c r="N535" s="1172"/>
      <c r="O535" s="1172"/>
      <c r="P535" s="1174"/>
      <c r="Q535" s="1175"/>
      <c r="R535" s="1172"/>
      <c r="S535" s="1172"/>
      <c r="T535" s="1172"/>
      <c r="U535" s="1172"/>
      <c r="V535" s="1172"/>
      <c r="W535" s="1172"/>
      <c r="X535" s="1176"/>
    </row>
    <row r="536" spans="1:24" ht="40.5" customHeight="1" x14ac:dyDescent="0.2">
      <c r="A536" s="2088" t="s">
        <v>1657</v>
      </c>
      <c r="B536" s="2054" t="s">
        <v>2544</v>
      </c>
      <c r="C536" s="2056" t="s">
        <v>2546</v>
      </c>
      <c r="D536" s="1177" t="s">
        <v>195</v>
      </c>
      <c r="E536" s="1374" t="s">
        <v>74</v>
      </c>
      <c r="F536" s="1374" t="s">
        <v>1870</v>
      </c>
      <c r="G536" s="1178" t="s">
        <v>1828</v>
      </c>
      <c r="H536" s="1172"/>
      <c r="I536" s="1172"/>
      <c r="J536" s="1172"/>
      <c r="K536" s="1172"/>
      <c r="L536" s="1173">
        <v>-241300</v>
      </c>
      <c r="M536" s="1172"/>
      <c r="N536" s="1172"/>
      <c r="O536" s="1172"/>
      <c r="P536" s="1174"/>
      <c r="Q536" s="1175"/>
      <c r="R536" s="1172"/>
      <c r="S536" s="1172"/>
      <c r="T536" s="1172"/>
      <c r="U536" s="1172"/>
      <c r="V536" s="1172"/>
      <c r="W536" s="1172"/>
      <c r="X536" s="1176"/>
    </row>
    <row r="537" spans="1:24" ht="40.5" customHeight="1" x14ac:dyDescent="0.2">
      <c r="A537" s="2089"/>
      <c r="B537" s="2055"/>
      <c r="C537" s="2057"/>
      <c r="D537" s="1177" t="s">
        <v>193</v>
      </c>
      <c r="E537" s="1374" t="s">
        <v>545</v>
      </c>
      <c r="F537" s="1374" t="s">
        <v>831</v>
      </c>
      <c r="G537" s="1178" t="s">
        <v>1829</v>
      </c>
      <c r="H537" s="1172"/>
      <c r="I537" s="1172"/>
      <c r="J537" s="1172"/>
      <c r="K537" s="1172"/>
      <c r="L537" s="1173"/>
      <c r="M537" s="1172">
        <f>190000+51300</f>
        <v>241300</v>
      </c>
      <c r="N537" s="1172"/>
      <c r="O537" s="1172"/>
      <c r="P537" s="1174"/>
      <c r="Q537" s="1175"/>
      <c r="R537" s="1172"/>
      <c r="S537" s="1172"/>
      <c r="T537" s="1172"/>
      <c r="U537" s="1172"/>
      <c r="V537" s="1172"/>
      <c r="W537" s="1172"/>
      <c r="X537" s="1176"/>
    </row>
    <row r="538" spans="1:24" ht="39.75" customHeight="1" x14ac:dyDescent="0.2">
      <c r="A538" s="2088" t="s">
        <v>1658</v>
      </c>
      <c r="B538" s="2054" t="s">
        <v>2545</v>
      </c>
      <c r="C538" s="2056" t="s">
        <v>2547</v>
      </c>
      <c r="D538" s="1177" t="s">
        <v>195</v>
      </c>
      <c r="E538" s="1374" t="s">
        <v>74</v>
      </c>
      <c r="F538" s="1374" t="s">
        <v>1870</v>
      </c>
      <c r="G538" s="1178" t="s">
        <v>1828</v>
      </c>
      <c r="H538" s="1172"/>
      <c r="I538" s="1172"/>
      <c r="J538" s="1172"/>
      <c r="K538" s="1172"/>
      <c r="L538" s="1173">
        <v>-241300</v>
      </c>
      <c r="M538" s="1172"/>
      <c r="N538" s="1172"/>
      <c r="O538" s="1172"/>
      <c r="P538" s="1174"/>
      <c r="Q538" s="1175"/>
      <c r="R538" s="1172"/>
      <c r="S538" s="1172"/>
      <c r="T538" s="1172"/>
      <c r="U538" s="1172"/>
      <c r="V538" s="1172"/>
      <c r="W538" s="1172"/>
      <c r="X538" s="1176"/>
    </row>
    <row r="539" spans="1:24" ht="39.75" customHeight="1" x14ac:dyDescent="0.2">
      <c r="A539" s="2089"/>
      <c r="B539" s="2055"/>
      <c r="C539" s="2057"/>
      <c r="D539" s="1177" t="s">
        <v>193</v>
      </c>
      <c r="E539" s="1374" t="s">
        <v>545</v>
      </c>
      <c r="F539" s="1374" t="s">
        <v>831</v>
      </c>
      <c r="G539" s="1178" t="s">
        <v>1829</v>
      </c>
      <c r="H539" s="1172"/>
      <c r="I539" s="1172"/>
      <c r="J539" s="1172"/>
      <c r="K539" s="1172"/>
      <c r="L539" s="1173"/>
      <c r="M539" s="1172">
        <f>190000+51300</f>
        <v>241300</v>
      </c>
      <c r="N539" s="1172"/>
      <c r="O539" s="1172"/>
      <c r="P539" s="1174"/>
      <c r="Q539" s="1175"/>
      <c r="R539" s="1172"/>
      <c r="S539" s="1172"/>
      <c r="T539" s="1172"/>
      <c r="U539" s="1172"/>
      <c r="V539" s="1172"/>
      <c r="W539" s="1172"/>
      <c r="X539" s="1176"/>
    </row>
    <row r="540" spans="1:24" ht="24.75" customHeight="1" x14ac:dyDescent="0.2">
      <c r="A540" s="2088" t="s">
        <v>1659</v>
      </c>
      <c r="B540" s="2054" t="s">
        <v>2548</v>
      </c>
      <c r="C540" s="2056" t="s">
        <v>2549</v>
      </c>
      <c r="D540" s="1177" t="s">
        <v>195</v>
      </c>
      <c r="E540" s="1374" t="s">
        <v>74</v>
      </c>
      <c r="F540" s="1374" t="s">
        <v>1870</v>
      </c>
      <c r="G540" s="1178" t="s">
        <v>1828</v>
      </c>
      <c r="H540" s="1172"/>
      <c r="I540" s="1172"/>
      <c r="J540" s="1172"/>
      <c r="K540" s="1172"/>
      <c r="L540" s="1173">
        <v>-8890000</v>
      </c>
      <c r="M540" s="1172"/>
      <c r="N540" s="1172"/>
      <c r="O540" s="1172"/>
      <c r="P540" s="1174"/>
      <c r="Q540" s="1175"/>
      <c r="R540" s="1172"/>
      <c r="S540" s="1172"/>
      <c r="T540" s="1172"/>
      <c r="U540" s="1172"/>
      <c r="V540" s="1172"/>
      <c r="W540" s="1172"/>
      <c r="X540" s="1176"/>
    </row>
    <row r="541" spans="1:24" ht="24.75" customHeight="1" x14ac:dyDescent="0.2">
      <c r="A541" s="2089"/>
      <c r="B541" s="2055"/>
      <c r="C541" s="2057"/>
      <c r="D541" s="1177" t="s">
        <v>188</v>
      </c>
      <c r="E541" s="1374" t="s">
        <v>584</v>
      </c>
      <c r="F541" s="1374" t="s">
        <v>825</v>
      </c>
      <c r="G541" s="1178" t="s">
        <v>1829</v>
      </c>
      <c r="H541" s="1172"/>
      <c r="I541" s="1172"/>
      <c r="J541" s="1172">
        <f>7000000+1890000</f>
        <v>8890000</v>
      </c>
      <c r="K541" s="1172"/>
      <c r="L541" s="1173"/>
      <c r="M541" s="1172"/>
      <c r="N541" s="1172"/>
      <c r="O541" s="1172"/>
      <c r="P541" s="1174"/>
      <c r="Q541" s="1175"/>
      <c r="R541" s="1172"/>
      <c r="S541" s="1172"/>
      <c r="T541" s="1172"/>
      <c r="U541" s="1172"/>
      <c r="V541" s="1172"/>
      <c r="W541" s="1172"/>
      <c r="X541" s="1176"/>
    </row>
    <row r="542" spans="1:24" ht="21.75" customHeight="1" x14ac:dyDescent="0.2">
      <c r="A542" s="2091" t="s">
        <v>1660</v>
      </c>
      <c r="B542" s="2067" t="s">
        <v>2550</v>
      </c>
      <c r="C542" s="2087" t="s">
        <v>2551</v>
      </c>
      <c r="D542" s="1177" t="s">
        <v>195</v>
      </c>
      <c r="E542" s="1374" t="s">
        <v>74</v>
      </c>
      <c r="F542" s="1374" t="s">
        <v>1870</v>
      </c>
      <c r="G542" s="1178" t="s">
        <v>1828</v>
      </c>
      <c r="H542" s="1172"/>
      <c r="I542" s="1172"/>
      <c r="J542" s="1172"/>
      <c r="K542" s="1172"/>
      <c r="L542" s="1173">
        <v>-15000000</v>
      </c>
      <c r="M542" s="1172"/>
      <c r="N542" s="1172"/>
      <c r="O542" s="1172"/>
      <c r="P542" s="1174"/>
      <c r="Q542" s="1175"/>
      <c r="R542" s="1172"/>
      <c r="S542" s="1172"/>
      <c r="T542" s="1172"/>
      <c r="U542" s="1172"/>
      <c r="V542" s="1172"/>
      <c r="W542" s="1172"/>
      <c r="X542" s="1176"/>
    </row>
    <row r="543" spans="1:24" ht="21.75" customHeight="1" x14ac:dyDescent="0.2">
      <c r="A543" s="2091"/>
      <c r="B543" s="2067"/>
      <c r="C543" s="2087"/>
      <c r="D543" s="1177" t="s">
        <v>195</v>
      </c>
      <c r="E543" s="1374" t="s">
        <v>74</v>
      </c>
      <c r="F543" s="1374" t="s">
        <v>1870</v>
      </c>
      <c r="G543" s="1178" t="s">
        <v>1828</v>
      </c>
      <c r="H543" s="1172"/>
      <c r="I543" s="1172"/>
      <c r="J543" s="1172"/>
      <c r="K543" s="1172"/>
      <c r="L543" s="1173">
        <v>-34000000</v>
      </c>
      <c r="M543" s="1172"/>
      <c r="N543" s="1172"/>
      <c r="O543" s="1172"/>
      <c r="P543" s="1174"/>
      <c r="Q543" s="1175"/>
      <c r="R543" s="1172"/>
      <c r="S543" s="1172"/>
      <c r="T543" s="1172"/>
      <c r="U543" s="1172"/>
      <c r="V543" s="1172"/>
      <c r="W543" s="1172"/>
      <c r="X543" s="1176"/>
    </row>
    <row r="544" spans="1:24" ht="21.75" customHeight="1" x14ac:dyDescent="0.2">
      <c r="A544" s="2091"/>
      <c r="B544" s="2067"/>
      <c r="C544" s="2087"/>
      <c r="D544" s="1177" t="s">
        <v>195</v>
      </c>
      <c r="E544" s="1374" t="s">
        <v>74</v>
      </c>
      <c r="F544" s="1374" t="s">
        <v>1870</v>
      </c>
      <c r="G544" s="1178" t="s">
        <v>1829</v>
      </c>
      <c r="H544" s="1172"/>
      <c r="I544" s="1172"/>
      <c r="J544" s="1172"/>
      <c r="K544" s="1172"/>
      <c r="L544" s="1173">
        <v>49000000</v>
      </c>
      <c r="M544" s="1172"/>
      <c r="N544" s="1172"/>
      <c r="O544" s="1172"/>
      <c r="P544" s="1174"/>
      <c r="Q544" s="1175"/>
      <c r="R544" s="1172"/>
      <c r="S544" s="1172"/>
      <c r="T544" s="1172"/>
      <c r="U544" s="1172"/>
      <c r="V544" s="1172"/>
      <c r="W544" s="1172"/>
      <c r="X544" s="1176"/>
    </row>
    <row r="545" spans="1:24" ht="27.75" customHeight="1" x14ac:dyDescent="0.2">
      <c r="A545" s="2088" t="s">
        <v>1661</v>
      </c>
      <c r="B545" s="2054" t="s">
        <v>2552</v>
      </c>
      <c r="C545" s="2056" t="s">
        <v>2553</v>
      </c>
      <c r="D545" s="1177" t="s">
        <v>195</v>
      </c>
      <c r="E545" s="1374" t="s">
        <v>74</v>
      </c>
      <c r="F545" s="1374" t="s">
        <v>1870</v>
      </c>
      <c r="G545" s="1178" t="s">
        <v>1828</v>
      </c>
      <c r="H545" s="1172"/>
      <c r="I545" s="1172"/>
      <c r="J545" s="1172"/>
      <c r="K545" s="1172"/>
      <c r="L545" s="1173">
        <v>-5500000</v>
      </c>
      <c r="M545" s="1172"/>
      <c r="N545" s="1172"/>
      <c r="O545" s="1172"/>
      <c r="P545" s="1174"/>
      <c r="Q545" s="1175"/>
      <c r="R545" s="1172"/>
      <c r="S545" s="1172"/>
      <c r="T545" s="1172"/>
      <c r="U545" s="1172"/>
      <c r="V545" s="1172"/>
      <c r="W545" s="1172"/>
      <c r="X545" s="1176"/>
    </row>
    <row r="546" spans="1:24" ht="27.75" customHeight="1" x14ac:dyDescent="0.2">
      <c r="A546" s="2089"/>
      <c r="B546" s="2055"/>
      <c r="C546" s="2057"/>
      <c r="D546" s="1177" t="s">
        <v>188</v>
      </c>
      <c r="E546" s="1374" t="s">
        <v>75</v>
      </c>
      <c r="F546" s="1374" t="s">
        <v>2538</v>
      </c>
      <c r="G546" s="1178" t="s">
        <v>1829</v>
      </c>
      <c r="H546" s="1172"/>
      <c r="I546" s="1172"/>
      <c r="J546" s="1172">
        <f>4330709+1169291</f>
        <v>5500000</v>
      </c>
      <c r="K546" s="1172"/>
      <c r="L546" s="1173"/>
      <c r="M546" s="1172"/>
      <c r="N546" s="1172"/>
      <c r="O546" s="1172"/>
      <c r="P546" s="1174"/>
      <c r="Q546" s="1175"/>
      <c r="R546" s="1172"/>
      <c r="S546" s="1172"/>
      <c r="T546" s="1172"/>
      <c r="U546" s="1172"/>
      <c r="V546" s="1172"/>
      <c r="W546" s="1172"/>
      <c r="X546" s="1176"/>
    </row>
    <row r="547" spans="1:24" ht="34.5" customHeight="1" x14ac:dyDescent="0.2">
      <c r="A547" s="2088" t="s">
        <v>1662</v>
      </c>
      <c r="B547" s="2054" t="s">
        <v>2554</v>
      </c>
      <c r="C547" s="2056" t="s">
        <v>2555</v>
      </c>
      <c r="D547" s="1177" t="s">
        <v>195</v>
      </c>
      <c r="E547" s="1374" t="s">
        <v>74</v>
      </c>
      <c r="F547" s="1374" t="s">
        <v>1870</v>
      </c>
      <c r="G547" s="1178" t="s">
        <v>1828</v>
      </c>
      <c r="H547" s="1172"/>
      <c r="I547" s="1172"/>
      <c r="J547" s="1172"/>
      <c r="K547" s="1172"/>
      <c r="L547" s="1173">
        <v>-127000</v>
      </c>
      <c r="M547" s="1172"/>
      <c r="N547" s="1172"/>
      <c r="O547" s="1172"/>
      <c r="P547" s="1174"/>
      <c r="Q547" s="1175"/>
      <c r="R547" s="1172"/>
      <c r="S547" s="1172"/>
      <c r="T547" s="1172"/>
      <c r="U547" s="1172"/>
      <c r="V547" s="1172"/>
      <c r="W547" s="1172"/>
      <c r="X547" s="1176"/>
    </row>
    <row r="548" spans="1:24" ht="34.5" customHeight="1" x14ac:dyDescent="0.2">
      <c r="A548" s="2089"/>
      <c r="B548" s="2055"/>
      <c r="C548" s="2057"/>
      <c r="D548" s="1177" t="s">
        <v>188</v>
      </c>
      <c r="E548" s="1374" t="s">
        <v>545</v>
      </c>
      <c r="F548" s="1374" t="s">
        <v>831</v>
      </c>
      <c r="G548" s="1178" t="s">
        <v>1829</v>
      </c>
      <c r="H548" s="1172"/>
      <c r="I548" s="1172"/>
      <c r="J548" s="1172">
        <f>100000+27000</f>
        <v>127000</v>
      </c>
      <c r="K548" s="1172"/>
      <c r="L548" s="1173"/>
      <c r="M548" s="1172"/>
      <c r="N548" s="1172"/>
      <c r="O548" s="1172"/>
      <c r="P548" s="1174"/>
      <c r="Q548" s="1175"/>
      <c r="R548" s="1172"/>
      <c r="S548" s="1172"/>
      <c r="T548" s="1172"/>
      <c r="U548" s="1172"/>
      <c r="V548" s="1172"/>
      <c r="W548" s="1172"/>
      <c r="X548" s="1176"/>
    </row>
    <row r="549" spans="1:24" ht="23.25" customHeight="1" x14ac:dyDescent="0.2">
      <c r="A549" s="2088" t="s">
        <v>1663</v>
      </c>
      <c r="B549" s="2054" t="s">
        <v>2556</v>
      </c>
      <c r="C549" s="2056" t="s">
        <v>2557</v>
      </c>
      <c r="D549" s="1177" t="s">
        <v>188</v>
      </c>
      <c r="E549" s="1374" t="s">
        <v>813</v>
      </c>
      <c r="F549" s="1374" t="s">
        <v>1897</v>
      </c>
      <c r="G549" s="1178" t="s">
        <v>1828</v>
      </c>
      <c r="H549" s="1172"/>
      <c r="I549" s="1172"/>
      <c r="J549" s="1172">
        <f>-657312-177474</f>
        <v>-834786</v>
      </c>
      <c r="K549" s="1172"/>
      <c r="L549" s="1173"/>
      <c r="M549" s="1172"/>
      <c r="N549" s="1172"/>
      <c r="O549" s="1172"/>
      <c r="P549" s="1174"/>
      <c r="Q549" s="1175"/>
      <c r="R549" s="1172"/>
      <c r="S549" s="1172"/>
      <c r="T549" s="1172"/>
      <c r="U549" s="1172"/>
      <c r="V549" s="1172"/>
      <c r="W549" s="1172"/>
      <c r="X549" s="1176"/>
    </row>
    <row r="550" spans="1:24" ht="23.25" customHeight="1" x14ac:dyDescent="0.2">
      <c r="A550" s="2089"/>
      <c r="B550" s="2055"/>
      <c r="C550" s="2057"/>
      <c r="D550" s="1177" t="s">
        <v>188</v>
      </c>
      <c r="E550" s="1374" t="s">
        <v>813</v>
      </c>
      <c r="F550" s="1374" t="s">
        <v>812</v>
      </c>
      <c r="G550" s="1178" t="s">
        <v>1829</v>
      </c>
      <c r="H550" s="1172"/>
      <c r="I550" s="1172"/>
      <c r="J550" s="1172">
        <f>657312+177474</f>
        <v>834786</v>
      </c>
      <c r="K550" s="1172"/>
      <c r="L550" s="1173"/>
      <c r="M550" s="1172"/>
      <c r="N550" s="1172"/>
      <c r="O550" s="1172"/>
      <c r="P550" s="1174"/>
      <c r="Q550" s="1175"/>
      <c r="R550" s="1172"/>
      <c r="S550" s="1172"/>
      <c r="T550" s="1172"/>
      <c r="U550" s="1172"/>
      <c r="V550" s="1172"/>
      <c r="W550" s="1172"/>
      <c r="X550" s="1176"/>
    </row>
    <row r="551" spans="1:24" ht="41.25" customHeight="1" x14ac:dyDescent="0.2">
      <c r="A551" s="1545" t="s">
        <v>1664</v>
      </c>
      <c r="B551" s="1493" t="s">
        <v>2558</v>
      </c>
      <c r="C551" s="1492" t="s">
        <v>2559</v>
      </c>
      <c r="D551" s="1177" t="s">
        <v>188</v>
      </c>
      <c r="E551" s="1374" t="s">
        <v>813</v>
      </c>
      <c r="F551" s="1374" t="s">
        <v>812</v>
      </c>
      <c r="G551" s="1178" t="s">
        <v>1837</v>
      </c>
      <c r="H551" s="1172"/>
      <c r="I551" s="1172"/>
      <c r="J551" s="1172">
        <f>-75000-81500+156500</f>
        <v>0</v>
      </c>
      <c r="K551" s="1172"/>
      <c r="L551" s="1173"/>
      <c r="M551" s="1172"/>
      <c r="N551" s="1172"/>
      <c r="O551" s="1172"/>
      <c r="P551" s="1174"/>
      <c r="Q551" s="1175"/>
      <c r="R551" s="1172"/>
      <c r="S551" s="1172"/>
      <c r="T551" s="1172"/>
      <c r="U551" s="1172"/>
      <c r="V551" s="1172"/>
      <c r="W551" s="1172"/>
      <c r="X551" s="1176"/>
    </row>
    <row r="552" spans="1:24" ht="39.75" customHeight="1" x14ac:dyDescent="0.2">
      <c r="A552" s="1545" t="s">
        <v>1665</v>
      </c>
      <c r="B552" s="1493" t="s">
        <v>2560</v>
      </c>
      <c r="C552" s="1492" t="s">
        <v>2561</v>
      </c>
      <c r="D552" s="1177" t="s">
        <v>193</v>
      </c>
      <c r="E552" s="1374" t="s">
        <v>130</v>
      </c>
      <c r="F552" s="1374" t="s">
        <v>91</v>
      </c>
      <c r="G552" s="1178" t="s">
        <v>1837</v>
      </c>
      <c r="H552" s="1172"/>
      <c r="I552" s="1172"/>
      <c r="J552" s="1172"/>
      <c r="K552" s="1172"/>
      <c r="L552" s="1173"/>
      <c r="M552" s="1172">
        <f>-877440-236909+877440+236909</f>
        <v>0</v>
      </c>
      <c r="N552" s="1172"/>
      <c r="O552" s="1172"/>
      <c r="P552" s="1174"/>
      <c r="Q552" s="1175"/>
      <c r="R552" s="1172"/>
      <c r="S552" s="1172"/>
      <c r="T552" s="1172"/>
      <c r="U552" s="1172"/>
      <c r="V552" s="1172"/>
      <c r="W552" s="1172"/>
      <c r="X552" s="1176"/>
    </row>
    <row r="553" spans="1:24" ht="29.25" customHeight="1" x14ac:dyDescent="0.2">
      <c r="A553" s="2088" t="s">
        <v>1666</v>
      </c>
      <c r="B553" s="2054" t="s">
        <v>2563</v>
      </c>
      <c r="C553" s="2056" t="s">
        <v>2639</v>
      </c>
      <c r="D553" s="1177" t="s">
        <v>193</v>
      </c>
      <c r="E553" s="1374" t="s">
        <v>583</v>
      </c>
      <c r="F553" s="1374" t="s">
        <v>1457</v>
      </c>
      <c r="G553" s="1178" t="s">
        <v>1828</v>
      </c>
      <c r="H553" s="1172"/>
      <c r="I553" s="1172"/>
      <c r="J553" s="1172"/>
      <c r="K553" s="1172"/>
      <c r="L553" s="1173"/>
      <c r="M553" s="1172">
        <f>-14500-3915</f>
        <v>-18415</v>
      </c>
      <c r="N553" s="1172"/>
      <c r="O553" s="1172"/>
      <c r="P553" s="1174"/>
      <c r="Q553" s="1175"/>
      <c r="R553" s="1172"/>
      <c r="S553" s="1172"/>
      <c r="T553" s="1172"/>
      <c r="U553" s="1172"/>
      <c r="V553" s="1172"/>
      <c r="W553" s="1172"/>
      <c r="X553" s="1176"/>
    </row>
    <row r="554" spans="1:24" ht="29.25" customHeight="1" x14ac:dyDescent="0.2">
      <c r="A554" s="2089"/>
      <c r="B554" s="2055"/>
      <c r="C554" s="2057"/>
      <c r="D554" s="1177" t="s">
        <v>193</v>
      </c>
      <c r="E554" s="1374" t="s">
        <v>583</v>
      </c>
      <c r="F554" s="1374" t="s">
        <v>2103</v>
      </c>
      <c r="G554" s="1178" t="s">
        <v>1829</v>
      </c>
      <c r="H554" s="1172"/>
      <c r="I554" s="1172"/>
      <c r="J554" s="1172">
        <f>14500+3915</f>
        <v>18415</v>
      </c>
      <c r="K554" s="1172"/>
      <c r="L554" s="1173"/>
      <c r="M554" s="1172"/>
      <c r="N554" s="1172"/>
      <c r="O554" s="1172"/>
      <c r="P554" s="1174"/>
      <c r="Q554" s="1175"/>
      <c r="R554" s="1172"/>
      <c r="S554" s="1172"/>
      <c r="T554" s="1172"/>
      <c r="U554" s="1172"/>
      <c r="V554" s="1172"/>
      <c r="W554" s="1172"/>
      <c r="X554" s="1176"/>
    </row>
    <row r="555" spans="1:24" ht="34.5" customHeight="1" x14ac:dyDescent="0.2">
      <c r="A555" s="2088" t="s">
        <v>1667</v>
      </c>
      <c r="B555" s="2054" t="s">
        <v>2564</v>
      </c>
      <c r="C555" s="2056" t="s">
        <v>2565</v>
      </c>
      <c r="D555" s="1177" t="s">
        <v>195</v>
      </c>
      <c r="E555" s="1374" t="s">
        <v>74</v>
      </c>
      <c r="F555" s="1374" t="s">
        <v>1870</v>
      </c>
      <c r="G555" s="1178" t="s">
        <v>1828</v>
      </c>
      <c r="H555" s="1172"/>
      <c r="I555" s="1172"/>
      <c r="J555" s="1172"/>
      <c r="K555" s="1172"/>
      <c r="L555" s="1173">
        <v>-7700010</v>
      </c>
      <c r="M555" s="1172"/>
      <c r="N555" s="1172"/>
      <c r="O555" s="1172"/>
      <c r="P555" s="1174"/>
      <c r="Q555" s="1175"/>
      <c r="R555" s="1172"/>
      <c r="S555" s="1172"/>
      <c r="T555" s="1172"/>
      <c r="U555" s="1172"/>
      <c r="V555" s="1172"/>
      <c r="W555" s="1172"/>
      <c r="X555" s="1176"/>
    </row>
    <row r="556" spans="1:24" ht="34.5" customHeight="1" x14ac:dyDescent="0.2">
      <c r="A556" s="2089"/>
      <c r="B556" s="2055"/>
      <c r="C556" s="2057"/>
      <c r="D556" s="1177" t="s">
        <v>193</v>
      </c>
      <c r="E556" s="1374" t="s">
        <v>130</v>
      </c>
      <c r="F556" s="1374" t="s">
        <v>91</v>
      </c>
      <c r="G556" s="1178" t="s">
        <v>1829</v>
      </c>
      <c r="H556" s="1172"/>
      <c r="I556" s="1172"/>
      <c r="J556" s="1172"/>
      <c r="K556" s="1172"/>
      <c r="L556" s="1173"/>
      <c r="M556" s="1172">
        <f>6063000+1637010</f>
        <v>7700010</v>
      </c>
      <c r="N556" s="1172"/>
      <c r="O556" s="1172"/>
      <c r="P556" s="1174"/>
      <c r="Q556" s="1175"/>
      <c r="R556" s="1172"/>
      <c r="S556" s="1172"/>
      <c r="T556" s="1172"/>
      <c r="U556" s="1172"/>
      <c r="V556" s="1172"/>
      <c r="W556" s="1172"/>
      <c r="X556" s="1176"/>
    </row>
    <row r="557" spans="1:24" ht="22.5" customHeight="1" x14ac:dyDescent="0.2">
      <c r="A557" s="2088" t="s">
        <v>1668</v>
      </c>
      <c r="B557" s="2054" t="s">
        <v>2566</v>
      </c>
      <c r="C557" s="2056" t="s">
        <v>2567</v>
      </c>
      <c r="D557" s="1177" t="s">
        <v>195</v>
      </c>
      <c r="E557" s="1374" t="s">
        <v>74</v>
      </c>
      <c r="F557" s="1374" t="s">
        <v>1870</v>
      </c>
      <c r="G557" s="1178" t="s">
        <v>1828</v>
      </c>
      <c r="H557" s="1172"/>
      <c r="I557" s="1172"/>
      <c r="J557" s="1172"/>
      <c r="K557" s="1172"/>
      <c r="L557" s="1173">
        <v>-19025574</v>
      </c>
      <c r="M557" s="1172"/>
      <c r="N557" s="1172"/>
      <c r="O557" s="1172"/>
      <c r="P557" s="1174"/>
      <c r="Q557" s="1175"/>
      <c r="R557" s="1172"/>
      <c r="S557" s="1172"/>
      <c r="T557" s="1172"/>
      <c r="U557" s="1172"/>
      <c r="V557" s="1172"/>
      <c r="W557" s="1172"/>
      <c r="X557" s="1176"/>
    </row>
    <row r="558" spans="1:24" ht="22.5" customHeight="1" x14ac:dyDescent="0.2">
      <c r="A558" s="2090"/>
      <c r="B558" s="2060"/>
      <c r="C558" s="2065"/>
      <c r="D558" s="1177" t="s">
        <v>194</v>
      </c>
      <c r="E558" s="1374" t="s">
        <v>583</v>
      </c>
      <c r="F558" s="1374" t="s">
        <v>128</v>
      </c>
      <c r="G558" s="1178" t="s">
        <v>1829</v>
      </c>
      <c r="H558" s="1172"/>
      <c r="I558" s="1172"/>
      <c r="J558" s="1172"/>
      <c r="K558" s="1172"/>
      <c r="L558" s="1173"/>
      <c r="M558" s="1172"/>
      <c r="N558" s="1172">
        <f>14119397+3812237</f>
        <v>17931634</v>
      </c>
      <c r="O558" s="1172"/>
      <c r="P558" s="1174"/>
      <c r="Q558" s="1175"/>
      <c r="R558" s="1172"/>
      <c r="S558" s="1172"/>
      <c r="T558" s="1172"/>
      <c r="U558" s="1172"/>
      <c r="V558" s="1172"/>
      <c r="W558" s="1172"/>
      <c r="X558" s="1176"/>
    </row>
    <row r="559" spans="1:24" ht="22.5" customHeight="1" x14ac:dyDescent="0.2">
      <c r="A559" s="2089"/>
      <c r="B559" s="2055"/>
      <c r="C559" s="2057"/>
      <c r="D559" s="1177" t="s">
        <v>188</v>
      </c>
      <c r="E559" s="1374" t="s">
        <v>1971</v>
      </c>
      <c r="F559" s="1374" t="s">
        <v>1970</v>
      </c>
      <c r="G559" s="1178" t="s">
        <v>1829</v>
      </c>
      <c r="H559" s="1172"/>
      <c r="I559" s="1172"/>
      <c r="J559" s="1172">
        <f>861370+232570</f>
        <v>1093940</v>
      </c>
      <c r="K559" s="1172"/>
      <c r="L559" s="1173"/>
      <c r="M559" s="1172"/>
      <c r="N559" s="1172"/>
      <c r="O559" s="1172"/>
      <c r="P559" s="1174"/>
      <c r="Q559" s="1175"/>
      <c r="R559" s="1172"/>
      <c r="S559" s="1172"/>
      <c r="T559" s="1172"/>
      <c r="U559" s="1172"/>
      <c r="V559" s="1172"/>
      <c r="W559" s="1172"/>
      <c r="X559" s="1176"/>
    </row>
    <row r="560" spans="1:24" ht="39" customHeight="1" x14ac:dyDescent="0.2">
      <c r="A560" s="2088" t="s">
        <v>1669</v>
      </c>
      <c r="B560" s="2054" t="s">
        <v>2569</v>
      </c>
      <c r="C560" s="2056" t="s">
        <v>2570</v>
      </c>
      <c r="D560" s="1177" t="s">
        <v>195</v>
      </c>
      <c r="E560" s="1374" t="s">
        <v>74</v>
      </c>
      <c r="F560" s="1374" t="s">
        <v>1870</v>
      </c>
      <c r="G560" s="1178" t="s">
        <v>1828</v>
      </c>
      <c r="H560" s="1172"/>
      <c r="I560" s="1172"/>
      <c r="J560" s="1172"/>
      <c r="K560" s="1172"/>
      <c r="L560" s="1173">
        <v>-79365</v>
      </c>
      <c r="M560" s="1172"/>
      <c r="N560" s="1172"/>
      <c r="O560" s="1172"/>
      <c r="P560" s="1174"/>
      <c r="Q560" s="1175"/>
      <c r="R560" s="1172"/>
      <c r="S560" s="1172"/>
      <c r="T560" s="1172"/>
      <c r="U560" s="1172"/>
      <c r="V560" s="1172"/>
      <c r="W560" s="1172"/>
      <c r="X560" s="1176"/>
    </row>
    <row r="561" spans="1:24" ht="39" customHeight="1" x14ac:dyDescent="0.2">
      <c r="A561" s="2089"/>
      <c r="B561" s="2055"/>
      <c r="C561" s="2057"/>
      <c r="D561" s="1177" t="s">
        <v>193</v>
      </c>
      <c r="E561" s="1374" t="s">
        <v>1502</v>
      </c>
      <c r="F561" s="1374" t="s">
        <v>1501</v>
      </c>
      <c r="G561" s="1178" t="s">
        <v>1829</v>
      </c>
      <c r="H561" s="1172"/>
      <c r="I561" s="1172"/>
      <c r="J561" s="1172"/>
      <c r="K561" s="1172"/>
      <c r="L561" s="1173"/>
      <c r="M561" s="1172">
        <f>62492+16873</f>
        <v>79365</v>
      </c>
      <c r="N561" s="1172"/>
      <c r="O561" s="1172"/>
      <c r="P561" s="1174"/>
      <c r="Q561" s="1175"/>
      <c r="R561" s="1172"/>
      <c r="S561" s="1172"/>
      <c r="T561" s="1172"/>
      <c r="U561" s="1172"/>
      <c r="V561" s="1172"/>
      <c r="W561" s="1172"/>
      <c r="X561" s="1176"/>
    </row>
    <row r="562" spans="1:24" ht="45" customHeight="1" x14ac:dyDescent="0.2">
      <c r="A562" s="2088" t="s">
        <v>1670</v>
      </c>
      <c r="B562" s="2054" t="s">
        <v>2571</v>
      </c>
      <c r="C562" s="2056" t="s">
        <v>2572</v>
      </c>
      <c r="D562" s="1177" t="s">
        <v>193</v>
      </c>
      <c r="E562" s="1374" t="s">
        <v>620</v>
      </c>
      <c r="F562" s="1374" t="s">
        <v>134</v>
      </c>
      <c r="G562" s="1178" t="s">
        <v>1828</v>
      </c>
      <c r="H562" s="1172"/>
      <c r="I562" s="1172"/>
      <c r="J562" s="1172"/>
      <c r="K562" s="1172"/>
      <c r="L562" s="1173"/>
      <c r="M562" s="1172">
        <f>-339536-91675</f>
        <v>-431211</v>
      </c>
      <c r="N562" s="1172"/>
      <c r="O562" s="1172"/>
      <c r="P562" s="1174"/>
      <c r="Q562" s="1175"/>
      <c r="R562" s="1172"/>
      <c r="S562" s="1172"/>
      <c r="T562" s="1172"/>
      <c r="U562" s="1172"/>
      <c r="V562" s="1172"/>
      <c r="W562" s="1172"/>
      <c r="X562" s="1176"/>
    </row>
    <row r="563" spans="1:24" ht="45" customHeight="1" x14ac:dyDescent="0.2">
      <c r="A563" s="2089"/>
      <c r="B563" s="2055"/>
      <c r="C563" s="2057"/>
      <c r="D563" s="1177" t="s">
        <v>193</v>
      </c>
      <c r="E563" s="1374" t="s">
        <v>1502</v>
      </c>
      <c r="F563" s="1374" t="s">
        <v>1501</v>
      </c>
      <c r="G563" s="1178" t="s">
        <v>1829</v>
      </c>
      <c r="H563" s="1172"/>
      <c r="I563" s="1172"/>
      <c r="J563" s="1172"/>
      <c r="K563" s="1172"/>
      <c r="L563" s="1173"/>
      <c r="M563" s="1172">
        <f>339536+91675</f>
        <v>431211</v>
      </c>
      <c r="N563" s="1172"/>
      <c r="O563" s="1172"/>
      <c r="P563" s="1174"/>
      <c r="Q563" s="1175"/>
      <c r="R563" s="1172"/>
      <c r="S563" s="1172"/>
      <c r="T563" s="1172"/>
      <c r="U563" s="1172"/>
      <c r="V563" s="1172"/>
      <c r="W563" s="1172"/>
      <c r="X563" s="1176"/>
    </row>
    <row r="564" spans="1:24" ht="26.25" customHeight="1" x14ac:dyDescent="0.2">
      <c r="A564" s="2088" t="s">
        <v>1671</v>
      </c>
      <c r="B564" s="2054" t="s">
        <v>2573</v>
      </c>
      <c r="C564" s="2056" t="s">
        <v>2574</v>
      </c>
      <c r="D564" s="1177" t="s">
        <v>188</v>
      </c>
      <c r="E564" s="1374" t="s">
        <v>2270</v>
      </c>
      <c r="F564" s="1374" t="s">
        <v>2268</v>
      </c>
      <c r="G564" s="1178" t="s">
        <v>1828</v>
      </c>
      <c r="H564" s="1172"/>
      <c r="I564" s="1172"/>
      <c r="J564" s="1172">
        <f>-843475-227738</f>
        <v>-1071213</v>
      </c>
      <c r="K564" s="1172"/>
      <c r="L564" s="1173"/>
      <c r="M564" s="1172"/>
      <c r="N564" s="1172"/>
      <c r="O564" s="1172"/>
      <c r="P564" s="1174"/>
      <c r="Q564" s="1175"/>
      <c r="R564" s="1172"/>
      <c r="S564" s="1172"/>
      <c r="T564" s="1172"/>
      <c r="U564" s="1172"/>
      <c r="V564" s="1172"/>
      <c r="W564" s="1172"/>
      <c r="X564" s="1176"/>
    </row>
    <row r="565" spans="1:24" ht="26.25" customHeight="1" x14ac:dyDescent="0.2">
      <c r="A565" s="2089"/>
      <c r="B565" s="2055"/>
      <c r="C565" s="2057"/>
      <c r="D565" s="1177" t="s">
        <v>193</v>
      </c>
      <c r="E565" s="1374" t="s">
        <v>130</v>
      </c>
      <c r="F565" s="1374" t="s">
        <v>91</v>
      </c>
      <c r="G565" s="1178" t="s">
        <v>1829</v>
      </c>
      <c r="H565" s="1172"/>
      <c r="I565" s="1172"/>
      <c r="J565" s="1172"/>
      <c r="K565" s="1172"/>
      <c r="L565" s="1173"/>
      <c r="M565" s="1172">
        <f>843475+227738</f>
        <v>1071213</v>
      </c>
      <c r="N565" s="1172"/>
      <c r="O565" s="1172"/>
      <c r="P565" s="1174"/>
      <c r="Q565" s="1175"/>
      <c r="R565" s="1172"/>
      <c r="S565" s="1172"/>
      <c r="T565" s="1172"/>
      <c r="U565" s="1172"/>
      <c r="V565" s="1172"/>
      <c r="W565" s="1172"/>
      <c r="X565" s="1176"/>
    </row>
    <row r="566" spans="1:24" ht="33.75" customHeight="1" x14ac:dyDescent="0.2">
      <c r="A566" s="2088" t="s">
        <v>1672</v>
      </c>
      <c r="B566" s="2054" t="s">
        <v>2576</v>
      </c>
      <c r="C566" s="2056" t="s">
        <v>2577</v>
      </c>
      <c r="D566" s="1177" t="s">
        <v>193</v>
      </c>
      <c r="E566" s="1374" t="s">
        <v>583</v>
      </c>
      <c r="F566" s="1374" t="s">
        <v>1457</v>
      </c>
      <c r="G566" s="1178" t="s">
        <v>1828</v>
      </c>
      <c r="H566" s="1172"/>
      <c r="I566" s="1172"/>
      <c r="J566" s="1172"/>
      <c r="K566" s="1172"/>
      <c r="L566" s="1173"/>
      <c r="M566" s="1172">
        <f>-1387650-374666</f>
        <v>-1762316</v>
      </c>
      <c r="N566" s="1172"/>
      <c r="O566" s="1172"/>
      <c r="P566" s="1174"/>
      <c r="Q566" s="1175"/>
      <c r="R566" s="1172"/>
      <c r="S566" s="1172"/>
      <c r="T566" s="1172"/>
      <c r="U566" s="1172"/>
      <c r="V566" s="1172"/>
      <c r="W566" s="1172"/>
      <c r="X566" s="1176"/>
    </row>
    <row r="567" spans="1:24" ht="33.75" customHeight="1" x14ac:dyDescent="0.2">
      <c r="A567" s="2089"/>
      <c r="B567" s="2055"/>
      <c r="C567" s="2057"/>
      <c r="D567" s="1177" t="s">
        <v>193</v>
      </c>
      <c r="E567" s="1374" t="s">
        <v>583</v>
      </c>
      <c r="F567" s="1374" t="s">
        <v>2103</v>
      </c>
      <c r="G567" s="1178" t="s">
        <v>1829</v>
      </c>
      <c r="H567" s="1172"/>
      <c r="I567" s="1172"/>
      <c r="J567" s="1172"/>
      <c r="K567" s="1172"/>
      <c r="L567" s="1173"/>
      <c r="M567" s="1172">
        <f>1387650+374666</f>
        <v>1762316</v>
      </c>
      <c r="N567" s="1172"/>
      <c r="O567" s="1172"/>
      <c r="P567" s="1174"/>
      <c r="Q567" s="1175"/>
      <c r="R567" s="1172"/>
      <c r="S567" s="1172"/>
      <c r="T567" s="1172"/>
      <c r="U567" s="1172"/>
      <c r="V567" s="1172"/>
      <c r="W567" s="1172"/>
      <c r="X567" s="1176"/>
    </row>
    <row r="568" spans="1:24" ht="26.25" customHeight="1" x14ac:dyDescent="0.2">
      <c r="A568" s="2088" t="s">
        <v>1673</v>
      </c>
      <c r="B568" s="2054" t="s">
        <v>2579</v>
      </c>
      <c r="C568" s="2056" t="s">
        <v>2452</v>
      </c>
      <c r="D568" s="1177" t="s">
        <v>188</v>
      </c>
      <c r="E568" s="1374" t="s">
        <v>131</v>
      </c>
      <c r="F568" s="1374" t="s">
        <v>1856</v>
      </c>
      <c r="G568" s="1178" t="s">
        <v>1829</v>
      </c>
      <c r="H568" s="1172"/>
      <c r="I568" s="1172"/>
      <c r="J568" s="1172"/>
      <c r="K568" s="1172"/>
      <c r="L568" s="1173"/>
      <c r="M568" s="1172"/>
      <c r="N568" s="1172"/>
      <c r="O568" s="1172"/>
      <c r="P568" s="1174"/>
      <c r="Q568" s="1175"/>
      <c r="R568" s="1172"/>
      <c r="S568" s="1172"/>
      <c r="T568" s="1172">
        <v>3000000</v>
      </c>
      <c r="U568" s="1172"/>
      <c r="V568" s="1172"/>
      <c r="W568" s="1172"/>
      <c r="X568" s="1176"/>
    </row>
    <row r="569" spans="1:24" ht="26.25" customHeight="1" x14ac:dyDescent="0.2">
      <c r="A569" s="2089"/>
      <c r="B569" s="2055"/>
      <c r="C569" s="2057"/>
      <c r="D569" s="1177" t="s">
        <v>195</v>
      </c>
      <c r="E569" s="1374" t="s">
        <v>74</v>
      </c>
      <c r="F569" s="1374" t="s">
        <v>1870</v>
      </c>
      <c r="G569" s="1178" t="s">
        <v>1829</v>
      </c>
      <c r="H569" s="1172"/>
      <c r="I569" s="1172"/>
      <c r="J569" s="1172"/>
      <c r="K569" s="1172"/>
      <c r="L569" s="1173">
        <v>3000000</v>
      </c>
      <c r="M569" s="1172"/>
      <c r="N569" s="1172"/>
      <c r="O569" s="1172"/>
      <c r="P569" s="1174"/>
      <c r="Q569" s="1175"/>
      <c r="R569" s="1172"/>
      <c r="S569" s="1172"/>
      <c r="T569" s="1172"/>
      <c r="U569" s="1172"/>
      <c r="V569" s="1172"/>
      <c r="W569" s="1172"/>
      <c r="X569" s="1176"/>
    </row>
    <row r="570" spans="1:24" ht="33.75" customHeight="1" x14ac:dyDescent="0.2">
      <c r="A570" s="1546" t="s">
        <v>1674</v>
      </c>
      <c r="B570" s="1490" t="s">
        <v>2580</v>
      </c>
      <c r="C570" s="1631" t="s">
        <v>2581</v>
      </c>
      <c r="D570" s="1177" t="s">
        <v>188</v>
      </c>
      <c r="E570" s="1374" t="s">
        <v>542</v>
      </c>
      <c r="F570" s="1374" t="s">
        <v>447</v>
      </c>
      <c r="G570" s="1178" t="s">
        <v>1829</v>
      </c>
      <c r="H570" s="1172"/>
      <c r="I570" s="1172"/>
      <c r="J570" s="1172">
        <v>200000</v>
      </c>
      <c r="K570" s="1172"/>
      <c r="L570" s="1173"/>
      <c r="M570" s="1172"/>
      <c r="N570" s="1172"/>
      <c r="O570" s="1172"/>
      <c r="P570" s="1174"/>
      <c r="Q570" s="1175"/>
      <c r="R570" s="1172"/>
      <c r="S570" s="1172"/>
      <c r="T570" s="1172">
        <v>200000</v>
      </c>
      <c r="U570" s="1172"/>
      <c r="V570" s="1172"/>
      <c r="W570" s="1172"/>
      <c r="X570" s="1176"/>
    </row>
    <row r="571" spans="1:24" ht="28.5" customHeight="1" x14ac:dyDescent="0.2">
      <c r="A571" s="2088" t="s">
        <v>1675</v>
      </c>
      <c r="B571" s="2054" t="s">
        <v>2582</v>
      </c>
      <c r="C571" s="2056" t="s">
        <v>2583</v>
      </c>
      <c r="D571" s="1177" t="s">
        <v>198</v>
      </c>
      <c r="E571" s="1374" t="s">
        <v>1375</v>
      </c>
      <c r="F571" s="1374" t="s">
        <v>1878</v>
      </c>
      <c r="G571" s="1178" t="s">
        <v>1829</v>
      </c>
      <c r="H571" s="1172"/>
      <c r="I571" s="1172"/>
      <c r="J571" s="1172"/>
      <c r="K571" s="1172"/>
      <c r="L571" s="1173"/>
      <c r="M571" s="1172"/>
      <c r="N571" s="1172"/>
      <c r="O571" s="1172"/>
      <c r="P571" s="1174"/>
      <c r="Q571" s="1175">
        <f>3071390+4972100-5605636</f>
        <v>2437854</v>
      </c>
      <c r="R571" s="1172"/>
      <c r="S571" s="1172"/>
      <c r="T571" s="1172"/>
      <c r="U571" s="1172"/>
      <c r="V571" s="1172"/>
      <c r="W571" s="1172"/>
      <c r="X571" s="1176"/>
    </row>
    <row r="572" spans="1:24" ht="28.5" customHeight="1" x14ac:dyDescent="0.2">
      <c r="A572" s="2089"/>
      <c r="B572" s="2055"/>
      <c r="C572" s="2057"/>
      <c r="D572" s="1177" t="s">
        <v>195</v>
      </c>
      <c r="E572" s="1374" t="s">
        <v>74</v>
      </c>
      <c r="F572" s="1374" t="s">
        <v>1870</v>
      </c>
      <c r="G572" s="1178" t="s">
        <v>1829</v>
      </c>
      <c r="H572" s="1172"/>
      <c r="I572" s="1172"/>
      <c r="J572" s="1172"/>
      <c r="K572" s="1172"/>
      <c r="L572" s="1173">
        <v>2437854</v>
      </c>
      <c r="M572" s="1172"/>
      <c r="N572" s="1172"/>
      <c r="O572" s="1172"/>
      <c r="P572" s="1174"/>
      <c r="Q572" s="1175"/>
      <c r="R572" s="1172"/>
      <c r="S572" s="1172"/>
      <c r="T572" s="1172"/>
      <c r="U572" s="1172"/>
      <c r="V572" s="1172"/>
      <c r="W572" s="1172"/>
      <c r="X572" s="1176"/>
    </row>
    <row r="573" spans="1:24" ht="33.75" customHeight="1" x14ac:dyDescent="0.2">
      <c r="A573" s="2088" t="s">
        <v>1676</v>
      </c>
      <c r="B573" s="2054" t="s">
        <v>2584</v>
      </c>
      <c r="C573" s="2056" t="s">
        <v>2585</v>
      </c>
      <c r="D573" s="1177" t="s">
        <v>195</v>
      </c>
      <c r="E573" s="1374" t="s">
        <v>74</v>
      </c>
      <c r="F573" s="1374" t="s">
        <v>1870</v>
      </c>
      <c r="G573" s="1178" t="s">
        <v>1828</v>
      </c>
      <c r="H573" s="1172"/>
      <c r="I573" s="1172"/>
      <c r="J573" s="1172"/>
      <c r="K573" s="1172"/>
      <c r="L573" s="1173">
        <v>-6323915</v>
      </c>
      <c r="M573" s="1172"/>
      <c r="N573" s="1172"/>
      <c r="O573" s="1172"/>
      <c r="P573" s="1174"/>
      <c r="Q573" s="1175"/>
      <c r="R573" s="1172"/>
      <c r="S573" s="1172"/>
      <c r="T573" s="1172"/>
      <c r="U573" s="1172"/>
      <c r="V573" s="1172"/>
      <c r="W573" s="1172"/>
      <c r="X573" s="1176"/>
    </row>
    <row r="574" spans="1:24" ht="33.75" customHeight="1" x14ac:dyDescent="0.2">
      <c r="A574" s="2089"/>
      <c r="B574" s="2055"/>
      <c r="C574" s="2057"/>
      <c r="D574" s="1177" t="s">
        <v>197</v>
      </c>
      <c r="E574" s="1374" t="s">
        <v>1288</v>
      </c>
      <c r="F574" s="1374" t="s">
        <v>535</v>
      </c>
      <c r="G574" s="1178" t="s">
        <v>1829</v>
      </c>
      <c r="H574" s="1172"/>
      <c r="I574" s="1172"/>
      <c r="J574" s="1172"/>
      <c r="K574" s="1172"/>
      <c r="L574" s="1173"/>
      <c r="M574" s="1172"/>
      <c r="N574" s="1172"/>
      <c r="O574" s="1172"/>
      <c r="P574" s="1174">
        <v>6323915</v>
      </c>
      <c r="Q574" s="1175"/>
      <c r="R574" s="1172"/>
      <c r="S574" s="1172"/>
      <c r="T574" s="1172"/>
      <c r="U574" s="1172"/>
      <c r="V574" s="1172"/>
      <c r="W574" s="1172"/>
      <c r="X574" s="1176"/>
    </row>
    <row r="575" spans="1:24" ht="39" customHeight="1" x14ac:dyDescent="0.2">
      <c r="A575" s="1546"/>
      <c r="B575" s="1490"/>
      <c r="C575" s="1631" t="s">
        <v>2302</v>
      </c>
      <c r="D575" s="1177" t="s">
        <v>197</v>
      </c>
      <c r="E575" s="1374" t="s">
        <v>1288</v>
      </c>
      <c r="F575" s="1374" t="s">
        <v>535</v>
      </c>
      <c r="G575" s="1178" t="s">
        <v>1837</v>
      </c>
      <c r="H575" s="1172"/>
      <c r="I575" s="1172"/>
      <c r="J575" s="1172"/>
      <c r="K575" s="1172"/>
      <c r="L575" s="1173"/>
      <c r="M575" s="1172"/>
      <c r="N575" s="1172"/>
      <c r="O575" s="1172"/>
      <c r="P575" s="1174">
        <f>-127000+127000</f>
        <v>0</v>
      </c>
      <c r="Q575" s="1175"/>
      <c r="R575" s="1172"/>
      <c r="S575" s="1172"/>
      <c r="T575" s="1172"/>
      <c r="U575" s="1172"/>
      <c r="V575" s="1172"/>
      <c r="W575" s="1172"/>
      <c r="X575" s="1176"/>
    </row>
    <row r="576" spans="1:24" ht="33.75" customHeight="1" x14ac:dyDescent="0.2">
      <c r="A576" s="2088" t="s">
        <v>1677</v>
      </c>
      <c r="B576" s="2054" t="s">
        <v>2588</v>
      </c>
      <c r="C576" s="2056" t="s">
        <v>2589</v>
      </c>
      <c r="D576" s="1177" t="s">
        <v>195</v>
      </c>
      <c r="E576" s="1374" t="s">
        <v>74</v>
      </c>
      <c r="F576" s="1374" t="s">
        <v>1870</v>
      </c>
      <c r="G576" s="1178" t="s">
        <v>1828</v>
      </c>
      <c r="H576" s="1172"/>
      <c r="I576" s="1172"/>
      <c r="J576" s="1172"/>
      <c r="K576" s="1172"/>
      <c r="L576" s="1173">
        <v>-2528221</v>
      </c>
      <c r="M576" s="1172"/>
      <c r="N576" s="1172"/>
      <c r="O576" s="1172"/>
      <c r="P576" s="1174"/>
      <c r="Q576" s="1175"/>
      <c r="R576" s="1172"/>
      <c r="S576" s="1172"/>
      <c r="T576" s="1172"/>
      <c r="U576" s="1172"/>
      <c r="V576" s="1172"/>
      <c r="W576" s="1172"/>
      <c r="X576" s="1176"/>
    </row>
    <row r="577" spans="1:24" ht="33.75" customHeight="1" x14ac:dyDescent="0.2">
      <c r="A577" s="2089"/>
      <c r="B577" s="2055"/>
      <c r="C577" s="2057"/>
      <c r="D577" s="1177" t="s">
        <v>197</v>
      </c>
      <c r="E577" s="1374" t="s">
        <v>1288</v>
      </c>
      <c r="F577" s="1374" t="s">
        <v>535</v>
      </c>
      <c r="G577" s="1178" t="s">
        <v>1829</v>
      </c>
      <c r="H577" s="1172"/>
      <c r="I577" s="1172"/>
      <c r="J577" s="1172"/>
      <c r="K577" s="1172"/>
      <c r="L577" s="1173"/>
      <c r="M577" s="1172"/>
      <c r="N577" s="1172"/>
      <c r="O577" s="1172"/>
      <c r="P577" s="1174">
        <v>2528221</v>
      </c>
      <c r="Q577" s="1175"/>
      <c r="R577" s="1172"/>
      <c r="S577" s="1172"/>
      <c r="T577" s="1172"/>
      <c r="U577" s="1172"/>
      <c r="V577" s="1172"/>
      <c r="W577" s="1172"/>
      <c r="X577" s="1176"/>
    </row>
    <row r="578" spans="1:24" ht="26.25" customHeight="1" x14ac:dyDescent="0.2">
      <c r="A578" s="2088" t="s">
        <v>1678</v>
      </c>
      <c r="B578" s="2054" t="s">
        <v>2590</v>
      </c>
      <c r="C578" s="2056" t="s">
        <v>2591</v>
      </c>
      <c r="D578" s="1177" t="s">
        <v>195</v>
      </c>
      <c r="E578" s="1374" t="s">
        <v>74</v>
      </c>
      <c r="F578" s="1374" t="s">
        <v>1870</v>
      </c>
      <c r="G578" s="1178" t="s">
        <v>1828</v>
      </c>
      <c r="H578" s="1172"/>
      <c r="I578" s="1172"/>
      <c r="J578" s="1172"/>
      <c r="K578" s="1172"/>
      <c r="L578" s="1173">
        <v>-34234880</v>
      </c>
      <c r="M578" s="1172"/>
      <c r="N578" s="1172"/>
      <c r="O578" s="1172"/>
      <c r="P578" s="1174"/>
      <c r="Q578" s="1175"/>
      <c r="R578" s="1172"/>
      <c r="S578" s="1172"/>
      <c r="T578" s="1172"/>
      <c r="U578" s="1172"/>
      <c r="V578" s="1172"/>
      <c r="W578" s="1172"/>
      <c r="X578" s="1176"/>
    </row>
    <row r="579" spans="1:24" ht="26.25" customHeight="1" x14ac:dyDescent="0.2">
      <c r="A579" s="2089"/>
      <c r="B579" s="2055"/>
      <c r="C579" s="2057"/>
      <c r="D579" s="1177" t="s">
        <v>193</v>
      </c>
      <c r="E579" s="1374" t="s">
        <v>547</v>
      </c>
      <c r="F579" s="1374" t="s">
        <v>748</v>
      </c>
      <c r="G579" s="1178" t="s">
        <v>1829</v>
      </c>
      <c r="H579" s="1172"/>
      <c r="I579" s="1172"/>
      <c r="J579" s="1172"/>
      <c r="K579" s="1172"/>
      <c r="L579" s="1173"/>
      <c r="M579" s="1172">
        <v>34234880</v>
      </c>
      <c r="N579" s="1172"/>
      <c r="O579" s="1172"/>
      <c r="P579" s="1174"/>
      <c r="Q579" s="1175"/>
      <c r="R579" s="1172"/>
      <c r="S579" s="1172"/>
      <c r="T579" s="1172"/>
      <c r="U579" s="1172"/>
      <c r="V579" s="1172"/>
      <c r="W579" s="1172"/>
      <c r="X579" s="1176"/>
    </row>
    <row r="580" spans="1:24" ht="32.25" customHeight="1" x14ac:dyDescent="0.2">
      <c r="A580" s="2088" t="s">
        <v>1679</v>
      </c>
      <c r="B580" s="2054" t="s">
        <v>2592</v>
      </c>
      <c r="C580" s="2056" t="s">
        <v>2593</v>
      </c>
      <c r="D580" s="1177" t="s">
        <v>195</v>
      </c>
      <c r="E580" s="1374" t="s">
        <v>74</v>
      </c>
      <c r="F580" s="1374" t="s">
        <v>1870</v>
      </c>
      <c r="G580" s="1178" t="s">
        <v>1828</v>
      </c>
      <c r="H580" s="1172"/>
      <c r="I580" s="1172"/>
      <c r="J580" s="1172"/>
      <c r="K580" s="1172"/>
      <c r="L580" s="1173">
        <v>-5969000</v>
      </c>
      <c r="M580" s="1172"/>
      <c r="N580" s="1172"/>
      <c r="O580" s="1172"/>
      <c r="P580" s="1174"/>
      <c r="Q580" s="1175"/>
      <c r="R580" s="1172"/>
      <c r="S580" s="1172"/>
      <c r="T580" s="1172"/>
      <c r="U580" s="1172"/>
      <c r="V580" s="1172"/>
      <c r="W580" s="1172"/>
      <c r="X580" s="1176"/>
    </row>
    <row r="581" spans="1:24" ht="32.25" customHeight="1" x14ac:dyDescent="0.2">
      <c r="A581" s="2089"/>
      <c r="B581" s="2055"/>
      <c r="C581" s="2057"/>
      <c r="D581" s="1177" t="s">
        <v>193</v>
      </c>
      <c r="E581" s="1374" t="s">
        <v>583</v>
      </c>
      <c r="F581" s="1374" t="s">
        <v>128</v>
      </c>
      <c r="G581" s="1178" t="s">
        <v>1829</v>
      </c>
      <c r="H581" s="1172"/>
      <c r="I581" s="1172"/>
      <c r="J581" s="1172"/>
      <c r="K581" s="1172"/>
      <c r="L581" s="1173"/>
      <c r="M581" s="1172">
        <f>4700000+1269000</f>
        <v>5969000</v>
      </c>
      <c r="N581" s="1172"/>
      <c r="O581" s="1172"/>
      <c r="P581" s="1174"/>
      <c r="Q581" s="1175"/>
      <c r="R581" s="1172"/>
      <c r="S581" s="1172"/>
      <c r="T581" s="1172"/>
      <c r="U581" s="1172"/>
      <c r="V581" s="1172"/>
      <c r="W581" s="1172"/>
      <c r="X581" s="1176"/>
    </row>
    <row r="582" spans="1:24" ht="29.25" customHeight="1" x14ac:dyDescent="0.2">
      <c r="A582" s="2088" t="s">
        <v>1680</v>
      </c>
      <c r="B582" s="2054" t="s">
        <v>2597</v>
      </c>
      <c r="C582" s="2056" t="s">
        <v>2499</v>
      </c>
      <c r="D582" s="1177" t="s">
        <v>195</v>
      </c>
      <c r="E582" s="1374" t="s">
        <v>74</v>
      </c>
      <c r="F582" s="1374" t="s">
        <v>1870</v>
      </c>
      <c r="G582" s="1178" t="s">
        <v>1828</v>
      </c>
      <c r="H582" s="1172"/>
      <c r="I582" s="1172"/>
      <c r="J582" s="1172"/>
      <c r="K582" s="1172"/>
      <c r="L582" s="1173">
        <v>-544050</v>
      </c>
      <c r="M582" s="1172"/>
      <c r="N582" s="1172"/>
      <c r="O582" s="1172"/>
      <c r="P582" s="1174"/>
      <c r="Q582" s="1175"/>
      <c r="R582" s="1172"/>
      <c r="S582" s="1172"/>
      <c r="T582" s="1172"/>
      <c r="U582" s="1172"/>
      <c r="V582" s="1172"/>
      <c r="W582" s="1172"/>
      <c r="X582" s="1176"/>
    </row>
    <row r="583" spans="1:24" ht="29.25" customHeight="1" x14ac:dyDescent="0.2">
      <c r="A583" s="2089"/>
      <c r="B583" s="2055"/>
      <c r="C583" s="2057"/>
      <c r="D583" s="1177" t="s">
        <v>197</v>
      </c>
      <c r="E583" s="1374" t="s">
        <v>1288</v>
      </c>
      <c r="F583" s="1374" t="s">
        <v>535</v>
      </c>
      <c r="G583" s="1178" t="s">
        <v>1829</v>
      </c>
      <c r="H583" s="1172"/>
      <c r="I583" s="1172"/>
      <c r="J583" s="1172"/>
      <c r="K583" s="1172"/>
      <c r="L583" s="1173"/>
      <c r="M583" s="1172"/>
      <c r="N583" s="1172"/>
      <c r="O583" s="1172"/>
      <c r="P583" s="1174">
        <v>544050</v>
      </c>
      <c r="Q583" s="1175"/>
      <c r="R583" s="1172"/>
      <c r="S583" s="1172"/>
      <c r="T583" s="1172"/>
      <c r="U583" s="1172"/>
      <c r="V583" s="1172"/>
      <c r="W583" s="1172"/>
      <c r="X583" s="1176"/>
    </row>
    <row r="584" spans="1:24" ht="25.5" customHeight="1" x14ac:dyDescent="0.2">
      <c r="A584" s="2088" t="s">
        <v>1681</v>
      </c>
      <c r="B584" s="2054" t="s">
        <v>2599</v>
      </c>
      <c r="C584" s="2056" t="s">
        <v>2600</v>
      </c>
      <c r="D584" s="1177" t="s">
        <v>188</v>
      </c>
      <c r="E584" s="1374" t="s">
        <v>813</v>
      </c>
      <c r="F584" s="1374" t="s">
        <v>1897</v>
      </c>
      <c r="G584" s="1178" t="s">
        <v>1828</v>
      </c>
      <c r="H584" s="1172"/>
      <c r="I584" s="1172"/>
      <c r="J584" s="1172">
        <f>-125984-34016</f>
        <v>-160000</v>
      </c>
      <c r="K584" s="1172"/>
      <c r="L584" s="1173"/>
      <c r="M584" s="1172"/>
      <c r="N584" s="1172"/>
      <c r="O584" s="1172"/>
      <c r="P584" s="1174"/>
      <c r="Q584" s="1175"/>
      <c r="R584" s="1172"/>
      <c r="S584" s="1172"/>
      <c r="T584" s="1172"/>
      <c r="U584" s="1172"/>
      <c r="V584" s="1172"/>
      <c r="W584" s="1172"/>
      <c r="X584" s="1176"/>
    </row>
    <row r="585" spans="1:24" ht="25.5" customHeight="1" x14ac:dyDescent="0.2">
      <c r="A585" s="2089"/>
      <c r="B585" s="2055"/>
      <c r="C585" s="2057"/>
      <c r="D585" s="1177" t="s">
        <v>188</v>
      </c>
      <c r="E585" s="1374" t="s">
        <v>813</v>
      </c>
      <c r="F585" s="1374" t="s">
        <v>1862</v>
      </c>
      <c r="G585" s="1178" t="s">
        <v>1829</v>
      </c>
      <c r="H585" s="1172"/>
      <c r="I585" s="1172"/>
      <c r="J585" s="1172">
        <f>125984+34016</f>
        <v>160000</v>
      </c>
      <c r="K585" s="1172"/>
      <c r="L585" s="1173"/>
      <c r="M585" s="1172"/>
      <c r="N585" s="1172"/>
      <c r="O585" s="1172"/>
      <c r="P585" s="1174"/>
      <c r="Q585" s="1175"/>
      <c r="R585" s="1172"/>
      <c r="S585" s="1172"/>
      <c r="T585" s="1172"/>
      <c r="U585" s="1172"/>
      <c r="V585" s="1172"/>
      <c r="W585" s="1172"/>
      <c r="X585" s="1176"/>
    </row>
    <row r="586" spans="1:24" ht="27" customHeight="1" x14ac:dyDescent="0.2">
      <c r="A586" s="2088" t="s">
        <v>1682</v>
      </c>
      <c r="B586" s="2054" t="s">
        <v>2602</v>
      </c>
      <c r="C586" s="2056" t="s">
        <v>2603</v>
      </c>
      <c r="D586" s="1177" t="s">
        <v>195</v>
      </c>
      <c r="E586" s="1374" t="s">
        <v>74</v>
      </c>
      <c r="F586" s="1374" t="s">
        <v>1870</v>
      </c>
      <c r="G586" s="1178" t="s">
        <v>1828</v>
      </c>
      <c r="H586" s="1172"/>
      <c r="I586" s="1172"/>
      <c r="J586" s="1172"/>
      <c r="K586" s="1172"/>
      <c r="L586" s="1173">
        <v>-365760</v>
      </c>
      <c r="M586" s="1172"/>
      <c r="N586" s="1172"/>
      <c r="O586" s="1172"/>
      <c r="P586" s="1174"/>
      <c r="Q586" s="1175"/>
      <c r="R586" s="1172"/>
      <c r="S586" s="1172"/>
      <c r="T586" s="1172"/>
      <c r="U586" s="1172"/>
      <c r="V586" s="1172"/>
      <c r="W586" s="1172"/>
      <c r="X586" s="1176"/>
    </row>
    <row r="587" spans="1:24" ht="27" customHeight="1" x14ac:dyDescent="0.2">
      <c r="A587" s="2089"/>
      <c r="B587" s="2055"/>
      <c r="C587" s="2057"/>
      <c r="D587" s="1177" t="s">
        <v>197</v>
      </c>
      <c r="E587" s="1374" t="s">
        <v>1288</v>
      </c>
      <c r="F587" s="1374" t="s">
        <v>535</v>
      </c>
      <c r="G587" s="1178" t="s">
        <v>1829</v>
      </c>
      <c r="H587" s="1172"/>
      <c r="I587" s="1172"/>
      <c r="J587" s="1172"/>
      <c r="K587" s="1172"/>
      <c r="L587" s="1173"/>
      <c r="M587" s="1172"/>
      <c r="N587" s="1172"/>
      <c r="O587" s="1172"/>
      <c r="P587" s="1174">
        <v>365760</v>
      </c>
      <c r="Q587" s="1175"/>
      <c r="R587" s="1172"/>
      <c r="S587" s="1172"/>
      <c r="T587" s="1172"/>
      <c r="U587" s="1172"/>
      <c r="V587" s="1172"/>
      <c r="W587" s="1172"/>
      <c r="X587" s="1176"/>
    </row>
    <row r="588" spans="1:24" ht="27" customHeight="1" x14ac:dyDescent="0.2">
      <c r="A588" s="2088" t="s">
        <v>1683</v>
      </c>
      <c r="B588" s="2054" t="s">
        <v>2605</v>
      </c>
      <c r="C588" s="2056" t="s">
        <v>2606</v>
      </c>
      <c r="D588" s="1177" t="s">
        <v>195</v>
      </c>
      <c r="E588" s="1374" t="s">
        <v>74</v>
      </c>
      <c r="F588" s="1374" t="s">
        <v>1870</v>
      </c>
      <c r="G588" s="1178" t="s">
        <v>1828</v>
      </c>
      <c r="H588" s="1172"/>
      <c r="I588" s="1172"/>
      <c r="J588" s="1172"/>
      <c r="K588" s="1172"/>
      <c r="L588" s="1173">
        <v>-431800</v>
      </c>
      <c r="M588" s="1172"/>
      <c r="N588" s="1172"/>
      <c r="O588" s="1172"/>
      <c r="P588" s="1174"/>
      <c r="Q588" s="1175"/>
      <c r="R588" s="1172"/>
      <c r="S588" s="1172"/>
      <c r="T588" s="1172"/>
      <c r="U588" s="1172"/>
      <c r="V588" s="1172"/>
      <c r="W588" s="1172"/>
      <c r="X588" s="1176"/>
    </row>
    <row r="589" spans="1:24" ht="27" customHeight="1" x14ac:dyDescent="0.2">
      <c r="A589" s="2089"/>
      <c r="B589" s="2055"/>
      <c r="C589" s="2057"/>
      <c r="D589" s="1177" t="s">
        <v>197</v>
      </c>
      <c r="E589" s="1374" t="s">
        <v>1288</v>
      </c>
      <c r="F589" s="1374" t="s">
        <v>535</v>
      </c>
      <c r="G589" s="1178" t="s">
        <v>1829</v>
      </c>
      <c r="H589" s="1172"/>
      <c r="I589" s="1172"/>
      <c r="J589" s="1172"/>
      <c r="K589" s="1172"/>
      <c r="L589" s="1173"/>
      <c r="M589" s="1172"/>
      <c r="N589" s="1172"/>
      <c r="O589" s="1172"/>
      <c r="P589" s="1174">
        <v>431800</v>
      </c>
      <c r="Q589" s="1175"/>
      <c r="R589" s="1172"/>
      <c r="S589" s="1172"/>
      <c r="T589" s="1172"/>
      <c r="U589" s="1172"/>
      <c r="V589" s="1172"/>
      <c r="W589" s="1172"/>
      <c r="X589" s="1176"/>
    </row>
    <row r="590" spans="1:24" ht="24.75" customHeight="1" x14ac:dyDescent="0.2">
      <c r="A590" s="2088" t="s">
        <v>1684</v>
      </c>
      <c r="B590" s="2054" t="s">
        <v>2612</v>
      </c>
      <c r="C590" s="2056" t="s">
        <v>2638</v>
      </c>
      <c r="D590" s="1177" t="s">
        <v>195</v>
      </c>
      <c r="E590" s="1374" t="s">
        <v>74</v>
      </c>
      <c r="F590" s="1374" t="s">
        <v>1870</v>
      </c>
      <c r="G590" s="1178" t="s">
        <v>1828</v>
      </c>
      <c r="H590" s="1172"/>
      <c r="I590" s="1172"/>
      <c r="J590" s="1172"/>
      <c r="K590" s="1172"/>
      <c r="L590" s="1173">
        <v>-5080000</v>
      </c>
      <c r="M590" s="1172"/>
      <c r="N590" s="1172"/>
      <c r="O590" s="1172"/>
      <c r="P590" s="1174"/>
      <c r="Q590" s="1175"/>
      <c r="R590" s="1172"/>
      <c r="S590" s="1172"/>
      <c r="T590" s="1172"/>
      <c r="U590" s="1172"/>
      <c r="V590" s="1172"/>
      <c r="W590" s="1172"/>
      <c r="X590" s="1176"/>
    </row>
    <row r="591" spans="1:24" ht="24.75" customHeight="1" x14ac:dyDescent="0.2">
      <c r="A591" s="2089"/>
      <c r="B591" s="2055"/>
      <c r="C591" s="2057"/>
      <c r="D591" s="1177" t="s">
        <v>188</v>
      </c>
      <c r="E591" s="1374" t="s">
        <v>620</v>
      </c>
      <c r="F591" s="1374" t="s">
        <v>1857</v>
      </c>
      <c r="G591" s="1178" t="s">
        <v>1829</v>
      </c>
      <c r="H591" s="1172"/>
      <c r="I591" s="1172"/>
      <c r="J591" s="1172">
        <f>4000000+1080000</f>
        <v>5080000</v>
      </c>
      <c r="K591" s="1172"/>
      <c r="L591" s="1173"/>
      <c r="M591" s="1172"/>
      <c r="N591" s="1172"/>
      <c r="O591" s="1172"/>
      <c r="P591" s="1174"/>
      <c r="Q591" s="1175"/>
      <c r="R591" s="1172"/>
      <c r="S591" s="1172"/>
      <c r="T591" s="1172"/>
      <c r="U591" s="1172"/>
      <c r="V591" s="1172"/>
      <c r="W591" s="1172"/>
      <c r="X591" s="1176"/>
    </row>
    <row r="592" spans="1:24" ht="36" customHeight="1" x14ac:dyDescent="0.2">
      <c r="A592" s="2088" t="s">
        <v>1685</v>
      </c>
      <c r="B592" s="2054" t="s">
        <v>2613</v>
      </c>
      <c r="C592" s="2056" t="s">
        <v>2614</v>
      </c>
      <c r="D592" s="1177" t="s">
        <v>195</v>
      </c>
      <c r="E592" s="1374" t="s">
        <v>74</v>
      </c>
      <c r="F592" s="1374" t="s">
        <v>1870</v>
      </c>
      <c r="G592" s="1178" t="s">
        <v>1828</v>
      </c>
      <c r="H592" s="1172"/>
      <c r="I592" s="1172"/>
      <c r="J592" s="1172"/>
      <c r="K592" s="1172"/>
      <c r="L592" s="1173">
        <v>-252603</v>
      </c>
      <c r="M592" s="1172"/>
      <c r="N592" s="1172"/>
      <c r="O592" s="1172"/>
      <c r="P592" s="1174"/>
      <c r="Q592" s="1175"/>
      <c r="R592" s="1172"/>
      <c r="S592" s="1172"/>
      <c r="T592" s="1172"/>
      <c r="U592" s="1172"/>
      <c r="V592" s="1172"/>
      <c r="W592" s="1172"/>
      <c r="X592" s="1176"/>
    </row>
    <row r="593" spans="1:24" ht="36" customHeight="1" x14ac:dyDescent="0.2">
      <c r="A593" s="2089"/>
      <c r="B593" s="2055"/>
      <c r="C593" s="2057"/>
      <c r="D593" s="1177" t="s">
        <v>193</v>
      </c>
      <c r="E593" s="1374" t="s">
        <v>1502</v>
      </c>
      <c r="F593" s="1374" t="s">
        <v>1501</v>
      </c>
      <c r="G593" s="1178" t="s">
        <v>1829</v>
      </c>
      <c r="H593" s="1172"/>
      <c r="I593" s="1172"/>
      <c r="J593" s="1172"/>
      <c r="K593" s="1172"/>
      <c r="L593" s="1173"/>
      <c r="M593" s="1172">
        <f>198900+53703</f>
        <v>252603</v>
      </c>
      <c r="N593" s="1172"/>
      <c r="O593" s="1172"/>
      <c r="P593" s="1174"/>
      <c r="Q593" s="1175"/>
      <c r="R593" s="1172"/>
      <c r="S593" s="1172"/>
      <c r="T593" s="1172"/>
      <c r="U593" s="1172"/>
      <c r="V593" s="1172"/>
      <c r="W593" s="1172"/>
      <c r="X593" s="1176"/>
    </row>
    <row r="594" spans="1:24" ht="52.5" customHeight="1" x14ac:dyDescent="0.2">
      <c r="A594" s="1545" t="s">
        <v>1686</v>
      </c>
      <c r="B594" s="1313" t="s">
        <v>2616</v>
      </c>
      <c r="C594" s="1492" t="s">
        <v>2617</v>
      </c>
      <c r="D594" s="1177" t="s">
        <v>188</v>
      </c>
      <c r="E594" s="1374" t="s">
        <v>1868</v>
      </c>
      <c r="F594" s="1374" t="s">
        <v>1867</v>
      </c>
      <c r="G594" s="1178" t="s">
        <v>1837</v>
      </c>
      <c r="H594" s="1172"/>
      <c r="I594" s="1172"/>
      <c r="J594" s="1172">
        <f>-700000+700000</f>
        <v>0</v>
      </c>
      <c r="K594" s="1172"/>
      <c r="L594" s="1173"/>
      <c r="M594" s="1172"/>
      <c r="N594" s="1172"/>
      <c r="O594" s="1172"/>
      <c r="P594" s="1174"/>
      <c r="Q594" s="1175"/>
      <c r="R594" s="1172"/>
      <c r="S594" s="1172"/>
      <c r="T594" s="1172"/>
      <c r="U594" s="1172"/>
      <c r="V594" s="1172"/>
      <c r="W594" s="1172"/>
      <c r="X594" s="1176"/>
    </row>
    <row r="595" spans="1:24" ht="23.25" customHeight="1" x14ac:dyDescent="0.2">
      <c r="A595" s="2088" t="s">
        <v>1687</v>
      </c>
      <c r="B595" s="2054" t="s">
        <v>2618</v>
      </c>
      <c r="C595" s="2056" t="s">
        <v>2619</v>
      </c>
      <c r="D595" s="1177" t="s">
        <v>188</v>
      </c>
      <c r="E595" s="1374" t="s">
        <v>1985</v>
      </c>
      <c r="F595" s="1374" t="s">
        <v>1984</v>
      </c>
      <c r="G595" s="1178" t="s">
        <v>1828</v>
      </c>
      <c r="H595" s="1172"/>
      <c r="I595" s="1172"/>
      <c r="J595" s="1172">
        <v>-175000</v>
      </c>
      <c r="K595" s="1172"/>
      <c r="L595" s="1173"/>
      <c r="M595" s="1172"/>
      <c r="N595" s="1172"/>
      <c r="O595" s="1172"/>
      <c r="P595" s="1174"/>
      <c r="Q595" s="1175"/>
      <c r="R595" s="1172"/>
      <c r="S595" s="1172"/>
      <c r="T595" s="1172"/>
      <c r="U595" s="1172"/>
      <c r="V595" s="1172"/>
      <c r="W595" s="1172"/>
      <c r="X595" s="1176"/>
    </row>
    <row r="596" spans="1:24" ht="23.25" customHeight="1" x14ac:dyDescent="0.2">
      <c r="A596" s="2089"/>
      <c r="B596" s="2055"/>
      <c r="C596" s="2057"/>
      <c r="D596" s="1177" t="s">
        <v>193</v>
      </c>
      <c r="E596" s="1374" t="s">
        <v>1985</v>
      </c>
      <c r="F596" s="1374" t="s">
        <v>1984</v>
      </c>
      <c r="G596" s="1178" t="s">
        <v>1829</v>
      </c>
      <c r="H596" s="1172"/>
      <c r="I596" s="1172"/>
      <c r="J596" s="1172"/>
      <c r="K596" s="1172"/>
      <c r="L596" s="1173"/>
      <c r="M596" s="1172">
        <v>175000</v>
      </c>
      <c r="N596" s="1172"/>
      <c r="O596" s="1172"/>
      <c r="P596" s="1174"/>
      <c r="Q596" s="1175"/>
      <c r="R596" s="1172"/>
      <c r="S596" s="1172"/>
      <c r="T596" s="1172"/>
      <c r="U596" s="1172"/>
      <c r="V596" s="1172"/>
      <c r="W596" s="1172"/>
      <c r="X596" s="1176"/>
    </row>
    <row r="597" spans="1:24" ht="39" customHeight="1" x14ac:dyDescent="0.2">
      <c r="A597" s="1545" t="s">
        <v>1688</v>
      </c>
      <c r="B597" s="1313" t="s">
        <v>2620</v>
      </c>
      <c r="C597" s="1492" t="s">
        <v>2621</v>
      </c>
      <c r="D597" s="1177" t="s">
        <v>188</v>
      </c>
      <c r="E597" s="1374" t="s">
        <v>64</v>
      </c>
      <c r="F597" s="1374" t="s">
        <v>526</v>
      </c>
      <c r="G597" s="1178" t="s">
        <v>1829</v>
      </c>
      <c r="H597" s="1172"/>
      <c r="I597" s="1172"/>
      <c r="J597" s="1172">
        <f>231495+62505</f>
        <v>294000</v>
      </c>
      <c r="K597" s="1172"/>
      <c r="L597" s="1173"/>
      <c r="M597" s="1172"/>
      <c r="N597" s="1172"/>
      <c r="O597" s="1172"/>
      <c r="P597" s="1174"/>
      <c r="Q597" s="1175"/>
      <c r="R597" s="1172"/>
      <c r="S597" s="1172"/>
      <c r="T597" s="1172">
        <f>231495+62505</f>
        <v>294000</v>
      </c>
      <c r="U597" s="1172"/>
      <c r="V597" s="1172"/>
      <c r="W597" s="1172"/>
      <c r="X597" s="1176"/>
    </row>
    <row r="598" spans="1:24" ht="39" customHeight="1" x14ac:dyDescent="0.2">
      <c r="A598" s="1545" t="s">
        <v>1689</v>
      </c>
      <c r="B598" s="1313" t="s">
        <v>2622</v>
      </c>
      <c r="C598" s="1492" t="s">
        <v>2623</v>
      </c>
      <c r="D598" s="1177" t="s">
        <v>188</v>
      </c>
      <c r="E598" s="1374" t="s">
        <v>64</v>
      </c>
      <c r="F598" s="1374" t="s">
        <v>526</v>
      </c>
      <c r="G598" s="1178" t="s">
        <v>1837</v>
      </c>
      <c r="H598" s="1172">
        <f>-70000+70000</f>
        <v>0</v>
      </c>
      <c r="I598" s="1172"/>
      <c r="J598" s="1172"/>
      <c r="K598" s="1172"/>
      <c r="L598" s="1173"/>
      <c r="M598" s="1172"/>
      <c r="N598" s="1172"/>
      <c r="O598" s="1172"/>
      <c r="P598" s="1174"/>
      <c r="Q598" s="1175"/>
      <c r="R598" s="1172"/>
      <c r="S598" s="1172"/>
      <c r="T598" s="1172"/>
      <c r="U598" s="1172"/>
      <c r="V598" s="1172"/>
      <c r="W598" s="1172"/>
      <c r="X598" s="1176"/>
    </row>
    <row r="599" spans="1:24" ht="24" customHeight="1" x14ac:dyDescent="0.2">
      <c r="A599" s="2088" t="s">
        <v>1690</v>
      </c>
      <c r="B599" s="2054" t="s">
        <v>2624</v>
      </c>
      <c r="C599" s="2056" t="s">
        <v>2625</v>
      </c>
      <c r="D599" s="1177" t="s">
        <v>188</v>
      </c>
      <c r="E599" s="1374" t="s">
        <v>131</v>
      </c>
      <c r="F599" s="1374" t="s">
        <v>154</v>
      </c>
      <c r="G599" s="1178" t="s">
        <v>1829</v>
      </c>
      <c r="H599" s="1172"/>
      <c r="I599" s="1172"/>
      <c r="J599" s="1172"/>
      <c r="K599" s="1172"/>
      <c r="L599" s="1173"/>
      <c r="M599" s="1172"/>
      <c r="N599" s="1172"/>
      <c r="O599" s="1172"/>
      <c r="P599" s="1174"/>
      <c r="Q599" s="1175"/>
      <c r="R599" s="1172"/>
      <c r="S599" s="1172"/>
      <c r="T599" s="1172">
        <v>40280</v>
      </c>
      <c r="U599" s="1172"/>
      <c r="V599" s="1172"/>
      <c r="W599" s="1172"/>
      <c r="X599" s="1176"/>
    </row>
    <row r="600" spans="1:24" ht="24" customHeight="1" x14ac:dyDescent="0.2">
      <c r="A600" s="2089"/>
      <c r="B600" s="2055"/>
      <c r="C600" s="2057"/>
      <c r="D600" s="1177" t="s">
        <v>195</v>
      </c>
      <c r="E600" s="1374" t="s">
        <v>74</v>
      </c>
      <c r="F600" s="1374" t="s">
        <v>1870</v>
      </c>
      <c r="G600" s="1178" t="s">
        <v>1829</v>
      </c>
      <c r="H600" s="1172"/>
      <c r="I600" s="1172"/>
      <c r="J600" s="1172"/>
      <c r="K600" s="1172"/>
      <c r="L600" s="1173">
        <v>40280</v>
      </c>
      <c r="M600" s="1172"/>
      <c r="N600" s="1172"/>
      <c r="O600" s="1172"/>
      <c r="P600" s="1174"/>
      <c r="Q600" s="1175"/>
      <c r="R600" s="1172"/>
      <c r="S600" s="1172"/>
      <c r="T600" s="1172"/>
      <c r="U600" s="1172"/>
      <c r="V600" s="1172"/>
      <c r="W600" s="1172"/>
      <c r="X600" s="1176"/>
    </row>
    <row r="601" spans="1:24" ht="28.5" customHeight="1" x14ac:dyDescent="0.2">
      <c r="A601" s="2088" t="s">
        <v>1691</v>
      </c>
      <c r="B601" s="2054" t="s">
        <v>2626</v>
      </c>
      <c r="C601" s="2056" t="s">
        <v>2627</v>
      </c>
      <c r="D601" s="1177" t="s">
        <v>198</v>
      </c>
      <c r="E601" s="1374" t="s">
        <v>1375</v>
      </c>
      <c r="F601" s="1374" t="s">
        <v>1878</v>
      </c>
      <c r="G601" s="1178" t="s">
        <v>1829</v>
      </c>
      <c r="H601" s="1172"/>
      <c r="I601" s="1172"/>
      <c r="J601" s="1172"/>
      <c r="K601" s="1172"/>
      <c r="L601" s="1173"/>
      <c r="M601" s="1172"/>
      <c r="N601" s="1172"/>
      <c r="O601" s="1172"/>
      <c r="P601" s="1174"/>
      <c r="Q601" s="1175">
        <v>2497867</v>
      </c>
      <c r="R601" s="1172"/>
      <c r="S601" s="1172"/>
      <c r="T601" s="1172"/>
      <c r="U601" s="1172"/>
      <c r="V601" s="1172"/>
      <c r="W601" s="1172"/>
      <c r="X601" s="1176"/>
    </row>
    <row r="602" spans="1:24" ht="28.5" customHeight="1" x14ac:dyDescent="0.2">
      <c r="A602" s="2089"/>
      <c r="B602" s="2055"/>
      <c r="C602" s="2057"/>
      <c r="D602" s="1177" t="s">
        <v>195</v>
      </c>
      <c r="E602" s="1374" t="s">
        <v>74</v>
      </c>
      <c r="F602" s="1374" t="s">
        <v>1870</v>
      </c>
      <c r="G602" s="1178" t="s">
        <v>1829</v>
      </c>
      <c r="H602" s="1172"/>
      <c r="I602" s="1172"/>
      <c r="J602" s="1172"/>
      <c r="K602" s="1172"/>
      <c r="L602" s="1173">
        <v>2497867</v>
      </c>
      <c r="M602" s="1172"/>
      <c r="N602" s="1172"/>
      <c r="O602" s="1172"/>
      <c r="P602" s="1174"/>
      <c r="Q602" s="1175"/>
      <c r="R602" s="1172"/>
      <c r="S602" s="1172"/>
      <c r="T602" s="1172"/>
      <c r="U602" s="1172"/>
      <c r="V602" s="1172"/>
      <c r="W602" s="1172"/>
      <c r="X602" s="1176"/>
    </row>
    <row r="603" spans="1:24" ht="32.25" customHeight="1" x14ac:dyDescent="0.2">
      <c r="A603" s="1545"/>
      <c r="B603" s="1313"/>
      <c r="C603" s="1492" t="s">
        <v>2302</v>
      </c>
      <c r="D603" s="1177" t="s">
        <v>197</v>
      </c>
      <c r="E603" s="1374" t="s">
        <v>1288</v>
      </c>
      <c r="F603" s="1374" t="s">
        <v>535</v>
      </c>
      <c r="G603" s="1178" t="s">
        <v>1837</v>
      </c>
      <c r="H603" s="1172"/>
      <c r="I603" s="1172"/>
      <c r="J603" s="1172"/>
      <c r="K603" s="1172"/>
      <c r="L603" s="1173"/>
      <c r="M603" s="1172"/>
      <c r="N603" s="1172"/>
      <c r="O603" s="1172"/>
      <c r="P603" s="1174">
        <f>-254000+254000</f>
        <v>0</v>
      </c>
      <c r="Q603" s="1175"/>
      <c r="R603" s="1172"/>
      <c r="S603" s="1172"/>
      <c r="T603" s="1172"/>
      <c r="U603" s="1172"/>
      <c r="V603" s="1172"/>
      <c r="W603" s="1172"/>
      <c r="X603" s="1176"/>
    </row>
    <row r="604" spans="1:24" ht="18.75" x14ac:dyDescent="0.3">
      <c r="A604" s="2082" t="s">
        <v>1749</v>
      </c>
      <c r="B604" s="2083"/>
      <c r="C604" s="2084"/>
      <c r="D604" s="1179"/>
      <c r="E604" s="1179"/>
      <c r="F604" s="1179"/>
      <c r="G604" s="1179"/>
      <c r="H604" s="1365">
        <f t="shared" ref="H604:X604" si="1">SUM(H272:H603)+H258</f>
        <v>34932780</v>
      </c>
      <c r="I604" s="1365">
        <f t="shared" si="1"/>
        <v>4478045</v>
      </c>
      <c r="J604" s="1365">
        <f t="shared" si="1"/>
        <v>485323040</v>
      </c>
      <c r="K604" s="1365">
        <f t="shared" si="1"/>
        <v>0</v>
      </c>
      <c r="L604" s="1365">
        <f t="shared" si="1"/>
        <v>-224674474</v>
      </c>
      <c r="M604" s="1365">
        <f t="shared" si="1"/>
        <v>582794822</v>
      </c>
      <c r="N604" s="1365">
        <f t="shared" si="1"/>
        <v>145244206</v>
      </c>
      <c r="O604" s="1365">
        <f t="shared" si="1"/>
        <v>8948750</v>
      </c>
      <c r="P604" s="1366">
        <f t="shared" si="1"/>
        <v>335818934</v>
      </c>
      <c r="Q604" s="1367">
        <f t="shared" si="1"/>
        <v>295540831</v>
      </c>
      <c r="R604" s="1365">
        <f t="shared" si="1"/>
        <v>314960630</v>
      </c>
      <c r="S604" s="1365">
        <f t="shared" si="1"/>
        <v>21012245</v>
      </c>
      <c r="T604" s="1365">
        <f t="shared" si="1"/>
        <v>95497503</v>
      </c>
      <c r="U604" s="1365">
        <f t="shared" si="1"/>
        <v>700000</v>
      </c>
      <c r="V604" s="1365">
        <f t="shared" si="1"/>
        <v>0</v>
      </c>
      <c r="W604" s="1365">
        <f t="shared" si="1"/>
        <v>968750</v>
      </c>
      <c r="X604" s="1366">
        <f t="shared" si="1"/>
        <v>644186144</v>
      </c>
    </row>
    <row r="605" spans="1:24" ht="15" customHeight="1" x14ac:dyDescent="0.2">
      <c r="A605" s="1144"/>
      <c r="B605" s="1144"/>
      <c r="C605" s="1183"/>
      <c r="D605" s="1184"/>
      <c r="E605" s="1184"/>
      <c r="F605" s="1184"/>
      <c r="G605" s="1184"/>
      <c r="H605" s="1185"/>
      <c r="I605" s="1185"/>
      <c r="J605" s="1185"/>
      <c r="K605" s="1185"/>
      <c r="L605" s="1185"/>
      <c r="M605" s="1185"/>
      <c r="N605" s="1185"/>
      <c r="O605" s="1185"/>
      <c r="P605" s="1185"/>
      <c r="Q605" s="1185"/>
      <c r="R605" s="1185"/>
      <c r="S605" s="1185"/>
      <c r="T605" s="1185"/>
      <c r="U605" s="1185"/>
      <c r="V605" s="1185"/>
      <c r="W605" s="1185"/>
      <c r="X605" s="1185"/>
    </row>
    <row r="606" spans="1:24" ht="17.25" customHeight="1" x14ac:dyDescent="0.2">
      <c r="A606" s="1144"/>
      <c r="B606" s="1144"/>
      <c r="C606" s="1183"/>
      <c r="D606" s="1184"/>
      <c r="E606" s="1184"/>
      <c r="F606" s="1184"/>
      <c r="G606" s="1184"/>
      <c r="H606" s="1185"/>
      <c r="I606" s="1185"/>
      <c r="J606" s="1185"/>
      <c r="K606" s="1185"/>
      <c r="L606" s="1185"/>
      <c r="M606" s="1185"/>
      <c r="N606" s="1185"/>
      <c r="O606" s="1185"/>
      <c r="P606" s="1185"/>
      <c r="Q606" s="1185"/>
      <c r="R606" s="1185"/>
      <c r="S606" s="1185"/>
      <c r="T606" s="1185"/>
      <c r="U606" s="1185"/>
      <c r="V606" s="1185"/>
      <c r="W606" s="1185"/>
      <c r="X606" s="1185"/>
    </row>
    <row r="607" spans="1:24" ht="15" x14ac:dyDescent="0.2">
      <c r="A607" s="1186"/>
      <c r="B607" s="1186"/>
      <c r="C607" s="1187"/>
      <c r="D607" s="1188"/>
      <c r="E607" s="1188"/>
      <c r="F607" s="1188"/>
      <c r="G607" s="1188"/>
      <c r="H607" s="1189"/>
      <c r="I607" s="1189"/>
      <c r="J607" s="1189"/>
      <c r="K607" s="1189"/>
      <c r="L607" s="1189"/>
      <c r="M607" s="1189"/>
      <c r="N607" s="1189"/>
      <c r="O607" s="1189"/>
      <c r="P607" s="1189"/>
      <c r="Q607" s="1189"/>
      <c r="R607" s="1189"/>
      <c r="S607" s="1189"/>
      <c r="T607" s="1189"/>
      <c r="U607" s="1189"/>
      <c r="V607" s="1189"/>
      <c r="W607" s="1189"/>
      <c r="X607" s="1189"/>
    </row>
    <row r="608" spans="1:24" ht="21.75" customHeight="1" x14ac:dyDescent="0.2">
      <c r="A608" s="1186"/>
      <c r="B608" s="1186"/>
      <c r="C608" s="1187"/>
      <c r="D608" s="1188"/>
      <c r="E608" s="1188"/>
      <c r="F608" s="1188"/>
      <c r="G608" s="1188"/>
      <c r="H608" s="1189"/>
      <c r="I608" s="1189"/>
      <c r="J608" s="1189"/>
      <c r="K608" s="1189"/>
      <c r="L608" s="1189"/>
      <c r="M608" s="1189"/>
      <c r="N608" s="1189"/>
      <c r="O608" s="1189"/>
      <c r="P608" s="1189"/>
      <c r="Q608" s="1189"/>
      <c r="R608" s="1189"/>
      <c r="S608" s="1189"/>
      <c r="T608" s="1189"/>
      <c r="U608" s="1189"/>
      <c r="V608" s="1189"/>
      <c r="W608" s="1189"/>
      <c r="X608" s="1189"/>
    </row>
    <row r="609" spans="1:24" ht="22.5" customHeight="1" x14ac:dyDescent="0.25">
      <c r="A609" s="1190"/>
      <c r="B609" s="1190"/>
      <c r="C609" s="1191"/>
      <c r="D609" s="1192"/>
      <c r="E609" s="1192"/>
      <c r="F609" s="1192"/>
      <c r="G609" s="1192"/>
      <c r="H609" s="1193"/>
      <c r="I609" s="2066" t="s">
        <v>1750</v>
      </c>
      <c r="J609" s="2066"/>
      <c r="K609" s="2066"/>
      <c r="L609" s="2066">
        <v>10895463186</v>
      </c>
      <c r="M609" s="2066"/>
      <c r="N609" s="1193"/>
      <c r="O609" s="1193"/>
      <c r="P609" s="1193"/>
      <c r="Q609" s="1193"/>
      <c r="R609" s="2066" t="s">
        <v>1751</v>
      </c>
      <c r="S609" s="2066"/>
      <c r="T609" s="2066"/>
      <c r="U609" s="2066">
        <v>10895463186</v>
      </c>
      <c r="V609" s="2066"/>
      <c r="W609" s="1193"/>
      <c r="X609" s="1193"/>
    </row>
    <row r="610" spans="1:24" ht="23.25" customHeight="1" x14ac:dyDescent="0.25">
      <c r="A610" s="1190"/>
      <c r="B610" s="1190"/>
      <c r="C610" s="1191"/>
      <c r="D610" s="1192"/>
      <c r="E610" s="1192"/>
      <c r="F610" s="1192"/>
      <c r="G610" s="1192"/>
      <c r="H610" s="1193"/>
      <c r="I610" s="2066" t="s">
        <v>3474</v>
      </c>
      <c r="J610" s="2066"/>
      <c r="K610" s="2066"/>
      <c r="L610" s="2066">
        <f>SUM(H605:P605)</f>
        <v>0</v>
      </c>
      <c r="M610" s="2066"/>
      <c r="N610" s="1193"/>
      <c r="O610" s="1193"/>
      <c r="P610" s="1193"/>
      <c r="Q610" s="1193"/>
      <c r="R610" s="2066" t="s">
        <v>3474</v>
      </c>
      <c r="S610" s="2066"/>
      <c r="T610" s="2066"/>
      <c r="U610" s="2066">
        <f>SUM(Q605:X605)</f>
        <v>0</v>
      </c>
      <c r="V610" s="2066"/>
      <c r="W610" s="1193"/>
      <c r="X610" s="1193"/>
    </row>
    <row r="611" spans="1:24" ht="23.25" customHeight="1" x14ac:dyDescent="0.25">
      <c r="A611" s="1190"/>
      <c r="B611" s="1190"/>
      <c r="C611" s="1191"/>
      <c r="D611" s="1192"/>
      <c r="E611" s="1192"/>
      <c r="F611" s="1192"/>
      <c r="G611" s="1192"/>
      <c r="H611" s="1193"/>
      <c r="I611" s="2066" t="s">
        <v>1561</v>
      </c>
      <c r="J611" s="2066"/>
      <c r="K611" s="2066"/>
      <c r="L611" s="2066">
        <f>+L609+L610</f>
        <v>10895463186</v>
      </c>
      <c r="M611" s="2066"/>
      <c r="N611" s="1193"/>
      <c r="O611" s="1193"/>
      <c r="P611" s="1193"/>
      <c r="Q611" s="1193"/>
      <c r="R611" s="2066" t="s">
        <v>1561</v>
      </c>
      <c r="S611" s="2066"/>
      <c r="T611" s="2066"/>
      <c r="U611" s="2066">
        <f>+U609+U610</f>
        <v>10895463186</v>
      </c>
      <c r="V611" s="2066"/>
      <c r="W611" s="1193"/>
      <c r="X611" s="1193"/>
    </row>
    <row r="612" spans="1:24" x14ac:dyDescent="0.2">
      <c r="A612" s="348"/>
      <c r="B612" s="348"/>
      <c r="C612" s="348"/>
      <c r="D612" s="348"/>
      <c r="E612" s="348"/>
      <c r="F612" s="348"/>
      <c r="G612" s="348"/>
      <c r="H612" s="348"/>
      <c r="I612" s="348"/>
      <c r="J612" s="348"/>
      <c r="K612" s="348"/>
      <c r="L612" s="348"/>
      <c r="M612" s="348"/>
      <c r="N612" s="348"/>
      <c r="O612" s="348"/>
      <c r="P612" s="348"/>
      <c r="Q612" s="348"/>
      <c r="R612" s="348"/>
      <c r="S612" s="348"/>
      <c r="T612" s="348"/>
      <c r="U612" s="348"/>
      <c r="V612" s="348"/>
      <c r="W612" s="348"/>
      <c r="X612" s="348"/>
    </row>
    <row r="613" spans="1:24" x14ac:dyDescent="0.2">
      <c r="A613" s="348"/>
      <c r="B613" s="348"/>
      <c r="C613" s="348"/>
      <c r="D613" s="348"/>
      <c r="E613" s="348"/>
      <c r="F613" s="348"/>
      <c r="G613" s="348"/>
      <c r="H613" s="348"/>
      <c r="I613" s="348"/>
      <c r="J613" s="348"/>
      <c r="K613" s="348"/>
      <c r="L613" s="348"/>
      <c r="M613" s="348"/>
      <c r="N613" s="348"/>
      <c r="O613" s="348"/>
      <c r="P613" s="348"/>
      <c r="Q613" s="348"/>
      <c r="R613" s="348"/>
      <c r="S613" s="348"/>
      <c r="T613" s="348"/>
      <c r="U613" s="348"/>
      <c r="V613" s="348"/>
      <c r="W613" s="348"/>
      <c r="X613" s="348"/>
    </row>
    <row r="614" spans="1:24" x14ac:dyDescent="0.2">
      <c r="A614" s="348"/>
      <c r="B614" s="348"/>
      <c r="C614" s="348"/>
      <c r="D614" s="348"/>
      <c r="E614" s="348"/>
      <c r="F614" s="348"/>
      <c r="G614" s="348"/>
      <c r="H614" s="348"/>
      <c r="I614" s="348"/>
      <c r="J614" s="348"/>
      <c r="K614" s="348"/>
      <c r="L614" s="348"/>
      <c r="M614" s="348"/>
      <c r="N614" s="348"/>
      <c r="O614" s="348"/>
      <c r="P614" s="348"/>
      <c r="Q614" s="348"/>
      <c r="R614" s="348"/>
      <c r="S614" s="348"/>
      <c r="T614" s="348"/>
      <c r="U614" s="348"/>
      <c r="V614" s="348"/>
      <c r="W614" s="348"/>
      <c r="X614" s="348"/>
    </row>
    <row r="615" spans="1:24" x14ac:dyDescent="0.2">
      <c r="A615" s="348"/>
      <c r="B615" s="348"/>
      <c r="C615" s="348"/>
      <c r="D615" s="348"/>
      <c r="E615" s="348"/>
      <c r="F615" s="348"/>
      <c r="G615" s="348"/>
      <c r="H615" s="348"/>
      <c r="I615" s="348"/>
      <c r="J615" s="348"/>
      <c r="K615" s="348"/>
      <c r="L615" s="348"/>
      <c r="M615" s="348"/>
      <c r="N615" s="348"/>
      <c r="O615" s="348"/>
      <c r="P615" s="348"/>
      <c r="Q615" s="348"/>
      <c r="R615" s="348"/>
      <c r="S615" s="348"/>
      <c r="T615" s="348"/>
      <c r="U615" s="348"/>
      <c r="V615" s="348"/>
      <c r="W615" s="348"/>
      <c r="X615" s="348"/>
    </row>
    <row r="616" spans="1:24" ht="12.75" customHeight="1" x14ac:dyDescent="0.25">
      <c r="A616" s="2069" t="s">
        <v>2824</v>
      </c>
      <c r="B616" s="2069"/>
      <c r="C616" s="2069"/>
      <c r="D616" s="2069"/>
      <c r="E616" s="2069"/>
      <c r="F616" s="2069"/>
      <c r="G616" s="2069"/>
      <c r="H616" s="2069"/>
      <c r="I616" s="2069"/>
      <c r="J616" s="2069"/>
      <c r="K616" s="2069"/>
      <c r="L616" s="2069"/>
      <c r="M616" s="2069"/>
      <c r="N616" s="2069"/>
      <c r="O616" s="2069"/>
      <c r="P616" s="2069"/>
      <c r="Q616" s="2069"/>
      <c r="R616" s="2069"/>
      <c r="S616" s="2069"/>
      <c r="T616" s="2069"/>
      <c r="U616" s="2069"/>
      <c r="V616" s="2069"/>
      <c r="W616" s="2069"/>
      <c r="X616" s="2069"/>
    </row>
    <row r="617" spans="1:24" ht="12.75" customHeight="1" x14ac:dyDescent="0.25">
      <c r="A617" s="1561"/>
      <c r="B617" s="1561"/>
      <c r="C617" s="1561"/>
      <c r="D617" s="1561"/>
      <c r="E617" s="1561"/>
      <c r="F617" s="1561"/>
      <c r="G617" s="1561"/>
      <c r="H617" s="1561"/>
      <c r="I617" s="1561"/>
      <c r="J617" s="1561"/>
      <c r="K617" s="1561"/>
      <c r="L617" s="1561"/>
      <c r="M617" s="1561"/>
      <c r="N617" s="1561"/>
      <c r="O617" s="1561"/>
      <c r="P617" s="1561"/>
      <c r="Q617" s="1561"/>
      <c r="R617" s="1561"/>
      <c r="S617" s="1561"/>
      <c r="T617" s="1561"/>
      <c r="U617" s="1561"/>
      <c r="V617" s="1561"/>
      <c r="W617" s="1561"/>
      <c r="X617" s="1561"/>
    </row>
    <row r="618" spans="1:24" ht="12.75" customHeight="1" x14ac:dyDescent="0.2">
      <c r="A618" s="1151"/>
      <c r="B618" s="1144"/>
      <c r="C618" s="1145"/>
      <c r="D618" s="1146"/>
      <c r="E618" s="1147"/>
      <c r="F618" s="1148"/>
      <c r="G618" s="1147"/>
      <c r="H618" s="1149"/>
      <c r="I618" s="1149"/>
      <c r="J618" s="1149"/>
      <c r="K618" s="1149"/>
      <c r="L618" s="1150"/>
      <c r="M618" s="1149"/>
      <c r="N618" s="1149"/>
      <c r="O618" s="1149"/>
      <c r="P618" s="1150"/>
      <c r="Q618" s="1149"/>
      <c r="R618" s="1149"/>
      <c r="S618" s="1149"/>
      <c r="T618" s="1149"/>
      <c r="U618" s="1149"/>
      <c r="V618" s="1149"/>
      <c r="W618" s="1149"/>
      <c r="X618" s="1152"/>
    </row>
    <row r="619" spans="1:24" ht="16.5" customHeight="1" x14ac:dyDescent="0.25">
      <c r="A619" s="2070" t="s">
        <v>37</v>
      </c>
      <c r="B619" s="2072" t="s">
        <v>1726</v>
      </c>
      <c r="C619" s="2074" t="s">
        <v>2</v>
      </c>
      <c r="D619" s="2076" t="s">
        <v>1727</v>
      </c>
      <c r="E619" s="2076" t="s">
        <v>117</v>
      </c>
      <c r="F619" s="2076" t="s">
        <v>1728</v>
      </c>
      <c r="G619" s="2076" t="s">
        <v>2643</v>
      </c>
      <c r="H619" s="2078" t="s">
        <v>1730</v>
      </c>
      <c r="I619" s="2078"/>
      <c r="J619" s="2078"/>
      <c r="K619" s="2078"/>
      <c r="L619" s="2078"/>
      <c r="M619" s="2078"/>
      <c r="N619" s="2078"/>
      <c r="O619" s="2079"/>
      <c r="P619" s="1464"/>
      <c r="Q619" s="2080" t="s">
        <v>1731</v>
      </c>
      <c r="R619" s="2078"/>
      <c r="S619" s="2078"/>
      <c r="T619" s="2078"/>
      <c r="U619" s="2078"/>
      <c r="V619" s="2078"/>
      <c r="W619" s="2078"/>
      <c r="X619" s="2081"/>
    </row>
    <row r="620" spans="1:24" ht="88.5" customHeight="1" x14ac:dyDescent="0.2">
      <c r="A620" s="2071"/>
      <c r="B620" s="2073"/>
      <c r="C620" s="2075"/>
      <c r="D620" s="2077"/>
      <c r="E620" s="2077"/>
      <c r="F620" s="2077"/>
      <c r="G620" s="2077"/>
      <c r="H620" s="1154" t="s">
        <v>1732</v>
      </c>
      <c r="I620" s="1155" t="s">
        <v>1733</v>
      </c>
      <c r="J620" s="1154" t="s">
        <v>1734</v>
      </c>
      <c r="K620" s="1154" t="s">
        <v>1735</v>
      </c>
      <c r="L620" s="1154" t="s">
        <v>1736</v>
      </c>
      <c r="M620" s="1154" t="s">
        <v>1737</v>
      </c>
      <c r="N620" s="1154" t="s">
        <v>1738</v>
      </c>
      <c r="O620" s="1156" t="s">
        <v>1739</v>
      </c>
      <c r="P620" s="1159" t="s">
        <v>1740</v>
      </c>
      <c r="Q620" s="1227" t="s">
        <v>1741</v>
      </c>
      <c r="R620" s="1155" t="s">
        <v>1742</v>
      </c>
      <c r="S620" s="1154" t="s">
        <v>1743</v>
      </c>
      <c r="T620" s="1154" t="s">
        <v>1744</v>
      </c>
      <c r="U620" s="1155" t="s">
        <v>1745</v>
      </c>
      <c r="V620" s="1155" t="s">
        <v>1746</v>
      </c>
      <c r="W620" s="1155" t="s">
        <v>1747</v>
      </c>
      <c r="X620" s="1159" t="s">
        <v>1748</v>
      </c>
    </row>
    <row r="621" spans="1:24" ht="33.75" customHeight="1" x14ac:dyDescent="0.2">
      <c r="A621" s="2086" t="s">
        <v>1692</v>
      </c>
      <c r="B621" s="2085" t="s">
        <v>2644</v>
      </c>
      <c r="C621" s="2056" t="s">
        <v>2645</v>
      </c>
      <c r="D621" s="1162" t="s">
        <v>195</v>
      </c>
      <c r="E621" s="1373" t="s">
        <v>74</v>
      </c>
      <c r="F621" s="1373" t="s">
        <v>1870</v>
      </c>
      <c r="G621" s="1163" t="s">
        <v>1828</v>
      </c>
      <c r="H621" s="1164"/>
      <c r="I621" s="1164"/>
      <c r="J621" s="1164"/>
      <c r="K621" s="1164"/>
      <c r="L621" s="1165">
        <v>-317500</v>
      </c>
      <c r="M621" s="1164"/>
      <c r="N621" s="1164"/>
      <c r="O621" s="1164"/>
      <c r="P621" s="1203"/>
      <c r="Q621" s="1463"/>
      <c r="R621" s="1164"/>
      <c r="S621" s="1164"/>
      <c r="T621" s="1164"/>
      <c r="U621" s="1164"/>
      <c r="V621" s="1164"/>
      <c r="W621" s="1164"/>
      <c r="X621" s="1168"/>
    </row>
    <row r="622" spans="1:24" ht="33.75" customHeight="1" x14ac:dyDescent="0.2">
      <c r="A622" s="2053"/>
      <c r="B622" s="2055"/>
      <c r="C622" s="2057"/>
      <c r="D622" s="1170" t="s">
        <v>194</v>
      </c>
      <c r="E622" s="1462" t="s">
        <v>1502</v>
      </c>
      <c r="F622" s="1462" t="s">
        <v>1501</v>
      </c>
      <c r="G622" s="1311" t="s">
        <v>1829</v>
      </c>
      <c r="H622" s="1172"/>
      <c r="I622" s="1172"/>
      <c r="J622" s="1172"/>
      <c r="K622" s="1172"/>
      <c r="L622" s="1173"/>
      <c r="M622" s="1172"/>
      <c r="N622" s="1172">
        <f>250000+67500</f>
        <v>317500</v>
      </c>
      <c r="O622" s="1172"/>
      <c r="P622" s="1174"/>
      <c r="Q622" s="1175"/>
      <c r="R622" s="1172"/>
      <c r="S622" s="1172"/>
      <c r="T622" s="1172"/>
      <c r="U622" s="1172"/>
      <c r="V622" s="1172"/>
      <c r="W622" s="1172"/>
      <c r="X622" s="1176"/>
    </row>
    <row r="623" spans="1:24" ht="33.75" customHeight="1" x14ac:dyDescent="0.2">
      <c r="A623" s="2052" t="s">
        <v>1693</v>
      </c>
      <c r="B623" s="2054" t="s">
        <v>2646</v>
      </c>
      <c r="C623" s="2056" t="s">
        <v>2647</v>
      </c>
      <c r="D623" s="1170" t="s">
        <v>195</v>
      </c>
      <c r="E623" s="1462" t="s">
        <v>74</v>
      </c>
      <c r="F623" s="1462" t="s">
        <v>1870</v>
      </c>
      <c r="G623" s="1311" t="s">
        <v>1828</v>
      </c>
      <c r="H623" s="1172"/>
      <c r="I623" s="1172"/>
      <c r="J623" s="1172"/>
      <c r="K623" s="1172"/>
      <c r="L623" s="1173">
        <v>-203200</v>
      </c>
      <c r="M623" s="1172"/>
      <c r="N623" s="1172"/>
      <c r="O623" s="1172"/>
      <c r="P623" s="1174"/>
      <c r="Q623" s="1175"/>
      <c r="R623" s="1172"/>
      <c r="S623" s="1172"/>
      <c r="T623" s="1172"/>
      <c r="U623" s="1172"/>
      <c r="V623" s="1172"/>
      <c r="W623" s="1172"/>
      <c r="X623" s="1176"/>
    </row>
    <row r="624" spans="1:24" ht="33.75" customHeight="1" x14ac:dyDescent="0.2">
      <c r="A624" s="2053"/>
      <c r="B624" s="2055"/>
      <c r="C624" s="2057"/>
      <c r="D624" s="1170" t="s">
        <v>193</v>
      </c>
      <c r="E624" s="1462" t="s">
        <v>545</v>
      </c>
      <c r="F624" s="1462" t="s">
        <v>831</v>
      </c>
      <c r="G624" s="1311" t="s">
        <v>1829</v>
      </c>
      <c r="H624" s="1172"/>
      <c r="I624" s="1172"/>
      <c r="J624" s="1172"/>
      <c r="K624" s="1172"/>
      <c r="L624" s="1173"/>
      <c r="M624" s="1172">
        <f>160000+43200</f>
        <v>203200</v>
      </c>
      <c r="N624" s="1172"/>
      <c r="O624" s="1172"/>
      <c r="P624" s="1174"/>
      <c r="Q624" s="1175"/>
      <c r="R624" s="1172"/>
      <c r="S624" s="1172"/>
      <c r="T624" s="1172"/>
      <c r="U624" s="1172"/>
      <c r="V624" s="1172"/>
      <c r="W624" s="1172"/>
      <c r="X624" s="1176"/>
    </row>
    <row r="625" spans="1:24" ht="20.25" customHeight="1" x14ac:dyDescent="0.2">
      <c r="A625" s="2052" t="s">
        <v>1694</v>
      </c>
      <c r="B625" s="2054" t="s">
        <v>2649</v>
      </c>
      <c r="C625" s="2056" t="s">
        <v>2650</v>
      </c>
      <c r="D625" s="1170" t="s">
        <v>195</v>
      </c>
      <c r="E625" s="1462" t="s">
        <v>74</v>
      </c>
      <c r="F625" s="1462" t="s">
        <v>1870</v>
      </c>
      <c r="G625" s="1311" t="s">
        <v>1828</v>
      </c>
      <c r="H625" s="1172"/>
      <c r="I625" s="1172"/>
      <c r="J625" s="1172"/>
      <c r="K625" s="1172"/>
      <c r="L625" s="1173">
        <v>-19011900</v>
      </c>
      <c r="M625" s="1172"/>
      <c r="N625" s="1172"/>
      <c r="O625" s="1172"/>
      <c r="P625" s="1174"/>
      <c r="Q625" s="1175"/>
      <c r="R625" s="1172"/>
      <c r="S625" s="1172"/>
      <c r="T625" s="1172"/>
      <c r="U625" s="1172"/>
      <c r="V625" s="1172"/>
      <c r="W625" s="1172"/>
      <c r="X625" s="1176"/>
    </row>
    <row r="626" spans="1:24" ht="20.25" customHeight="1" x14ac:dyDescent="0.2">
      <c r="A626" s="2053"/>
      <c r="B626" s="2055"/>
      <c r="C626" s="2057"/>
      <c r="D626" s="1170" t="s">
        <v>188</v>
      </c>
      <c r="E626" s="1462" t="s">
        <v>1980</v>
      </c>
      <c r="F626" s="1462" t="s">
        <v>1979</v>
      </c>
      <c r="G626" s="1311" t="s">
        <v>1829</v>
      </c>
      <c r="H626" s="1172"/>
      <c r="I626" s="1172"/>
      <c r="J626" s="1172">
        <f>14970000+4041900</f>
        <v>19011900</v>
      </c>
      <c r="K626" s="1172"/>
      <c r="L626" s="1173"/>
      <c r="M626" s="1172"/>
      <c r="N626" s="1172"/>
      <c r="O626" s="1172"/>
      <c r="P626" s="1174"/>
      <c r="Q626" s="1175"/>
      <c r="R626" s="1172"/>
      <c r="S626" s="1172"/>
      <c r="T626" s="1172"/>
      <c r="U626" s="1172"/>
      <c r="V626" s="1172"/>
      <c r="W626" s="1172"/>
      <c r="X626" s="1176"/>
    </row>
    <row r="627" spans="1:24" ht="27" customHeight="1" x14ac:dyDescent="0.2">
      <c r="A627" s="2052" t="s">
        <v>1695</v>
      </c>
      <c r="B627" s="2054" t="s">
        <v>2651</v>
      </c>
      <c r="C627" s="2056" t="s">
        <v>2652</v>
      </c>
      <c r="D627" s="1170" t="s">
        <v>195</v>
      </c>
      <c r="E627" s="1462" t="s">
        <v>74</v>
      </c>
      <c r="F627" s="1462" t="s">
        <v>1870</v>
      </c>
      <c r="G627" s="1311" t="s">
        <v>1828</v>
      </c>
      <c r="H627" s="1172"/>
      <c r="I627" s="1172"/>
      <c r="J627" s="1172"/>
      <c r="K627" s="1172"/>
      <c r="L627" s="1173">
        <v>-3707366</v>
      </c>
      <c r="M627" s="1172"/>
      <c r="N627" s="1172"/>
      <c r="O627" s="1172"/>
      <c r="P627" s="1174"/>
      <c r="Q627" s="1175"/>
      <c r="R627" s="1172"/>
      <c r="S627" s="1172"/>
      <c r="T627" s="1172"/>
      <c r="U627" s="1172"/>
      <c r="V627" s="1172"/>
      <c r="W627" s="1172"/>
      <c r="X627" s="1176"/>
    </row>
    <row r="628" spans="1:24" ht="27" customHeight="1" x14ac:dyDescent="0.2">
      <c r="A628" s="2053"/>
      <c r="B628" s="2055"/>
      <c r="C628" s="2057"/>
      <c r="D628" s="1170" t="s">
        <v>193</v>
      </c>
      <c r="E628" s="1462" t="s">
        <v>545</v>
      </c>
      <c r="F628" s="1462" t="s">
        <v>2435</v>
      </c>
      <c r="G628" s="1311" t="s">
        <v>1829</v>
      </c>
      <c r="H628" s="1172"/>
      <c r="I628" s="1172"/>
      <c r="J628" s="1172"/>
      <c r="K628" s="1172"/>
      <c r="L628" s="1173"/>
      <c r="M628" s="1172">
        <f>2919186+788180</f>
        <v>3707366</v>
      </c>
      <c r="N628" s="1172"/>
      <c r="O628" s="1172"/>
      <c r="P628" s="1174"/>
      <c r="Q628" s="1175"/>
      <c r="R628" s="1172"/>
      <c r="S628" s="1172"/>
      <c r="T628" s="1172"/>
      <c r="U628" s="1172"/>
      <c r="V628" s="1172"/>
      <c r="W628" s="1172"/>
      <c r="X628" s="1176"/>
    </row>
    <row r="629" spans="1:24" ht="26.25" customHeight="1" x14ac:dyDescent="0.2">
      <c r="A629" s="2052" t="s">
        <v>1696</v>
      </c>
      <c r="B629" s="2054" t="s">
        <v>2654</v>
      </c>
      <c r="C629" s="2056" t="s">
        <v>2655</v>
      </c>
      <c r="D629" s="1170" t="s">
        <v>193</v>
      </c>
      <c r="E629" s="1462" t="s">
        <v>813</v>
      </c>
      <c r="F629" s="1462" t="s">
        <v>1293</v>
      </c>
      <c r="G629" s="1311" t="s">
        <v>1828</v>
      </c>
      <c r="H629" s="1172"/>
      <c r="I629" s="1172"/>
      <c r="J629" s="1172"/>
      <c r="K629" s="1172"/>
      <c r="L629" s="1173"/>
      <c r="M629" s="1172">
        <f>-7073274-1909784</f>
        <v>-8983058</v>
      </c>
      <c r="N629" s="1172"/>
      <c r="O629" s="1172"/>
      <c r="P629" s="1174"/>
      <c r="Q629" s="1175"/>
      <c r="R629" s="1172"/>
      <c r="S629" s="1172"/>
      <c r="T629" s="1172"/>
      <c r="U629" s="1172"/>
      <c r="V629" s="1172"/>
      <c r="W629" s="1172"/>
      <c r="X629" s="1176"/>
    </row>
    <row r="630" spans="1:24" ht="26.25" customHeight="1" x14ac:dyDescent="0.2">
      <c r="A630" s="2053"/>
      <c r="B630" s="2055"/>
      <c r="C630" s="2057"/>
      <c r="D630" s="1170" t="s">
        <v>193</v>
      </c>
      <c r="E630" s="1462" t="s">
        <v>545</v>
      </c>
      <c r="F630" s="1462" t="s">
        <v>2435</v>
      </c>
      <c r="G630" s="1311" t="s">
        <v>1829</v>
      </c>
      <c r="H630" s="1172"/>
      <c r="I630" s="1172"/>
      <c r="J630" s="1172"/>
      <c r="K630" s="1172"/>
      <c r="L630" s="1173"/>
      <c r="M630" s="1172">
        <f>7073274+1909784</f>
        <v>8983058</v>
      </c>
      <c r="N630" s="1172"/>
      <c r="O630" s="1172"/>
      <c r="P630" s="1174"/>
      <c r="Q630" s="1175"/>
      <c r="R630" s="1172"/>
      <c r="S630" s="1172"/>
      <c r="T630" s="1172"/>
      <c r="U630" s="1172"/>
      <c r="V630" s="1172"/>
      <c r="W630" s="1172"/>
      <c r="X630" s="1176"/>
    </row>
    <row r="631" spans="1:24" ht="27.75" customHeight="1" x14ac:dyDescent="0.2">
      <c r="A631" s="2052" t="s">
        <v>1697</v>
      </c>
      <c r="B631" s="2054" t="s">
        <v>2656</v>
      </c>
      <c r="C631" s="2056" t="s">
        <v>2657</v>
      </c>
      <c r="D631" s="1170" t="s">
        <v>195</v>
      </c>
      <c r="E631" s="1462" t="s">
        <v>74</v>
      </c>
      <c r="F631" s="1462" t="s">
        <v>1870</v>
      </c>
      <c r="G631" s="1311" t="s">
        <v>1828</v>
      </c>
      <c r="H631" s="1172"/>
      <c r="I631" s="1172"/>
      <c r="J631" s="1172"/>
      <c r="K631" s="1172"/>
      <c r="L631" s="1173">
        <v>-135000</v>
      </c>
      <c r="M631" s="1172"/>
      <c r="N631" s="1172"/>
      <c r="O631" s="1172"/>
      <c r="P631" s="1174"/>
      <c r="Q631" s="1175"/>
      <c r="R631" s="1172"/>
      <c r="S631" s="1172"/>
      <c r="T631" s="1172"/>
      <c r="U631" s="1172"/>
      <c r="V631" s="1172"/>
      <c r="W631" s="1172"/>
      <c r="X631" s="1176"/>
    </row>
    <row r="632" spans="1:24" ht="27.75" customHeight="1" x14ac:dyDescent="0.2">
      <c r="A632" s="2053"/>
      <c r="B632" s="2055"/>
      <c r="C632" s="2057"/>
      <c r="D632" s="1170" t="s">
        <v>197</v>
      </c>
      <c r="E632" s="1462" t="s">
        <v>1288</v>
      </c>
      <c r="F632" s="1462" t="s">
        <v>535</v>
      </c>
      <c r="G632" s="1311" t="s">
        <v>1829</v>
      </c>
      <c r="H632" s="1172"/>
      <c r="I632" s="1172"/>
      <c r="J632" s="1172"/>
      <c r="K632" s="1172"/>
      <c r="L632" s="1173"/>
      <c r="M632" s="1172"/>
      <c r="N632" s="1172"/>
      <c r="O632" s="1172"/>
      <c r="P632" s="1174">
        <v>135000</v>
      </c>
      <c r="Q632" s="1175"/>
      <c r="R632" s="1172"/>
      <c r="S632" s="1172"/>
      <c r="T632" s="1172"/>
      <c r="U632" s="1172"/>
      <c r="V632" s="1172"/>
      <c r="W632" s="1172"/>
      <c r="X632" s="1176"/>
    </row>
    <row r="633" spans="1:24" ht="29.25" customHeight="1" x14ac:dyDescent="0.2">
      <c r="A633" s="2052" t="s">
        <v>1698</v>
      </c>
      <c r="B633" s="2054" t="s">
        <v>2659</v>
      </c>
      <c r="C633" s="2056" t="s">
        <v>2660</v>
      </c>
      <c r="D633" s="1170" t="s">
        <v>195</v>
      </c>
      <c r="E633" s="1462" t="s">
        <v>74</v>
      </c>
      <c r="F633" s="1462" t="s">
        <v>1870</v>
      </c>
      <c r="G633" s="1311" t="s">
        <v>1828</v>
      </c>
      <c r="H633" s="1172"/>
      <c r="I633" s="1172"/>
      <c r="J633" s="1172"/>
      <c r="K633" s="1172"/>
      <c r="L633" s="1173">
        <v>-210000</v>
      </c>
      <c r="M633" s="1172"/>
      <c r="N633" s="1172"/>
      <c r="O633" s="1172"/>
      <c r="P633" s="1174"/>
      <c r="Q633" s="1175"/>
      <c r="R633" s="1172"/>
      <c r="S633" s="1172"/>
      <c r="T633" s="1172"/>
      <c r="U633" s="1172"/>
      <c r="V633" s="1172"/>
      <c r="W633" s="1172"/>
      <c r="X633" s="1176"/>
    </row>
    <row r="634" spans="1:24" ht="29.25" customHeight="1" x14ac:dyDescent="0.2">
      <c r="A634" s="2053"/>
      <c r="B634" s="2055"/>
      <c r="C634" s="2057"/>
      <c r="D634" s="1170" t="s">
        <v>197</v>
      </c>
      <c r="E634" s="1462" t="s">
        <v>1288</v>
      </c>
      <c r="F634" s="1462" t="s">
        <v>535</v>
      </c>
      <c r="G634" s="1311" t="s">
        <v>1829</v>
      </c>
      <c r="H634" s="1172"/>
      <c r="I634" s="1172"/>
      <c r="J634" s="1172"/>
      <c r="K634" s="1172"/>
      <c r="L634" s="1173"/>
      <c r="M634" s="1172"/>
      <c r="N634" s="1172"/>
      <c r="O634" s="1172"/>
      <c r="P634" s="1174">
        <v>210000</v>
      </c>
      <c r="Q634" s="1175"/>
      <c r="R634" s="1172"/>
      <c r="S634" s="1172"/>
      <c r="T634" s="1172"/>
      <c r="U634" s="1172"/>
      <c r="V634" s="1172"/>
      <c r="W634" s="1172"/>
      <c r="X634" s="1176"/>
    </row>
    <row r="635" spans="1:24" ht="27.75" customHeight="1" x14ac:dyDescent="0.2">
      <c r="A635" s="2052" t="s">
        <v>1699</v>
      </c>
      <c r="B635" s="2054" t="s">
        <v>2662</v>
      </c>
      <c r="C635" s="2056" t="s">
        <v>2663</v>
      </c>
      <c r="D635" s="1170" t="s">
        <v>195</v>
      </c>
      <c r="E635" s="1462" t="s">
        <v>74</v>
      </c>
      <c r="F635" s="1462" t="s">
        <v>1870</v>
      </c>
      <c r="G635" s="1311" t="s">
        <v>1828</v>
      </c>
      <c r="H635" s="1172"/>
      <c r="I635" s="1172"/>
      <c r="J635" s="1172"/>
      <c r="K635" s="1172"/>
      <c r="L635" s="1173">
        <v>-1000000</v>
      </c>
      <c r="M635" s="1172"/>
      <c r="N635" s="1172"/>
      <c r="O635" s="1172"/>
      <c r="P635" s="1174"/>
      <c r="Q635" s="1175"/>
      <c r="R635" s="1172"/>
      <c r="S635" s="1172"/>
      <c r="T635" s="1172"/>
      <c r="U635" s="1172"/>
      <c r="V635" s="1172"/>
      <c r="W635" s="1172"/>
      <c r="X635" s="1176"/>
    </row>
    <row r="636" spans="1:24" ht="27.75" customHeight="1" x14ac:dyDescent="0.2">
      <c r="A636" s="2053"/>
      <c r="B636" s="2055"/>
      <c r="C636" s="2057"/>
      <c r="D636" s="1170" t="s">
        <v>191</v>
      </c>
      <c r="E636" s="1462" t="s">
        <v>71</v>
      </c>
      <c r="F636" s="1462" t="s">
        <v>1875</v>
      </c>
      <c r="G636" s="1311" t="s">
        <v>1829</v>
      </c>
      <c r="H636" s="1172"/>
      <c r="I636" s="1172"/>
      <c r="J636" s="1172"/>
      <c r="K636" s="1172"/>
      <c r="L636" s="1173"/>
      <c r="M636" s="1172"/>
      <c r="N636" s="1172"/>
      <c r="O636" s="1172">
        <v>1000000</v>
      </c>
      <c r="P636" s="1174"/>
      <c r="Q636" s="1175"/>
      <c r="R636" s="1172"/>
      <c r="S636" s="1172"/>
      <c r="T636" s="1172"/>
      <c r="U636" s="1172"/>
      <c r="V636" s="1172"/>
      <c r="W636" s="1172"/>
      <c r="X636" s="1176"/>
    </row>
    <row r="637" spans="1:24" ht="26.25" customHeight="1" x14ac:dyDescent="0.2">
      <c r="A637" s="2052" t="s">
        <v>1700</v>
      </c>
      <c r="B637" s="2054" t="s">
        <v>2665</v>
      </c>
      <c r="C637" s="2056" t="s">
        <v>2666</v>
      </c>
      <c r="D637" s="1170" t="s">
        <v>193</v>
      </c>
      <c r="E637" s="1462" t="s">
        <v>813</v>
      </c>
      <c r="F637" s="1462" t="s">
        <v>1293</v>
      </c>
      <c r="G637" s="1311" t="s">
        <v>1828</v>
      </c>
      <c r="H637" s="1172"/>
      <c r="I637" s="1172"/>
      <c r="J637" s="1172"/>
      <c r="K637" s="1172"/>
      <c r="L637" s="1173"/>
      <c r="M637" s="1172">
        <f>-5000000-1350000</f>
        <v>-6350000</v>
      </c>
      <c r="N637" s="1172"/>
      <c r="O637" s="1172"/>
      <c r="P637" s="1174"/>
      <c r="Q637" s="1175"/>
      <c r="R637" s="1172"/>
      <c r="S637" s="1172"/>
      <c r="T637" s="1172"/>
      <c r="U637" s="1172"/>
      <c r="V637" s="1172"/>
      <c r="W637" s="1172"/>
      <c r="X637" s="1176"/>
    </row>
    <row r="638" spans="1:24" ht="26.25" customHeight="1" x14ac:dyDescent="0.2">
      <c r="A638" s="2053"/>
      <c r="B638" s="2055"/>
      <c r="C638" s="2057"/>
      <c r="D638" s="1170" t="s">
        <v>188</v>
      </c>
      <c r="E638" s="1462" t="s">
        <v>1980</v>
      </c>
      <c r="F638" s="1462" t="s">
        <v>1979</v>
      </c>
      <c r="G638" s="1311" t="s">
        <v>1829</v>
      </c>
      <c r="H638" s="1172"/>
      <c r="I638" s="1172"/>
      <c r="J638" s="1172">
        <f>5000000+1350000</f>
        <v>6350000</v>
      </c>
      <c r="K638" s="1172"/>
      <c r="L638" s="1173"/>
      <c r="M638" s="1172"/>
      <c r="N638" s="1172"/>
      <c r="O638" s="1172"/>
      <c r="P638" s="1174"/>
      <c r="Q638" s="1175"/>
      <c r="R638" s="1172"/>
      <c r="S638" s="1172"/>
      <c r="T638" s="1172"/>
      <c r="U638" s="1172"/>
      <c r="V638" s="1172"/>
      <c r="W638" s="1172"/>
      <c r="X638" s="1176"/>
    </row>
    <row r="639" spans="1:24" ht="33" customHeight="1" x14ac:dyDescent="0.2">
      <c r="A639" s="2052" t="s">
        <v>1701</v>
      </c>
      <c r="B639" s="2054" t="s">
        <v>2667</v>
      </c>
      <c r="C639" s="2056" t="s">
        <v>2671</v>
      </c>
      <c r="D639" s="1170" t="s">
        <v>195</v>
      </c>
      <c r="E639" s="1462" t="s">
        <v>74</v>
      </c>
      <c r="F639" s="1462" t="s">
        <v>1870</v>
      </c>
      <c r="G639" s="1311" t="s">
        <v>1828</v>
      </c>
      <c r="H639" s="1172"/>
      <c r="I639" s="1172"/>
      <c r="J639" s="1172"/>
      <c r="K639" s="1172"/>
      <c r="L639" s="1173">
        <v>-1826609</v>
      </c>
      <c r="M639" s="1172"/>
      <c r="N639" s="1172"/>
      <c r="O639" s="1172"/>
      <c r="P639" s="1174"/>
      <c r="Q639" s="1175"/>
      <c r="R639" s="1172"/>
      <c r="S639" s="1172"/>
      <c r="T639" s="1172"/>
      <c r="U639" s="1172"/>
      <c r="V639" s="1172"/>
      <c r="W639" s="1172"/>
      <c r="X639" s="1176"/>
    </row>
    <row r="640" spans="1:24" ht="54.75" customHeight="1" x14ac:dyDescent="0.2">
      <c r="A640" s="2053"/>
      <c r="B640" s="2055"/>
      <c r="C640" s="2057"/>
      <c r="D640" s="1170" t="s">
        <v>193</v>
      </c>
      <c r="E640" s="1462" t="s">
        <v>130</v>
      </c>
      <c r="F640" s="1462" t="s">
        <v>91</v>
      </c>
      <c r="G640" s="1311" t="s">
        <v>1829</v>
      </c>
      <c r="H640" s="1172"/>
      <c r="I640" s="1172"/>
      <c r="J640" s="1172"/>
      <c r="K640" s="1172"/>
      <c r="L640" s="1173"/>
      <c r="M640" s="1172">
        <f>1438275+388334</f>
        <v>1826609</v>
      </c>
      <c r="N640" s="1172"/>
      <c r="O640" s="1172"/>
      <c r="P640" s="1174"/>
      <c r="Q640" s="1175"/>
      <c r="R640" s="1172"/>
      <c r="S640" s="1172"/>
      <c r="T640" s="1172"/>
      <c r="U640" s="1172"/>
      <c r="V640" s="1172"/>
      <c r="W640" s="1172"/>
      <c r="X640" s="1176"/>
    </row>
    <row r="641" spans="1:24" ht="107.25" customHeight="1" x14ac:dyDescent="0.2">
      <c r="A641" s="1491" t="s">
        <v>1702</v>
      </c>
      <c r="B641" s="1490" t="s">
        <v>2670</v>
      </c>
      <c r="C641" s="1631" t="s">
        <v>2672</v>
      </c>
      <c r="D641" s="1170" t="s">
        <v>193</v>
      </c>
      <c r="E641" s="1462" t="s">
        <v>130</v>
      </c>
      <c r="F641" s="1462" t="s">
        <v>91</v>
      </c>
      <c r="G641" s="1311" t="s">
        <v>1837</v>
      </c>
      <c r="H641" s="1172"/>
      <c r="I641" s="1172"/>
      <c r="J641" s="1172"/>
      <c r="K641" s="1172"/>
      <c r="L641" s="1173"/>
      <c r="M641" s="1172">
        <f>-236226-63781-72560-19591-1811-489+310597+83861</f>
        <v>0</v>
      </c>
      <c r="N641" s="1172"/>
      <c r="O641" s="1172"/>
      <c r="P641" s="1174"/>
      <c r="Q641" s="1175"/>
      <c r="R641" s="1172"/>
      <c r="S641" s="1172"/>
      <c r="T641" s="1172"/>
      <c r="U641" s="1172"/>
      <c r="V641" s="1172"/>
      <c r="W641" s="1172"/>
      <c r="X641" s="1176"/>
    </row>
    <row r="642" spans="1:24" ht="45.75" customHeight="1" x14ac:dyDescent="0.2">
      <c r="A642" s="2052" t="s">
        <v>1703</v>
      </c>
      <c r="B642" s="2054" t="s">
        <v>2673</v>
      </c>
      <c r="C642" s="2056" t="s">
        <v>2674</v>
      </c>
      <c r="D642" s="1170" t="s">
        <v>188</v>
      </c>
      <c r="E642" s="1462" t="s">
        <v>813</v>
      </c>
      <c r="F642" s="1462" t="s">
        <v>1897</v>
      </c>
      <c r="G642" s="1311" t="s">
        <v>1828</v>
      </c>
      <c r="H642" s="1172"/>
      <c r="I642" s="1172"/>
      <c r="J642" s="1172">
        <f>-3185128-859985</f>
        <v>-4045113</v>
      </c>
      <c r="K642" s="1172"/>
      <c r="L642" s="1173"/>
      <c r="M642" s="1172"/>
      <c r="N642" s="1172"/>
      <c r="O642" s="1172"/>
      <c r="P642" s="1174"/>
      <c r="Q642" s="1175"/>
      <c r="R642" s="1172"/>
      <c r="S642" s="1172"/>
      <c r="T642" s="1172"/>
      <c r="U642" s="1172"/>
      <c r="V642" s="1172"/>
      <c r="W642" s="1172"/>
      <c r="X642" s="1176"/>
    </row>
    <row r="643" spans="1:24" ht="45.75" customHeight="1" x14ac:dyDescent="0.2">
      <c r="A643" s="2053"/>
      <c r="B643" s="2055"/>
      <c r="C643" s="2057"/>
      <c r="D643" s="1170" t="s">
        <v>193</v>
      </c>
      <c r="E643" s="1462" t="s">
        <v>130</v>
      </c>
      <c r="F643" s="1462" t="s">
        <v>91</v>
      </c>
      <c r="G643" s="1311" t="s">
        <v>1829</v>
      </c>
      <c r="H643" s="1172"/>
      <c r="I643" s="1172"/>
      <c r="J643" s="1172"/>
      <c r="K643" s="1172"/>
      <c r="L643" s="1173"/>
      <c r="M643" s="1172">
        <f>3185128+859985</f>
        <v>4045113</v>
      </c>
      <c r="N643" s="1172"/>
      <c r="O643" s="1172"/>
      <c r="P643" s="1174"/>
      <c r="Q643" s="1175"/>
      <c r="R643" s="1172"/>
      <c r="S643" s="1172"/>
      <c r="T643" s="1172"/>
      <c r="U643" s="1172"/>
      <c r="V643" s="1172"/>
      <c r="W643" s="1172"/>
      <c r="X643" s="1176"/>
    </row>
    <row r="644" spans="1:24" ht="21.75" customHeight="1" x14ac:dyDescent="0.2">
      <c r="A644" s="2052" t="s">
        <v>1704</v>
      </c>
      <c r="B644" s="2054" t="s">
        <v>2675</v>
      </c>
      <c r="C644" s="2056" t="s">
        <v>2676</v>
      </c>
      <c r="D644" s="1170" t="s">
        <v>188</v>
      </c>
      <c r="E644" s="1462" t="s">
        <v>1980</v>
      </c>
      <c r="F644" s="1462" t="s">
        <v>2515</v>
      </c>
      <c r="G644" s="1311" t="s">
        <v>1828</v>
      </c>
      <c r="H644" s="1172"/>
      <c r="I644" s="1172"/>
      <c r="J644" s="1172">
        <v>-600000</v>
      </c>
      <c r="K644" s="1172"/>
      <c r="L644" s="1173"/>
      <c r="M644" s="1172"/>
      <c r="N644" s="1172"/>
      <c r="O644" s="1172"/>
      <c r="P644" s="1174"/>
      <c r="Q644" s="1175"/>
      <c r="R644" s="1172"/>
      <c r="S644" s="1172"/>
      <c r="T644" s="1172"/>
      <c r="U644" s="1172"/>
      <c r="V644" s="1172"/>
      <c r="W644" s="1172"/>
      <c r="X644" s="1176"/>
    </row>
    <row r="645" spans="1:24" ht="21.75" customHeight="1" x14ac:dyDescent="0.2">
      <c r="A645" s="2053"/>
      <c r="B645" s="2055"/>
      <c r="C645" s="2057"/>
      <c r="D645" s="1170" t="s">
        <v>188</v>
      </c>
      <c r="E645" s="1462" t="s">
        <v>2129</v>
      </c>
      <c r="F645" s="1462" t="s">
        <v>2128</v>
      </c>
      <c r="G645" s="1311" t="s">
        <v>1829</v>
      </c>
      <c r="H645" s="1172"/>
      <c r="I645" s="1172"/>
      <c r="J645" s="1172">
        <v>600000</v>
      </c>
      <c r="K645" s="1172"/>
      <c r="L645" s="1173"/>
      <c r="M645" s="1172"/>
      <c r="N645" s="1172"/>
      <c r="O645" s="1172"/>
      <c r="P645" s="1174"/>
      <c r="Q645" s="1175"/>
      <c r="R645" s="1172"/>
      <c r="S645" s="1172"/>
      <c r="T645" s="1172"/>
      <c r="U645" s="1172"/>
      <c r="V645" s="1172"/>
      <c r="W645" s="1172"/>
      <c r="X645" s="1176"/>
    </row>
    <row r="646" spans="1:24" ht="28.5" customHeight="1" x14ac:dyDescent="0.2">
      <c r="A646" s="2052" t="s">
        <v>1705</v>
      </c>
      <c r="B646" s="2054" t="s">
        <v>2677</v>
      </c>
      <c r="C646" s="2056" t="s">
        <v>2678</v>
      </c>
      <c r="D646" s="1170" t="s">
        <v>193</v>
      </c>
      <c r="E646" s="1462" t="s">
        <v>813</v>
      </c>
      <c r="F646" s="1462" t="s">
        <v>1293</v>
      </c>
      <c r="G646" s="1311" t="s">
        <v>1828</v>
      </c>
      <c r="H646" s="1172"/>
      <c r="I646" s="1172"/>
      <c r="J646" s="1172"/>
      <c r="K646" s="1172"/>
      <c r="L646" s="1173"/>
      <c r="M646" s="1172">
        <f>-3200000-864000</f>
        <v>-4064000</v>
      </c>
      <c r="N646" s="1172"/>
      <c r="O646" s="1172"/>
      <c r="P646" s="1174"/>
      <c r="Q646" s="1175"/>
      <c r="R646" s="1172"/>
      <c r="S646" s="1172"/>
      <c r="T646" s="1172"/>
      <c r="U646" s="1172"/>
      <c r="V646" s="1172"/>
      <c r="W646" s="1172"/>
      <c r="X646" s="1176"/>
    </row>
    <row r="647" spans="1:24" ht="28.5" customHeight="1" x14ac:dyDescent="0.2">
      <c r="A647" s="2053"/>
      <c r="B647" s="2055"/>
      <c r="C647" s="2057"/>
      <c r="D647" s="1170" t="s">
        <v>193</v>
      </c>
      <c r="E647" s="1462" t="s">
        <v>583</v>
      </c>
      <c r="F647" s="1462" t="s">
        <v>128</v>
      </c>
      <c r="G647" s="1311" t="s">
        <v>1829</v>
      </c>
      <c r="H647" s="1172"/>
      <c r="I647" s="1172"/>
      <c r="J647" s="1172"/>
      <c r="K647" s="1172"/>
      <c r="L647" s="1173"/>
      <c r="M647" s="1172">
        <f>3200000+864000</f>
        <v>4064000</v>
      </c>
      <c r="N647" s="1172"/>
      <c r="O647" s="1172"/>
      <c r="P647" s="1174"/>
      <c r="Q647" s="1175"/>
      <c r="R647" s="1172"/>
      <c r="S647" s="1172"/>
      <c r="T647" s="1172"/>
      <c r="U647" s="1172"/>
      <c r="V647" s="1172"/>
      <c r="W647" s="1172"/>
      <c r="X647" s="1176"/>
    </row>
    <row r="648" spans="1:24" ht="23.25" customHeight="1" x14ac:dyDescent="0.2">
      <c r="A648" s="2052" t="s">
        <v>1706</v>
      </c>
      <c r="B648" s="2054" t="s">
        <v>2679</v>
      </c>
      <c r="C648" s="2056" t="s">
        <v>2680</v>
      </c>
      <c r="D648" s="1170" t="s">
        <v>195</v>
      </c>
      <c r="E648" s="1462" t="s">
        <v>74</v>
      </c>
      <c r="F648" s="1462" t="s">
        <v>1870</v>
      </c>
      <c r="G648" s="1311" t="s">
        <v>1828</v>
      </c>
      <c r="H648" s="1172"/>
      <c r="I648" s="1172"/>
      <c r="J648" s="1172"/>
      <c r="K648" s="1172"/>
      <c r="L648" s="1173">
        <v>-5339400</v>
      </c>
      <c r="M648" s="1172"/>
      <c r="N648" s="1172"/>
      <c r="O648" s="1172"/>
      <c r="P648" s="1174"/>
      <c r="Q648" s="1175"/>
      <c r="R648" s="1172"/>
      <c r="S648" s="1172"/>
      <c r="T648" s="1172"/>
      <c r="U648" s="1172"/>
      <c r="V648" s="1172"/>
      <c r="W648" s="1172"/>
      <c r="X648" s="1176"/>
    </row>
    <row r="649" spans="1:24" ht="23.25" customHeight="1" x14ac:dyDescent="0.2">
      <c r="A649" s="2053"/>
      <c r="B649" s="2055"/>
      <c r="C649" s="2057"/>
      <c r="D649" s="1170" t="s">
        <v>188</v>
      </c>
      <c r="E649" s="1462" t="s">
        <v>854</v>
      </c>
      <c r="F649" s="1462" t="s">
        <v>853</v>
      </c>
      <c r="G649" s="1311" t="s">
        <v>1829</v>
      </c>
      <c r="H649" s="1172"/>
      <c r="I649" s="1172"/>
      <c r="J649" s="1172">
        <v>5339400</v>
      </c>
      <c r="K649" s="1172"/>
      <c r="L649" s="1173"/>
      <c r="M649" s="1172"/>
      <c r="N649" s="1172"/>
      <c r="O649" s="1172"/>
      <c r="P649" s="1174"/>
      <c r="Q649" s="1175"/>
      <c r="R649" s="1172"/>
      <c r="S649" s="1172"/>
      <c r="T649" s="1172"/>
      <c r="U649" s="1172"/>
      <c r="V649" s="1172"/>
      <c r="W649" s="1172"/>
      <c r="X649" s="1176"/>
    </row>
    <row r="650" spans="1:24" ht="27" customHeight="1" x14ac:dyDescent="0.2">
      <c r="A650" s="2052" t="s">
        <v>1707</v>
      </c>
      <c r="B650" s="2054" t="s">
        <v>2681</v>
      </c>
      <c r="C650" s="2056" t="s">
        <v>2682</v>
      </c>
      <c r="D650" s="1170" t="s">
        <v>188</v>
      </c>
      <c r="E650" s="1462" t="s">
        <v>813</v>
      </c>
      <c r="F650" s="1462" t="s">
        <v>1897</v>
      </c>
      <c r="G650" s="1311" t="s">
        <v>1828</v>
      </c>
      <c r="H650" s="1172"/>
      <c r="I650" s="1172"/>
      <c r="J650" s="1172">
        <f>-1200000-324000</f>
        <v>-1524000</v>
      </c>
      <c r="K650" s="1172"/>
      <c r="L650" s="1173"/>
      <c r="M650" s="1172"/>
      <c r="N650" s="1172"/>
      <c r="O650" s="1172"/>
      <c r="P650" s="1174"/>
      <c r="Q650" s="1175"/>
      <c r="R650" s="1172"/>
      <c r="S650" s="1172"/>
      <c r="T650" s="1172"/>
      <c r="U650" s="1172"/>
      <c r="V650" s="1172"/>
      <c r="W650" s="1172"/>
      <c r="X650" s="1176"/>
    </row>
    <row r="651" spans="1:24" ht="27" customHeight="1" x14ac:dyDescent="0.2">
      <c r="A651" s="2053"/>
      <c r="B651" s="2055"/>
      <c r="C651" s="2057"/>
      <c r="D651" s="1170" t="s">
        <v>193</v>
      </c>
      <c r="E651" s="1462" t="s">
        <v>547</v>
      </c>
      <c r="F651" s="1462" t="s">
        <v>133</v>
      </c>
      <c r="G651" s="1311" t="s">
        <v>1829</v>
      </c>
      <c r="H651" s="1172"/>
      <c r="I651" s="1172"/>
      <c r="J651" s="1172"/>
      <c r="K651" s="1172"/>
      <c r="L651" s="1173"/>
      <c r="M651" s="1172">
        <f>1200000+324000</f>
        <v>1524000</v>
      </c>
      <c r="N651" s="1172"/>
      <c r="O651" s="1172"/>
      <c r="P651" s="1174"/>
      <c r="Q651" s="1175"/>
      <c r="R651" s="1172"/>
      <c r="S651" s="1172"/>
      <c r="T651" s="1172"/>
      <c r="U651" s="1172"/>
      <c r="V651" s="1172"/>
      <c r="W651" s="1172"/>
      <c r="X651" s="1176"/>
    </row>
    <row r="652" spans="1:24" ht="23.25" customHeight="1" x14ac:dyDescent="0.2">
      <c r="A652" s="2052" t="s">
        <v>1708</v>
      </c>
      <c r="B652" s="2054" t="s">
        <v>2685</v>
      </c>
      <c r="C652" s="2056" t="s">
        <v>2549</v>
      </c>
      <c r="D652" s="1170" t="s">
        <v>195</v>
      </c>
      <c r="E652" s="1462" t="s">
        <v>74</v>
      </c>
      <c r="F652" s="1462" t="s">
        <v>1870</v>
      </c>
      <c r="G652" s="1311" t="s">
        <v>1828</v>
      </c>
      <c r="H652" s="1172"/>
      <c r="I652" s="1172"/>
      <c r="J652" s="1172"/>
      <c r="K652" s="1172"/>
      <c r="L652" s="1173">
        <v>-6350000</v>
      </c>
      <c r="M652" s="1172"/>
      <c r="N652" s="1172"/>
      <c r="O652" s="1172"/>
      <c r="P652" s="1174"/>
      <c r="Q652" s="1175"/>
      <c r="R652" s="1172"/>
      <c r="S652" s="1172"/>
      <c r="T652" s="1172"/>
      <c r="U652" s="1172"/>
      <c r="V652" s="1172"/>
      <c r="W652" s="1172"/>
      <c r="X652" s="1176"/>
    </row>
    <row r="653" spans="1:24" ht="23.25" customHeight="1" x14ac:dyDescent="0.2">
      <c r="A653" s="2053"/>
      <c r="B653" s="2055"/>
      <c r="C653" s="2057"/>
      <c r="D653" s="1170" t="s">
        <v>188</v>
      </c>
      <c r="E653" s="1462" t="s">
        <v>584</v>
      </c>
      <c r="F653" s="1462" t="s">
        <v>825</v>
      </c>
      <c r="G653" s="1311" t="s">
        <v>1829</v>
      </c>
      <c r="H653" s="1172"/>
      <c r="I653" s="1172"/>
      <c r="J653" s="1172">
        <f>5000000+1350000</f>
        <v>6350000</v>
      </c>
      <c r="K653" s="1172"/>
      <c r="L653" s="1173"/>
      <c r="M653" s="1172"/>
      <c r="N653" s="1172"/>
      <c r="O653" s="1172"/>
      <c r="P653" s="1174"/>
      <c r="Q653" s="1175"/>
      <c r="R653" s="1172"/>
      <c r="S653" s="1172"/>
      <c r="T653" s="1172"/>
      <c r="U653" s="1172"/>
      <c r="V653" s="1172"/>
      <c r="W653" s="1172"/>
      <c r="X653" s="1176"/>
    </row>
    <row r="654" spans="1:24" ht="31.5" customHeight="1" x14ac:dyDescent="0.2">
      <c r="A654" s="1494" t="s">
        <v>1709</v>
      </c>
      <c r="B654" s="1493" t="s">
        <v>2687</v>
      </c>
      <c r="C654" s="1492" t="s">
        <v>2688</v>
      </c>
      <c r="D654" s="1170" t="s">
        <v>188</v>
      </c>
      <c r="E654" s="1462" t="s">
        <v>1375</v>
      </c>
      <c r="F654" s="1462" t="s">
        <v>1878</v>
      </c>
      <c r="G654" s="1311" t="s">
        <v>1829</v>
      </c>
      <c r="H654" s="1172"/>
      <c r="I654" s="1172"/>
      <c r="J654" s="1172"/>
      <c r="K654" s="1172"/>
      <c r="L654" s="1173"/>
      <c r="M654" s="1172"/>
      <c r="N654" s="1172"/>
      <c r="O654" s="1172"/>
      <c r="P654" s="1174">
        <v>15621634</v>
      </c>
      <c r="Q654" s="1175"/>
      <c r="R654" s="1172"/>
      <c r="S654" s="1172"/>
      <c r="T654" s="1172"/>
      <c r="U654" s="1172"/>
      <c r="V654" s="1172"/>
      <c r="W654" s="1172"/>
      <c r="X654" s="1176">
        <v>15621634</v>
      </c>
    </row>
    <row r="655" spans="1:24" ht="18.75" customHeight="1" x14ac:dyDescent="0.2">
      <c r="A655" s="2052" t="s">
        <v>1710</v>
      </c>
      <c r="B655" s="2054" t="s">
        <v>2689</v>
      </c>
      <c r="C655" s="2056" t="s">
        <v>2690</v>
      </c>
      <c r="D655" s="1170" t="s">
        <v>188</v>
      </c>
      <c r="E655" s="1462" t="s">
        <v>74</v>
      </c>
      <c r="F655" s="1462" t="s">
        <v>538</v>
      </c>
      <c r="G655" s="1311" t="s">
        <v>1828</v>
      </c>
      <c r="H655" s="1172"/>
      <c r="I655" s="1172">
        <v>-309471</v>
      </c>
      <c r="J655" s="1172"/>
      <c r="K655" s="1172"/>
      <c r="L655" s="1173"/>
      <c r="M655" s="1172"/>
      <c r="N655" s="1172"/>
      <c r="O655" s="1172"/>
      <c r="P655" s="1174"/>
      <c r="Q655" s="1175"/>
      <c r="R655" s="1172"/>
      <c r="S655" s="1172"/>
      <c r="T655" s="1172"/>
      <c r="U655" s="1172"/>
      <c r="V655" s="1172"/>
      <c r="W655" s="1172"/>
      <c r="X655" s="1176"/>
    </row>
    <row r="656" spans="1:24" ht="18.75" customHeight="1" x14ac:dyDescent="0.2">
      <c r="A656" s="2061"/>
      <c r="B656" s="2060"/>
      <c r="C656" s="2065"/>
      <c r="D656" s="1170" t="s">
        <v>188</v>
      </c>
      <c r="E656" s="1462" t="s">
        <v>590</v>
      </c>
      <c r="F656" s="1462" t="s">
        <v>442</v>
      </c>
      <c r="G656" s="1311" t="s">
        <v>1837</v>
      </c>
      <c r="H656" s="1172">
        <f>-90000+90000</f>
        <v>0</v>
      </c>
      <c r="I656" s="1172"/>
      <c r="J656" s="1172"/>
      <c r="K656" s="1172"/>
      <c r="L656" s="1173"/>
      <c r="M656" s="1172"/>
      <c r="N656" s="1172"/>
      <c r="O656" s="1172"/>
      <c r="P656" s="1174"/>
      <c r="Q656" s="1175"/>
      <c r="R656" s="1172"/>
      <c r="S656" s="1172"/>
      <c r="T656" s="1172"/>
      <c r="U656" s="1172"/>
      <c r="V656" s="1172"/>
      <c r="W656" s="1172"/>
      <c r="X656" s="1176"/>
    </row>
    <row r="657" spans="1:24" ht="18.75" customHeight="1" x14ac:dyDescent="0.2">
      <c r="A657" s="2061"/>
      <c r="B657" s="2060"/>
      <c r="C657" s="2065"/>
      <c r="D657" s="1170" t="s">
        <v>188</v>
      </c>
      <c r="E657" s="1462" t="s">
        <v>542</v>
      </c>
      <c r="F657" s="1462" t="s">
        <v>447</v>
      </c>
      <c r="G657" s="1311" t="s">
        <v>1837</v>
      </c>
      <c r="H657" s="1172">
        <f>-90000+36000+54000</f>
        <v>0</v>
      </c>
      <c r="I657" s="1172"/>
      <c r="J657" s="1172"/>
      <c r="K657" s="1172"/>
      <c r="L657" s="1173"/>
      <c r="M657" s="1172"/>
      <c r="N657" s="1172"/>
      <c r="O657" s="1172"/>
      <c r="P657" s="1174"/>
      <c r="Q657" s="1175"/>
      <c r="R657" s="1172"/>
      <c r="S657" s="1172"/>
      <c r="T657" s="1172"/>
      <c r="U657" s="1172"/>
      <c r="V657" s="1172"/>
      <c r="W657" s="1172"/>
      <c r="X657" s="1176"/>
    </row>
    <row r="658" spans="1:24" ht="18.75" customHeight="1" x14ac:dyDescent="0.2">
      <c r="A658" s="2061"/>
      <c r="B658" s="2060"/>
      <c r="C658" s="2065"/>
      <c r="D658" s="1170" t="s">
        <v>188</v>
      </c>
      <c r="E658" s="1462" t="s">
        <v>542</v>
      </c>
      <c r="F658" s="1462" t="s">
        <v>449</v>
      </c>
      <c r="G658" s="1311" t="s">
        <v>1837</v>
      </c>
      <c r="H658" s="1172">
        <f>-67000+27000+40000</f>
        <v>0</v>
      </c>
      <c r="I658" s="1172"/>
      <c r="J658" s="1172"/>
      <c r="K658" s="1172"/>
      <c r="L658" s="1173"/>
      <c r="M658" s="1172"/>
      <c r="N658" s="1172"/>
      <c r="O658" s="1172"/>
      <c r="P658" s="1174"/>
      <c r="Q658" s="1175"/>
      <c r="R658" s="1172"/>
      <c r="S658" s="1172"/>
      <c r="T658" s="1172"/>
      <c r="U658" s="1172"/>
      <c r="V658" s="1172"/>
      <c r="W658" s="1172"/>
      <c r="X658" s="1176"/>
    </row>
    <row r="659" spans="1:24" ht="18.75" customHeight="1" x14ac:dyDescent="0.2">
      <c r="A659" s="2061"/>
      <c r="B659" s="2060"/>
      <c r="C659" s="2065"/>
      <c r="D659" s="1170" t="s">
        <v>188</v>
      </c>
      <c r="E659" s="1462" t="s">
        <v>1868</v>
      </c>
      <c r="F659" s="1462" t="s">
        <v>1867</v>
      </c>
      <c r="G659" s="1311" t="s">
        <v>1829</v>
      </c>
      <c r="H659" s="1172"/>
      <c r="I659" s="1172">
        <v>19824</v>
      </c>
      <c r="J659" s="1172"/>
      <c r="K659" s="1172"/>
      <c r="L659" s="1173"/>
      <c r="M659" s="1172"/>
      <c r="N659" s="1172"/>
      <c r="O659" s="1172"/>
      <c r="P659" s="1174"/>
      <c r="Q659" s="1175"/>
      <c r="R659" s="1172"/>
      <c r="S659" s="1172"/>
      <c r="T659" s="1172"/>
      <c r="U659" s="1172"/>
      <c r="V659" s="1172"/>
      <c r="W659" s="1172"/>
      <c r="X659" s="1176"/>
    </row>
    <row r="660" spans="1:24" ht="18.75" customHeight="1" x14ac:dyDescent="0.2">
      <c r="A660" s="2053"/>
      <c r="B660" s="2055"/>
      <c r="C660" s="2057"/>
      <c r="D660" s="1170" t="s">
        <v>188</v>
      </c>
      <c r="E660" s="1462" t="s">
        <v>599</v>
      </c>
      <c r="F660" s="1462" t="s">
        <v>2346</v>
      </c>
      <c r="G660" s="1311" t="s">
        <v>1829</v>
      </c>
      <c r="H660" s="1172"/>
      <c r="I660" s="1172">
        <v>289647</v>
      </c>
      <c r="J660" s="1172"/>
      <c r="K660" s="1172"/>
      <c r="L660" s="1173"/>
      <c r="M660" s="1172"/>
      <c r="N660" s="1172"/>
      <c r="O660" s="1172"/>
      <c r="P660" s="1174"/>
      <c r="Q660" s="1175"/>
      <c r="R660" s="1172"/>
      <c r="S660" s="1172"/>
      <c r="T660" s="1172"/>
      <c r="U660" s="1172"/>
      <c r="V660" s="1172"/>
      <c r="W660" s="1172"/>
      <c r="X660" s="1176"/>
    </row>
    <row r="661" spans="1:24" ht="21" customHeight="1" x14ac:dyDescent="0.2">
      <c r="A661" s="2052" t="s">
        <v>1711</v>
      </c>
      <c r="B661" s="2054" t="s">
        <v>2691</v>
      </c>
      <c r="C661" s="2056" t="s">
        <v>2692</v>
      </c>
      <c r="D661" s="1170" t="s">
        <v>188</v>
      </c>
      <c r="E661" s="1462" t="s">
        <v>2270</v>
      </c>
      <c r="F661" s="1462" t="s">
        <v>2268</v>
      </c>
      <c r="G661" s="1311" t="s">
        <v>1828</v>
      </c>
      <c r="H661" s="1172"/>
      <c r="I661" s="1172"/>
      <c r="J661" s="1172">
        <f>-425197-114803</f>
        <v>-540000</v>
      </c>
      <c r="K661" s="1172"/>
      <c r="L661" s="1173"/>
      <c r="M661" s="1172"/>
      <c r="N661" s="1172"/>
      <c r="O661" s="1172"/>
      <c r="P661" s="1174"/>
      <c r="Q661" s="1175"/>
      <c r="R661" s="1172"/>
      <c r="S661" s="1172"/>
      <c r="T661" s="1172"/>
      <c r="U661" s="1172"/>
      <c r="V661" s="1172"/>
      <c r="W661" s="1172"/>
      <c r="X661" s="1176"/>
    </row>
    <row r="662" spans="1:24" ht="21" customHeight="1" x14ac:dyDescent="0.2">
      <c r="A662" s="2053"/>
      <c r="B662" s="2055"/>
      <c r="C662" s="2057"/>
      <c r="D662" s="1170" t="s">
        <v>188</v>
      </c>
      <c r="E662" s="1462" t="s">
        <v>2102</v>
      </c>
      <c r="F662" s="1462" t="s">
        <v>2101</v>
      </c>
      <c r="G662" s="1311" t="s">
        <v>1829</v>
      </c>
      <c r="H662" s="1172"/>
      <c r="I662" s="1172"/>
      <c r="J662" s="1172">
        <f>425197+114803</f>
        <v>540000</v>
      </c>
      <c r="K662" s="1172"/>
      <c r="L662" s="1173"/>
      <c r="M662" s="1172"/>
      <c r="N662" s="1172"/>
      <c r="O662" s="1172"/>
      <c r="P662" s="1174"/>
      <c r="Q662" s="1175"/>
      <c r="R662" s="1172"/>
      <c r="S662" s="1172"/>
      <c r="T662" s="1172"/>
      <c r="U662" s="1172"/>
      <c r="V662" s="1172"/>
      <c r="W662" s="1172"/>
      <c r="X662" s="1176"/>
    </row>
    <row r="663" spans="1:24" ht="21" customHeight="1" x14ac:dyDescent="0.2">
      <c r="A663" s="2052" t="s">
        <v>1712</v>
      </c>
      <c r="B663" s="2054" t="s">
        <v>2693</v>
      </c>
      <c r="C663" s="2056" t="s">
        <v>2694</v>
      </c>
      <c r="D663" s="1170" t="s">
        <v>195</v>
      </c>
      <c r="E663" s="1462" t="s">
        <v>74</v>
      </c>
      <c r="F663" s="1462" t="s">
        <v>1870</v>
      </c>
      <c r="G663" s="1311" t="s">
        <v>1828</v>
      </c>
      <c r="H663" s="1172"/>
      <c r="I663" s="1172"/>
      <c r="J663" s="1172"/>
      <c r="K663" s="1172"/>
      <c r="L663" s="1173">
        <v>-1506220</v>
      </c>
      <c r="M663" s="1172"/>
      <c r="N663" s="1172"/>
      <c r="O663" s="1172"/>
      <c r="P663" s="1174"/>
      <c r="Q663" s="1175"/>
      <c r="R663" s="1172"/>
      <c r="S663" s="1172"/>
      <c r="T663" s="1172"/>
      <c r="U663" s="1172"/>
      <c r="V663" s="1172"/>
      <c r="W663" s="1172"/>
      <c r="X663" s="1176"/>
    </row>
    <row r="664" spans="1:24" ht="21" customHeight="1" x14ac:dyDescent="0.2">
      <c r="A664" s="2053"/>
      <c r="B664" s="2055"/>
      <c r="C664" s="2057"/>
      <c r="D664" s="1170" t="s">
        <v>188</v>
      </c>
      <c r="E664" s="1462" t="s">
        <v>584</v>
      </c>
      <c r="F664" s="1462" t="s">
        <v>825</v>
      </c>
      <c r="G664" s="1311" t="s">
        <v>1829</v>
      </c>
      <c r="H664" s="1172"/>
      <c r="I664" s="1172"/>
      <c r="J664" s="1172">
        <f>1186000+320220</f>
        <v>1506220</v>
      </c>
      <c r="K664" s="1172"/>
      <c r="L664" s="1173"/>
      <c r="M664" s="1172"/>
      <c r="N664" s="1172"/>
      <c r="O664" s="1172"/>
      <c r="P664" s="1174"/>
      <c r="Q664" s="1175"/>
      <c r="R664" s="1172"/>
      <c r="S664" s="1172"/>
      <c r="T664" s="1172"/>
      <c r="U664" s="1172"/>
      <c r="V664" s="1172"/>
      <c r="W664" s="1172"/>
      <c r="X664" s="1176"/>
    </row>
    <row r="665" spans="1:24" ht="25.5" customHeight="1" x14ac:dyDescent="0.2">
      <c r="A665" s="2052" t="s">
        <v>1713</v>
      </c>
      <c r="B665" s="2054" t="s">
        <v>2695</v>
      </c>
      <c r="C665" s="2056" t="s">
        <v>2696</v>
      </c>
      <c r="D665" s="1170" t="s">
        <v>195</v>
      </c>
      <c r="E665" s="1462" t="s">
        <v>74</v>
      </c>
      <c r="F665" s="1462" t="s">
        <v>1870</v>
      </c>
      <c r="G665" s="1311" t="s">
        <v>1828</v>
      </c>
      <c r="H665" s="1172"/>
      <c r="I665" s="1172"/>
      <c r="J665" s="1172"/>
      <c r="K665" s="1172"/>
      <c r="L665" s="1173">
        <v>-6377900</v>
      </c>
      <c r="M665" s="1172"/>
      <c r="N665" s="1172"/>
      <c r="O665" s="1172"/>
      <c r="P665" s="1174"/>
      <c r="Q665" s="1175"/>
      <c r="R665" s="1172"/>
      <c r="S665" s="1172"/>
      <c r="T665" s="1172"/>
      <c r="U665" s="1172"/>
      <c r="V665" s="1172"/>
      <c r="W665" s="1172"/>
      <c r="X665" s="1176"/>
    </row>
    <row r="666" spans="1:24" ht="25.5" customHeight="1" x14ac:dyDescent="0.2">
      <c r="A666" s="2053"/>
      <c r="B666" s="2055"/>
      <c r="C666" s="2057"/>
      <c r="D666" s="1170" t="s">
        <v>188</v>
      </c>
      <c r="E666" s="1462" t="s">
        <v>1980</v>
      </c>
      <c r="F666" s="1462" t="s">
        <v>1979</v>
      </c>
      <c r="G666" s="1311" t="s">
        <v>1829</v>
      </c>
      <c r="H666" s="1172"/>
      <c r="I666" s="1172"/>
      <c r="J666" s="1172">
        <f>5021969+1355931</f>
        <v>6377900</v>
      </c>
      <c r="K666" s="1172"/>
      <c r="L666" s="1173"/>
      <c r="M666" s="1172"/>
      <c r="N666" s="1172"/>
      <c r="O666" s="1172"/>
      <c r="P666" s="1174"/>
      <c r="Q666" s="1175"/>
      <c r="R666" s="1172"/>
      <c r="S666" s="1172"/>
      <c r="T666" s="1172"/>
      <c r="U666" s="1172"/>
      <c r="V666" s="1172"/>
      <c r="W666" s="1172"/>
      <c r="X666" s="1176"/>
    </row>
    <row r="667" spans="1:24" ht="22.5" customHeight="1" x14ac:dyDescent="0.2">
      <c r="A667" s="2052" t="s">
        <v>2015</v>
      </c>
      <c r="B667" s="2054" t="s">
        <v>2697</v>
      </c>
      <c r="C667" s="2056" t="s">
        <v>2698</v>
      </c>
      <c r="D667" s="1170" t="s">
        <v>195</v>
      </c>
      <c r="E667" s="1462" t="s">
        <v>74</v>
      </c>
      <c r="F667" s="1462" t="s">
        <v>1870</v>
      </c>
      <c r="G667" s="1311" t="s">
        <v>1828</v>
      </c>
      <c r="H667" s="1172"/>
      <c r="I667" s="1172"/>
      <c r="J667" s="1172"/>
      <c r="K667" s="1172"/>
      <c r="L667" s="1173">
        <v>-988100</v>
      </c>
      <c r="M667" s="1172"/>
      <c r="N667" s="1172"/>
      <c r="O667" s="1172"/>
      <c r="P667" s="1174"/>
      <c r="Q667" s="1175"/>
      <c r="R667" s="1172"/>
      <c r="S667" s="1172"/>
      <c r="T667" s="1172"/>
      <c r="U667" s="1172"/>
      <c r="V667" s="1172"/>
      <c r="W667" s="1172"/>
      <c r="X667" s="1176"/>
    </row>
    <row r="668" spans="1:24" ht="22.5" customHeight="1" x14ac:dyDescent="0.2">
      <c r="A668" s="2053"/>
      <c r="B668" s="2055"/>
      <c r="C668" s="2057"/>
      <c r="D668" s="1170" t="s">
        <v>188</v>
      </c>
      <c r="E668" s="1462" t="s">
        <v>1980</v>
      </c>
      <c r="F668" s="1462" t="s">
        <v>1979</v>
      </c>
      <c r="G668" s="1311" t="s">
        <v>1829</v>
      </c>
      <c r="H668" s="1172"/>
      <c r="I668" s="1172"/>
      <c r="J668" s="1172">
        <f>778031+210069</f>
        <v>988100</v>
      </c>
      <c r="K668" s="1172"/>
      <c r="L668" s="1173"/>
      <c r="M668" s="1172"/>
      <c r="N668" s="1172"/>
      <c r="O668" s="1172"/>
      <c r="P668" s="1174"/>
      <c r="Q668" s="1175"/>
      <c r="R668" s="1172"/>
      <c r="S668" s="1172"/>
      <c r="T668" s="1172"/>
      <c r="U668" s="1172"/>
      <c r="V668" s="1172"/>
      <c r="W668" s="1172"/>
      <c r="X668" s="1176"/>
    </row>
    <row r="669" spans="1:24" ht="23.25" customHeight="1" x14ac:dyDescent="0.2">
      <c r="A669" s="2052" t="s">
        <v>2016</v>
      </c>
      <c r="B669" s="2054" t="s">
        <v>2699</v>
      </c>
      <c r="C669" s="2056" t="s">
        <v>2700</v>
      </c>
      <c r="D669" s="1170" t="s">
        <v>188</v>
      </c>
      <c r="E669" s="1462" t="s">
        <v>1980</v>
      </c>
      <c r="F669" s="1462" t="s">
        <v>2515</v>
      </c>
      <c r="G669" s="1311" t="s">
        <v>1828</v>
      </c>
      <c r="H669" s="1172"/>
      <c r="I669" s="1172"/>
      <c r="J669" s="1172">
        <f>-393701-106299</f>
        <v>-500000</v>
      </c>
      <c r="K669" s="1172"/>
      <c r="L669" s="1173"/>
      <c r="M669" s="1172"/>
      <c r="N669" s="1172"/>
      <c r="O669" s="1172"/>
      <c r="P669" s="1174"/>
      <c r="Q669" s="1175"/>
      <c r="R669" s="1172"/>
      <c r="S669" s="1172"/>
      <c r="T669" s="1172"/>
      <c r="U669" s="1172"/>
      <c r="V669" s="1172"/>
      <c r="W669" s="1172"/>
      <c r="X669" s="1176"/>
    </row>
    <row r="670" spans="1:24" ht="23.25" customHeight="1" x14ac:dyDescent="0.2">
      <c r="A670" s="2053"/>
      <c r="B670" s="2055"/>
      <c r="C670" s="2057"/>
      <c r="D670" s="1170" t="s">
        <v>188</v>
      </c>
      <c r="E670" s="1462" t="s">
        <v>1980</v>
      </c>
      <c r="F670" s="1462" t="s">
        <v>1979</v>
      </c>
      <c r="G670" s="1311" t="s">
        <v>1829</v>
      </c>
      <c r="H670" s="1172"/>
      <c r="I670" s="1172"/>
      <c r="J670" s="1172">
        <f>393701+106299</f>
        <v>500000</v>
      </c>
      <c r="K670" s="1172"/>
      <c r="L670" s="1173"/>
      <c r="M670" s="1172"/>
      <c r="N670" s="1172"/>
      <c r="O670" s="1172"/>
      <c r="P670" s="1174"/>
      <c r="Q670" s="1175"/>
      <c r="R670" s="1172"/>
      <c r="S670" s="1172"/>
      <c r="T670" s="1172"/>
      <c r="U670" s="1172"/>
      <c r="V670" s="1172"/>
      <c r="W670" s="1172"/>
      <c r="X670" s="1176"/>
    </row>
    <row r="671" spans="1:24" ht="42.75" customHeight="1" x14ac:dyDescent="0.2">
      <c r="A671" s="1491" t="s">
        <v>2017</v>
      </c>
      <c r="B671" s="1490" t="s">
        <v>2701</v>
      </c>
      <c r="C671" s="1631" t="s">
        <v>2702</v>
      </c>
      <c r="D671" s="1170" t="s">
        <v>188</v>
      </c>
      <c r="E671" s="1462" t="s">
        <v>1980</v>
      </c>
      <c r="F671" s="1462" t="s">
        <v>1979</v>
      </c>
      <c r="G671" s="1311" t="s">
        <v>1837</v>
      </c>
      <c r="H671" s="1172"/>
      <c r="I671" s="1172"/>
      <c r="J671" s="1172">
        <f>-1399965-95581-167840+1663386</f>
        <v>0</v>
      </c>
      <c r="K671" s="1172"/>
      <c r="L671" s="1173"/>
      <c r="M671" s="1172"/>
      <c r="N671" s="1172"/>
      <c r="O671" s="1172"/>
      <c r="P671" s="1174"/>
      <c r="Q671" s="1175"/>
      <c r="R671" s="1172"/>
      <c r="S671" s="1172"/>
      <c r="T671" s="1172"/>
      <c r="U671" s="1172"/>
      <c r="V671" s="1172"/>
      <c r="W671" s="1172"/>
      <c r="X671" s="1176"/>
    </row>
    <row r="672" spans="1:24" ht="22.5" customHeight="1" x14ac:dyDescent="0.2">
      <c r="A672" s="2052" t="s">
        <v>2018</v>
      </c>
      <c r="B672" s="2054" t="s">
        <v>2703</v>
      </c>
      <c r="C672" s="2056" t="s">
        <v>2704</v>
      </c>
      <c r="D672" s="1170" t="s">
        <v>195</v>
      </c>
      <c r="E672" s="1462" t="s">
        <v>74</v>
      </c>
      <c r="F672" s="1462" t="s">
        <v>1870</v>
      </c>
      <c r="G672" s="1311" t="s">
        <v>1828</v>
      </c>
      <c r="H672" s="1172"/>
      <c r="I672" s="1172"/>
      <c r="J672" s="1172"/>
      <c r="K672" s="1172"/>
      <c r="L672" s="1173">
        <v>-144920</v>
      </c>
      <c r="M672" s="1172"/>
      <c r="N672" s="1172"/>
      <c r="O672" s="1172"/>
      <c r="P672" s="1174"/>
      <c r="Q672" s="1175"/>
      <c r="R672" s="1172"/>
      <c r="S672" s="1172"/>
      <c r="T672" s="1172"/>
      <c r="U672" s="1172"/>
      <c r="V672" s="1172"/>
      <c r="W672" s="1172"/>
      <c r="X672" s="1176"/>
    </row>
    <row r="673" spans="1:24" ht="22.5" customHeight="1" x14ac:dyDescent="0.2">
      <c r="A673" s="2053"/>
      <c r="B673" s="2055"/>
      <c r="C673" s="2057"/>
      <c r="D673" s="1170" t="s">
        <v>188</v>
      </c>
      <c r="E673" s="1462" t="s">
        <v>584</v>
      </c>
      <c r="F673" s="1462" t="s">
        <v>825</v>
      </c>
      <c r="G673" s="1311" t="s">
        <v>1829</v>
      </c>
      <c r="H673" s="1172"/>
      <c r="I673" s="1172"/>
      <c r="J673" s="1172">
        <f>114110+30810</f>
        <v>144920</v>
      </c>
      <c r="K673" s="1172"/>
      <c r="L673" s="1173"/>
      <c r="M673" s="1172"/>
      <c r="N673" s="1172"/>
      <c r="O673" s="1172"/>
      <c r="P673" s="1174"/>
      <c r="Q673" s="1175"/>
      <c r="R673" s="1172"/>
      <c r="S673" s="1172"/>
      <c r="T673" s="1172"/>
      <c r="U673" s="1172"/>
      <c r="V673" s="1172"/>
      <c r="W673" s="1172"/>
      <c r="X673" s="1176"/>
    </row>
    <row r="674" spans="1:24" ht="22.5" customHeight="1" x14ac:dyDescent="0.2">
      <c r="A674" s="2052" t="s">
        <v>2019</v>
      </c>
      <c r="B674" s="2054" t="s">
        <v>2705</v>
      </c>
      <c r="C674" s="2056" t="s">
        <v>2706</v>
      </c>
      <c r="D674" s="1170" t="s">
        <v>195</v>
      </c>
      <c r="E674" s="1462" t="s">
        <v>74</v>
      </c>
      <c r="F674" s="1462" t="s">
        <v>1870</v>
      </c>
      <c r="G674" s="1311" t="s">
        <v>1828</v>
      </c>
      <c r="H674" s="1172"/>
      <c r="I674" s="1172"/>
      <c r="J674" s="1172"/>
      <c r="K674" s="1172"/>
      <c r="L674" s="1173">
        <v>-2956052</v>
      </c>
      <c r="M674" s="1172"/>
      <c r="N674" s="1172"/>
      <c r="O674" s="1172"/>
      <c r="P674" s="1174"/>
      <c r="Q674" s="1175"/>
      <c r="R674" s="1172"/>
      <c r="S674" s="1172"/>
      <c r="T674" s="1172"/>
      <c r="U674" s="1172"/>
      <c r="V674" s="1172"/>
      <c r="W674" s="1172"/>
      <c r="X674" s="1176"/>
    </row>
    <row r="675" spans="1:24" ht="22.5" customHeight="1" x14ac:dyDescent="0.2">
      <c r="A675" s="2053"/>
      <c r="B675" s="2055"/>
      <c r="C675" s="2057"/>
      <c r="D675" s="1170" t="s">
        <v>194</v>
      </c>
      <c r="E675" s="1462" t="s">
        <v>620</v>
      </c>
      <c r="F675" s="1462" t="s">
        <v>134</v>
      </c>
      <c r="G675" s="1311" t="s">
        <v>1829</v>
      </c>
      <c r="H675" s="1172"/>
      <c r="I675" s="1172"/>
      <c r="J675" s="1172"/>
      <c r="K675" s="1172"/>
      <c r="L675" s="1173"/>
      <c r="M675" s="1172"/>
      <c r="N675" s="1172">
        <f>2327600+628452</f>
        <v>2956052</v>
      </c>
      <c r="O675" s="1172"/>
      <c r="P675" s="1174"/>
      <c r="Q675" s="1175"/>
      <c r="R675" s="1172"/>
      <c r="S675" s="1172"/>
      <c r="T675" s="1172"/>
      <c r="U675" s="1172"/>
      <c r="V675" s="1172"/>
      <c r="W675" s="1172"/>
      <c r="X675" s="1176"/>
    </row>
    <row r="676" spans="1:24" ht="22.5" customHeight="1" x14ac:dyDescent="0.2">
      <c r="A676" s="2052" t="s">
        <v>2020</v>
      </c>
      <c r="B676" s="2054" t="s">
        <v>2708</v>
      </c>
      <c r="C676" s="2056" t="s">
        <v>2709</v>
      </c>
      <c r="D676" s="1170" t="s">
        <v>193</v>
      </c>
      <c r="E676" s="1462" t="s">
        <v>1971</v>
      </c>
      <c r="F676" s="1462" t="s">
        <v>128</v>
      </c>
      <c r="G676" s="1311" t="s">
        <v>1828</v>
      </c>
      <c r="H676" s="1172"/>
      <c r="I676" s="1172"/>
      <c r="J676" s="1172"/>
      <c r="K676" s="1172"/>
      <c r="L676" s="1173"/>
      <c r="M676" s="1172">
        <v>-26352000</v>
      </c>
      <c r="N676" s="1172"/>
      <c r="O676" s="1172"/>
      <c r="P676" s="1174"/>
      <c r="Q676" s="1175"/>
      <c r="R676" s="1172"/>
      <c r="S676" s="1172"/>
      <c r="T676" s="1172"/>
      <c r="U676" s="1172"/>
      <c r="V676" s="1172"/>
      <c r="W676" s="1172"/>
      <c r="X676" s="1176"/>
    </row>
    <row r="677" spans="1:24" ht="22.5" customHeight="1" x14ac:dyDescent="0.2">
      <c r="A677" s="2053"/>
      <c r="B677" s="2055"/>
      <c r="C677" s="2057"/>
      <c r="D677" s="1170" t="s">
        <v>188</v>
      </c>
      <c r="E677" s="1462" t="s">
        <v>74</v>
      </c>
      <c r="F677" s="1462" t="s">
        <v>2241</v>
      </c>
      <c r="G677" s="1311" t="s">
        <v>1829</v>
      </c>
      <c r="H677" s="1172"/>
      <c r="I677" s="1172"/>
      <c r="J677" s="1172">
        <v>26352000</v>
      </c>
      <c r="K677" s="1172"/>
      <c r="L677" s="1173"/>
      <c r="M677" s="1172"/>
      <c r="N677" s="1172"/>
      <c r="O677" s="1172"/>
      <c r="P677" s="1174"/>
      <c r="Q677" s="1175"/>
      <c r="R677" s="1172"/>
      <c r="S677" s="1172"/>
      <c r="T677" s="1172"/>
      <c r="U677" s="1172"/>
      <c r="V677" s="1172"/>
      <c r="W677" s="1172"/>
      <c r="X677" s="1176"/>
    </row>
    <row r="678" spans="1:24" ht="39.75" customHeight="1" x14ac:dyDescent="0.2">
      <c r="A678" s="1491" t="s">
        <v>2323</v>
      </c>
      <c r="B678" s="1490" t="s">
        <v>2711</v>
      </c>
      <c r="C678" s="1631" t="s">
        <v>2712</v>
      </c>
      <c r="D678" s="1170" t="s">
        <v>188</v>
      </c>
      <c r="E678" s="1462" t="s">
        <v>2102</v>
      </c>
      <c r="F678" s="1462" t="s">
        <v>2101</v>
      </c>
      <c r="G678" s="1311" t="s">
        <v>1837</v>
      </c>
      <c r="H678" s="1172"/>
      <c r="I678" s="1172"/>
      <c r="J678" s="1172">
        <f>-63499+63499</f>
        <v>0</v>
      </c>
      <c r="K678" s="1172"/>
      <c r="L678" s="1173"/>
      <c r="M678" s="1172"/>
      <c r="N678" s="1172"/>
      <c r="O678" s="1172"/>
      <c r="P678" s="1174"/>
      <c r="Q678" s="1175"/>
      <c r="R678" s="1172"/>
      <c r="S678" s="1172"/>
      <c r="T678" s="1172"/>
      <c r="U678" s="1172"/>
      <c r="V678" s="1172"/>
      <c r="W678" s="1172"/>
      <c r="X678" s="1176"/>
    </row>
    <row r="679" spans="1:24" ht="21.75" customHeight="1" x14ac:dyDescent="0.2">
      <c r="A679" s="2052" t="s">
        <v>2324</v>
      </c>
      <c r="B679" s="2054" t="s">
        <v>2713</v>
      </c>
      <c r="C679" s="2056" t="s">
        <v>2714</v>
      </c>
      <c r="D679" s="1170" t="s">
        <v>188</v>
      </c>
      <c r="E679" s="1462" t="s">
        <v>620</v>
      </c>
      <c r="F679" s="1462" t="s">
        <v>68</v>
      </c>
      <c r="G679" s="1311" t="s">
        <v>1829</v>
      </c>
      <c r="H679" s="1172"/>
      <c r="I679" s="1172"/>
      <c r="J679" s="1172"/>
      <c r="K679" s="1172"/>
      <c r="L679" s="1173"/>
      <c r="M679" s="1172"/>
      <c r="N679" s="1172"/>
      <c r="O679" s="1172"/>
      <c r="P679" s="1174"/>
      <c r="Q679" s="1175"/>
      <c r="R679" s="1172"/>
      <c r="S679" s="1172"/>
      <c r="T679" s="1172"/>
      <c r="U679" s="1172">
        <v>20000</v>
      </c>
      <c r="V679" s="1172"/>
      <c r="W679" s="1172"/>
      <c r="X679" s="1176"/>
    </row>
    <row r="680" spans="1:24" ht="21.75" customHeight="1" x14ac:dyDescent="0.2">
      <c r="A680" s="2053"/>
      <c r="B680" s="2055"/>
      <c r="C680" s="2057"/>
      <c r="D680" s="1170" t="s">
        <v>195</v>
      </c>
      <c r="E680" s="1462" t="s">
        <v>74</v>
      </c>
      <c r="F680" s="1462" t="s">
        <v>1870</v>
      </c>
      <c r="G680" s="1311" t="s">
        <v>1829</v>
      </c>
      <c r="H680" s="1172"/>
      <c r="I680" s="1172"/>
      <c r="J680" s="1172"/>
      <c r="K680" s="1172"/>
      <c r="L680" s="1173">
        <v>20000</v>
      </c>
      <c r="M680" s="1172"/>
      <c r="N680" s="1172"/>
      <c r="O680" s="1172"/>
      <c r="P680" s="1174"/>
      <c r="Q680" s="1175"/>
      <c r="R680" s="1172"/>
      <c r="S680" s="1172"/>
      <c r="T680" s="1172"/>
      <c r="U680" s="1172"/>
      <c r="V680" s="1172"/>
      <c r="W680" s="1172"/>
      <c r="X680" s="1176"/>
    </row>
    <row r="681" spans="1:24" ht="33" customHeight="1" x14ac:dyDescent="0.2">
      <c r="A681" s="2052" t="s">
        <v>2446</v>
      </c>
      <c r="B681" s="2054" t="s">
        <v>2718</v>
      </c>
      <c r="C681" s="2056" t="s">
        <v>2820</v>
      </c>
      <c r="D681" s="1170" t="s">
        <v>195</v>
      </c>
      <c r="E681" s="1462" t="s">
        <v>74</v>
      </c>
      <c r="F681" s="1462" t="s">
        <v>1870</v>
      </c>
      <c r="G681" s="1311" t="s">
        <v>1828</v>
      </c>
      <c r="H681" s="1172"/>
      <c r="I681" s="1172"/>
      <c r="J681" s="1172"/>
      <c r="K681" s="1172"/>
      <c r="L681" s="1173">
        <v>-197549</v>
      </c>
      <c r="M681" s="1172"/>
      <c r="N681" s="1172"/>
      <c r="O681" s="1172"/>
      <c r="P681" s="1174"/>
      <c r="Q681" s="1175"/>
      <c r="R681" s="1172"/>
      <c r="S681" s="1172"/>
      <c r="T681" s="1172"/>
      <c r="U681" s="1172"/>
      <c r="V681" s="1172"/>
      <c r="W681" s="1172"/>
      <c r="X681" s="1176"/>
    </row>
    <row r="682" spans="1:24" ht="33" customHeight="1" x14ac:dyDescent="0.2">
      <c r="A682" s="2053"/>
      <c r="B682" s="2055"/>
      <c r="C682" s="2057"/>
      <c r="D682" s="1170" t="s">
        <v>194</v>
      </c>
      <c r="E682" s="1462" t="s">
        <v>620</v>
      </c>
      <c r="F682" s="1462" t="s">
        <v>134</v>
      </c>
      <c r="G682" s="1311" t="s">
        <v>1829</v>
      </c>
      <c r="H682" s="1172"/>
      <c r="I682" s="1172"/>
      <c r="J682" s="1172"/>
      <c r="K682" s="1172"/>
      <c r="L682" s="1173"/>
      <c r="M682" s="1172"/>
      <c r="N682" s="1172">
        <f>155550+41999</f>
        <v>197549</v>
      </c>
      <c r="O682" s="1172"/>
      <c r="P682" s="1174"/>
      <c r="Q682" s="1175"/>
      <c r="R682" s="1172"/>
      <c r="S682" s="1172"/>
      <c r="T682" s="1172"/>
      <c r="U682" s="1172"/>
      <c r="V682" s="1172"/>
      <c r="W682" s="1172"/>
      <c r="X682" s="1176"/>
    </row>
    <row r="683" spans="1:24" ht="33" customHeight="1" x14ac:dyDescent="0.2">
      <c r="A683" s="1494" t="s">
        <v>2449</v>
      </c>
      <c r="B683" s="1493" t="s">
        <v>2719</v>
      </c>
      <c r="C683" s="1492" t="s">
        <v>2720</v>
      </c>
      <c r="D683" s="1170" t="s">
        <v>188</v>
      </c>
      <c r="E683" s="1462" t="s">
        <v>590</v>
      </c>
      <c r="F683" s="1462" t="s">
        <v>442</v>
      </c>
      <c r="G683" s="1311" t="s">
        <v>1837</v>
      </c>
      <c r="H683" s="1172"/>
      <c r="I683" s="1172"/>
      <c r="J683" s="1172">
        <f>-100000+100000</f>
        <v>0</v>
      </c>
      <c r="K683" s="1172"/>
      <c r="L683" s="1173"/>
      <c r="M683" s="1172"/>
      <c r="N683" s="1172"/>
      <c r="O683" s="1172"/>
      <c r="P683" s="1174"/>
      <c r="Q683" s="1175"/>
      <c r="R683" s="1172"/>
      <c r="S683" s="1172"/>
      <c r="T683" s="1172"/>
      <c r="U683" s="1172"/>
      <c r="V683" s="1172"/>
      <c r="W683" s="1172"/>
      <c r="X683" s="1176"/>
    </row>
    <row r="684" spans="1:24" ht="27" customHeight="1" x14ac:dyDescent="0.2">
      <c r="A684" s="2052" t="s">
        <v>2451</v>
      </c>
      <c r="B684" s="2054" t="s">
        <v>2721</v>
      </c>
      <c r="C684" s="2056" t="s">
        <v>2722</v>
      </c>
      <c r="D684" s="1170" t="s">
        <v>195</v>
      </c>
      <c r="E684" s="1462" t="s">
        <v>74</v>
      </c>
      <c r="F684" s="1462" t="s">
        <v>1870</v>
      </c>
      <c r="G684" s="1311" t="s">
        <v>1828</v>
      </c>
      <c r="H684" s="1172"/>
      <c r="I684" s="1172"/>
      <c r="J684" s="1172"/>
      <c r="K684" s="1172"/>
      <c r="L684" s="1173">
        <v>-139294</v>
      </c>
      <c r="M684" s="1172"/>
      <c r="N684" s="1172"/>
      <c r="O684" s="1172"/>
      <c r="P684" s="1174"/>
      <c r="Q684" s="1175"/>
      <c r="R684" s="1172"/>
      <c r="S684" s="1172"/>
      <c r="T684" s="1172"/>
      <c r="U684" s="1172"/>
      <c r="V684" s="1172"/>
      <c r="W684" s="1172"/>
      <c r="X684" s="1176"/>
    </row>
    <row r="685" spans="1:24" ht="27" customHeight="1" x14ac:dyDescent="0.2">
      <c r="A685" s="2053"/>
      <c r="B685" s="2055"/>
      <c r="C685" s="2057"/>
      <c r="D685" s="1170" t="s">
        <v>197</v>
      </c>
      <c r="E685" s="1462" t="s">
        <v>1288</v>
      </c>
      <c r="F685" s="1462" t="s">
        <v>535</v>
      </c>
      <c r="G685" s="1311" t="s">
        <v>1829</v>
      </c>
      <c r="H685" s="1172"/>
      <c r="I685" s="1172"/>
      <c r="J685" s="1172"/>
      <c r="K685" s="1172"/>
      <c r="L685" s="1173"/>
      <c r="M685" s="1172"/>
      <c r="N685" s="1172"/>
      <c r="O685" s="1172"/>
      <c r="P685" s="1174">
        <v>139294</v>
      </c>
      <c r="Q685" s="1175"/>
      <c r="R685" s="1172"/>
      <c r="S685" s="1172"/>
      <c r="T685" s="1172"/>
      <c r="U685" s="1172"/>
      <c r="V685" s="1172"/>
      <c r="W685" s="1172"/>
      <c r="X685" s="1176"/>
    </row>
    <row r="686" spans="1:24" ht="24" customHeight="1" x14ac:dyDescent="0.2">
      <c r="A686" s="2052" t="s">
        <v>2453</v>
      </c>
      <c r="B686" s="2054" t="s">
        <v>2724</v>
      </c>
      <c r="C686" s="2056" t="s">
        <v>2823</v>
      </c>
      <c r="D686" s="1170" t="s">
        <v>188</v>
      </c>
      <c r="E686" s="1462" t="s">
        <v>813</v>
      </c>
      <c r="F686" s="1462" t="s">
        <v>1897</v>
      </c>
      <c r="G686" s="1311" t="s">
        <v>1828</v>
      </c>
      <c r="H686" s="1172"/>
      <c r="I686" s="1172"/>
      <c r="J686" s="1172">
        <f>-410000-110700</f>
        <v>-520700</v>
      </c>
      <c r="K686" s="1172"/>
      <c r="L686" s="1173"/>
      <c r="M686" s="1172"/>
      <c r="N686" s="1172"/>
      <c r="O686" s="1172"/>
      <c r="P686" s="1174"/>
      <c r="Q686" s="1175"/>
      <c r="R686" s="1172"/>
      <c r="S686" s="1172"/>
      <c r="T686" s="1172"/>
      <c r="U686" s="1172"/>
      <c r="V686" s="1172"/>
      <c r="W686" s="1172"/>
      <c r="X686" s="1176"/>
    </row>
    <row r="687" spans="1:24" ht="24" customHeight="1" x14ac:dyDescent="0.2">
      <c r="A687" s="2053"/>
      <c r="B687" s="2055"/>
      <c r="C687" s="2057"/>
      <c r="D687" s="1170" t="s">
        <v>193</v>
      </c>
      <c r="E687" s="1462" t="s">
        <v>584</v>
      </c>
      <c r="F687" s="1462" t="s">
        <v>135</v>
      </c>
      <c r="G687" s="1311" t="s">
        <v>1829</v>
      </c>
      <c r="H687" s="1172"/>
      <c r="I687" s="1172"/>
      <c r="J687" s="1172"/>
      <c r="K687" s="1172"/>
      <c r="L687" s="1173"/>
      <c r="M687" s="1172">
        <f>410000+110700</f>
        <v>520700</v>
      </c>
      <c r="N687" s="1172"/>
      <c r="O687" s="1172"/>
      <c r="P687" s="1174"/>
      <c r="Q687" s="1175"/>
      <c r="R687" s="1172"/>
      <c r="S687" s="1172"/>
      <c r="T687" s="1172"/>
      <c r="U687" s="1172"/>
      <c r="V687" s="1172"/>
      <c r="W687" s="1172"/>
      <c r="X687" s="1176"/>
    </row>
    <row r="688" spans="1:24" ht="32.25" customHeight="1" x14ac:dyDescent="0.2">
      <c r="A688" s="2052" t="s">
        <v>2455</v>
      </c>
      <c r="B688" s="2054" t="s">
        <v>2727</v>
      </c>
      <c r="C688" s="2056" t="s">
        <v>2728</v>
      </c>
      <c r="D688" s="1170" t="s">
        <v>195</v>
      </c>
      <c r="E688" s="1462" t="s">
        <v>74</v>
      </c>
      <c r="F688" s="1462" t="s">
        <v>1870</v>
      </c>
      <c r="G688" s="1311" t="s">
        <v>1828</v>
      </c>
      <c r="H688" s="1172"/>
      <c r="I688" s="1172"/>
      <c r="J688" s="1172"/>
      <c r="K688" s="1172"/>
      <c r="L688" s="1173">
        <v>-2495573</v>
      </c>
      <c r="M688" s="1172"/>
      <c r="N688" s="1172"/>
      <c r="O688" s="1172"/>
      <c r="P688" s="1174"/>
      <c r="Q688" s="1175"/>
      <c r="R688" s="1172"/>
      <c r="S688" s="1172"/>
      <c r="T688" s="1172"/>
      <c r="U688" s="1172"/>
      <c r="V688" s="1172"/>
      <c r="W688" s="1172"/>
      <c r="X688" s="1176"/>
    </row>
    <row r="689" spans="1:24" ht="32.25" customHeight="1" x14ac:dyDescent="0.2">
      <c r="A689" s="2053"/>
      <c r="B689" s="2055"/>
      <c r="C689" s="2057"/>
      <c r="D689" s="1170" t="s">
        <v>194</v>
      </c>
      <c r="E689" s="1462" t="s">
        <v>620</v>
      </c>
      <c r="F689" s="1462" t="s">
        <v>134</v>
      </c>
      <c r="G689" s="1311" t="s">
        <v>1829</v>
      </c>
      <c r="H689" s="1172"/>
      <c r="I689" s="1172"/>
      <c r="J689" s="1172"/>
      <c r="K689" s="1172"/>
      <c r="L689" s="1173"/>
      <c r="M689" s="1172"/>
      <c r="N689" s="1172">
        <f>1965018+530555</f>
        <v>2495573</v>
      </c>
      <c r="O689" s="1172"/>
      <c r="P689" s="1174"/>
      <c r="Q689" s="1175"/>
      <c r="R689" s="1172"/>
      <c r="S689" s="1172"/>
      <c r="T689" s="1172"/>
      <c r="U689" s="1172"/>
      <c r="V689" s="1172"/>
      <c r="W689" s="1172"/>
      <c r="X689" s="1176"/>
    </row>
    <row r="690" spans="1:24" ht="33.75" customHeight="1" x14ac:dyDescent="0.2">
      <c r="A690" s="2052" t="s">
        <v>2459</v>
      </c>
      <c r="B690" s="2054" t="s">
        <v>2729</v>
      </c>
      <c r="C690" s="2056" t="s">
        <v>2730</v>
      </c>
      <c r="D690" s="1170" t="s">
        <v>195</v>
      </c>
      <c r="E690" s="1462" t="s">
        <v>74</v>
      </c>
      <c r="F690" s="1462" t="s">
        <v>1870</v>
      </c>
      <c r="G690" s="1311" t="s">
        <v>1828</v>
      </c>
      <c r="H690" s="1172"/>
      <c r="I690" s="1172"/>
      <c r="J690" s="1172"/>
      <c r="K690" s="1172"/>
      <c r="L690" s="1173">
        <v>-1295029</v>
      </c>
      <c r="M690" s="1172"/>
      <c r="N690" s="1172"/>
      <c r="O690" s="1172"/>
      <c r="P690" s="1174"/>
      <c r="Q690" s="1175"/>
      <c r="R690" s="1172"/>
      <c r="S690" s="1172"/>
      <c r="T690" s="1172"/>
      <c r="U690" s="1172"/>
      <c r="V690" s="1172"/>
      <c r="W690" s="1172"/>
      <c r="X690" s="1176"/>
    </row>
    <row r="691" spans="1:24" ht="33.75" customHeight="1" x14ac:dyDescent="0.2">
      <c r="A691" s="2053"/>
      <c r="B691" s="2055"/>
      <c r="C691" s="2057"/>
      <c r="D691" s="1170" t="s">
        <v>194</v>
      </c>
      <c r="E691" s="1462" t="s">
        <v>1502</v>
      </c>
      <c r="F691" s="1462" t="s">
        <v>1501</v>
      </c>
      <c r="G691" s="1311" t="s">
        <v>1829</v>
      </c>
      <c r="H691" s="1172"/>
      <c r="I691" s="1172"/>
      <c r="J691" s="1172"/>
      <c r="K691" s="1172"/>
      <c r="L691" s="1173"/>
      <c r="M691" s="1172"/>
      <c r="N691" s="1172">
        <f>1019708+275321</f>
        <v>1295029</v>
      </c>
      <c r="O691" s="1172"/>
      <c r="P691" s="1174"/>
      <c r="Q691" s="1175"/>
      <c r="R691" s="1172"/>
      <c r="S691" s="1172"/>
      <c r="T691" s="1172"/>
      <c r="U691" s="1172"/>
      <c r="V691" s="1172"/>
      <c r="W691" s="1172"/>
      <c r="X691" s="1176"/>
    </row>
    <row r="692" spans="1:24" ht="28.5" customHeight="1" x14ac:dyDescent="0.2">
      <c r="A692" s="2052" t="s">
        <v>2461</v>
      </c>
      <c r="B692" s="2054" t="s">
        <v>2733</v>
      </c>
      <c r="C692" s="2056" t="s">
        <v>2734</v>
      </c>
      <c r="D692" s="1170" t="s">
        <v>195</v>
      </c>
      <c r="E692" s="1462" t="s">
        <v>74</v>
      </c>
      <c r="F692" s="1462" t="s">
        <v>1870</v>
      </c>
      <c r="G692" s="1311" t="s">
        <v>1828</v>
      </c>
      <c r="H692" s="1172"/>
      <c r="I692" s="1172"/>
      <c r="J692" s="1172"/>
      <c r="K692" s="1172"/>
      <c r="L692" s="1173">
        <v>-545724</v>
      </c>
      <c r="M692" s="1172"/>
      <c r="N692" s="1172"/>
      <c r="O692" s="1172"/>
      <c r="P692" s="1174"/>
      <c r="Q692" s="1175"/>
      <c r="R692" s="1172"/>
      <c r="S692" s="1172"/>
      <c r="T692" s="1172"/>
      <c r="U692" s="1172"/>
      <c r="V692" s="1172"/>
      <c r="W692" s="1172"/>
      <c r="X692" s="1176"/>
    </row>
    <row r="693" spans="1:24" ht="28.5" customHeight="1" x14ac:dyDescent="0.2">
      <c r="A693" s="2053"/>
      <c r="B693" s="2055"/>
      <c r="C693" s="2057"/>
      <c r="D693" s="1170" t="s">
        <v>197</v>
      </c>
      <c r="E693" s="1462" t="s">
        <v>1288</v>
      </c>
      <c r="F693" s="1462" t="s">
        <v>535</v>
      </c>
      <c r="G693" s="1311" t="s">
        <v>1829</v>
      </c>
      <c r="H693" s="1172"/>
      <c r="I693" s="1172"/>
      <c r="J693" s="1172"/>
      <c r="K693" s="1172"/>
      <c r="L693" s="1173"/>
      <c r="M693" s="1172"/>
      <c r="N693" s="1172"/>
      <c r="O693" s="1172"/>
      <c r="P693" s="1174">
        <v>545724</v>
      </c>
      <c r="Q693" s="1175"/>
      <c r="R693" s="1172"/>
      <c r="S693" s="1172"/>
      <c r="T693" s="1172"/>
      <c r="U693" s="1172"/>
      <c r="V693" s="1172"/>
      <c r="W693" s="1172"/>
      <c r="X693" s="1176"/>
    </row>
    <row r="694" spans="1:24" ht="19.5" customHeight="1" x14ac:dyDescent="0.2">
      <c r="A694" s="2052" t="s">
        <v>2463</v>
      </c>
      <c r="B694" s="2054" t="s">
        <v>2735</v>
      </c>
      <c r="C694" s="2056" t="s">
        <v>2736</v>
      </c>
      <c r="D694" s="1170" t="s">
        <v>188</v>
      </c>
      <c r="E694" s="1462" t="s">
        <v>130</v>
      </c>
      <c r="F694" s="1462" t="s">
        <v>129</v>
      </c>
      <c r="G694" s="1311" t="s">
        <v>1829</v>
      </c>
      <c r="H694" s="1172"/>
      <c r="I694" s="1172"/>
      <c r="J694" s="1172"/>
      <c r="K694" s="1172"/>
      <c r="L694" s="1173"/>
      <c r="M694" s="1172"/>
      <c r="N694" s="1172"/>
      <c r="O694" s="1172"/>
      <c r="P694" s="1174"/>
      <c r="Q694" s="1175"/>
      <c r="R694" s="1172"/>
      <c r="S694" s="1172"/>
      <c r="T694" s="1172">
        <f>2499811+674949</f>
        <v>3174760</v>
      </c>
      <c r="U694" s="1172"/>
      <c r="V694" s="1172"/>
      <c r="W694" s="1172"/>
      <c r="X694" s="1176"/>
    </row>
    <row r="695" spans="1:24" ht="19.5" customHeight="1" x14ac:dyDescent="0.2">
      <c r="A695" s="2061"/>
      <c r="B695" s="2060"/>
      <c r="C695" s="2065"/>
      <c r="D695" s="1170" t="s">
        <v>188</v>
      </c>
      <c r="E695" s="1462" t="s">
        <v>547</v>
      </c>
      <c r="F695" s="1462" t="s">
        <v>748</v>
      </c>
      <c r="G695" s="1311" t="s">
        <v>1829</v>
      </c>
      <c r="H695" s="1172"/>
      <c r="I695" s="1172"/>
      <c r="J695" s="1172"/>
      <c r="K695" s="1172"/>
      <c r="L695" s="1173"/>
      <c r="M695" s="1172"/>
      <c r="N695" s="1172"/>
      <c r="O695" s="1172"/>
      <c r="P695" s="1174"/>
      <c r="Q695" s="1175"/>
      <c r="R695" s="1172"/>
      <c r="S695" s="1172"/>
      <c r="T695" s="1172">
        <f>34621550+9347819</f>
        <v>43969369</v>
      </c>
      <c r="U695" s="1172"/>
      <c r="V695" s="1172"/>
      <c r="W695" s="1172"/>
      <c r="X695" s="1176"/>
    </row>
    <row r="696" spans="1:24" ht="21" customHeight="1" x14ac:dyDescent="0.2">
      <c r="A696" s="2053"/>
      <c r="B696" s="2055"/>
      <c r="C696" s="2057"/>
      <c r="D696" s="1170" t="s">
        <v>195</v>
      </c>
      <c r="E696" s="1462" t="s">
        <v>74</v>
      </c>
      <c r="F696" s="1462" t="s">
        <v>1870</v>
      </c>
      <c r="G696" s="1311" t="s">
        <v>1829</v>
      </c>
      <c r="H696" s="1172"/>
      <c r="I696" s="1172"/>
      <c r="J696" s="1172"/>
      <c r="K696" s="1172"/>
      <c r="L696" s="1173">
        <v>47144129</v>
      </c>
      <c r="M696" s="1172"/>
      <c r="N696" s="1172"/>
      <c r="O696" s="1172"/>
      <c r="P696" s="1174"/>
      <c r="Q696" s="1175"/>
      <c r="R696" s="1172"/>
      <c r="S696" s="1172"/>
      <c r="T696" s="1172"/>
      <c r="U696" s="1172"/>
      <c r="V696" s="1172"/>
      <c r="W696" s="1172"/>
      <c r="X696" s="1176"/>
    </row>
    <row r="697" spans="1:24" ht="27.75" customHeight="1" x14ac:dyDescent="0.2">
      <c r="A697" s="2052" t="s">
        <v>2465</v>
      </c>
      <c r="B697" s="2054" t="s">
        <v>2737</v>
      </c>
      <c r="C697" s="2056" t="s">
        <v>2738</v>
      </c>
      <c r="D697" s="1170" t="s">
        <v>195</v>
      </c>
      <c r="E697" s="1462" t="s">
        <v>74</v>
      </c>
      <c r="F697" s="1462" t="s">
        <v>1870</v>
      </c>
      <c r="G697" s="1311" t="s">
        <v>1828</v>
      </c>
      <c r="H697" s="1172"/>
      <c r="I697" s="1172"/>
      <c r="J697" s="1172"/>
      <c r="K697" s="1172"/>
      <c r="L697" s="1173">
        <v>-952500</v>
      </c>
      <c r="M697" s="1172"/>
      <c r="N697" s="1172"/>
      <c r="O697" s="1172"/>
      <c r="P697" s="1174"/>
      <c r="Q697" s="1175"/>
      <c r="R697" s="1172"/>
      <c r="S697" s="1172"/>
      <c r="T697" s="1172"/>
      <c r="U697" s="1172"/>
      <c r="V697" s="1172"/>
      <c r="W697" s="1172"/>
      <c r="X697" s="1176"/>
    </row>
    <row r="698" spans="1:24" ht="27.75" customHeight="1" x14ac:dyDescent="0.2">
      <c r="A698" s="2053"/>
      <c r="B698" s="2055"/>
      <c r="C698" s="2057"/>
      <c r="D698" s="1170" t="s">
        <v>194</v>
      </c>
      <c r="E698" s="1462" t="s">
        <v>1502</v>
      </c>
      <c r="F698" s="1462" t="s">
        <v>1501</v>
      </c>
      <c r="G698" s="1311" t="s">
        <v>1829</v>
      </c>
      <c r="H698" s="1172"/>
      <c r="I698" s="1172"/>
      <c r="J698" s="1172"/>
      <c r="K698" s="1172"/>
      <c r="L698" s="1173"/>
      <c r="M698" s="1172"/>
      <c r="N698" s="1172">
        <f>750000+202500</f>
        <v>952500</v>
      </c>
      <c r="O698" s="1172"/>
      <c r="P698" s="1174"/>
      <c r="Q698" s="1175"/>
      <c r="R698" s="1172"/>
      <c r="S698" s="1172"/>
      <c r="T698" s="1172"/>
      <c r="U698" s="1172"/>
      <c r="V698" s="1172"/>
      <c r="W698" s="1172"/>
      <c r="X698" s="1176"/>
    </row>
    <row r="699" spans="1:24" ht="32.25" customHeight="1" x14ac:dyDescent="0.2">
      <c r="A699" s="2052" t="s">
        <v>2483</v>
      </c>
      <c r="B699" s="2054" t="s">
        <v>2739</v>
      </c>
      <c r="C699" s="2056" t="s">
        <v>2740</v>
      </c>
      <c r="D699" s="1170" t="s">
        <v>195</v>
      </c>
      <c r="E699" s="1462" t="s">
        <v>74</v>
      </c>
      <c r="F699" s="1462" t="s">
        <v>1870</v>
      </c>
      <c r="G699" s="1311" t="s">
        <v>1828</v>
      </c>
      <c r="H699" s="1172"/>
      <c r="I699" s="1172"/>
      <c r="J699" s="1172"/>
      <c r="K699" s="1172"/>
      <c r="L699" s="1173">
        <v>-952500</v>
      </c>
      <c r="M699" s="1172"/>
      <c r="N699" s="1172"/>
      <c r="O699" s="1172"/>
      <c r="P699" s="1174"/>
      <c r="Q699" s="1175"/>
      <c r="R699" s="1172"/>
      <c r="S699" s="1172"/>
      <c r="T699" s="1172"/>
      <c r="U699" s="1172"/>
      <c r="V699" s="1172"/>
      <c r="W699" s="1172"/>
      <c r="X699" s="1176"/>
    </row>
    <row r="700" spans="1:24" ht="32.25" customHeight="1" x14ac:dyDescent="0.2">
      <c r="A700" s="2053"/>
      <c r="B700" s="2055"/>
      <c r="C700" s="2057"/>
      <c r="D700" s="1170" t="s">
        <v>194</v>
      </c>
      <c r="E700" s="1462" t="s">
        <v>620</v>
      </c>
      <c r="F700" s="1462" t="s">
        <v>134</v>
      </c>
      <c r="G700" s="1311" t="s">
        <v>1829</v>
      </c>
      <c r="H700" s="1172"/>
      <c r="I700" s="1172"/>
      <c r="J700" s="1172"/>
      <c r="K700" s="1172"/>
      <c r="L700" s="1173"/>
      <c r="M700" s="1172"/>
      <c r="N700" s="1172">
        <f>750000+202500</f>
        <v>952500</v>
      </c>
      <c r="O700" s="1172"/>
      <c r="P700" s="1174"/>
      <c r="Q700" s="1175"/>
      <c r="R700" s="1172"/>
      <c r="S700" s="1172"/>
      <c r="T700" s="1172"/>
      <c r="U700" s="1172"/>
      <c r="V700" s="1172"/>
      <c r="W700" s="1172"/>
      <c r="X700" s="1176"/>
    </row>
    <row r="701" spans="1:24" ht="33.75" customHeight="1" x14ac:dyDescent="0.2">
      <c r="A701" s="2052" t="s">
        <v>2484</v>
      </c>
      <c r="B701" s="2054" t="s">
        <v>2741</v>
      </c>
      <c r="C701" s="2056" t="s">
        <v>2742</v>
      </c>
      <c r="D701" s="1170" t="s">
        <v>195</v>
      </c>
      <c r="E701" s="1462" t="s">
        <v>74</v>
      </c>
      <c r="F701" s="1462" t="s">
        <v>1870</v>
      </c>
      <c r="G701" s="1311" t="s">
        <v>1828</v>
      </c>
      <c r="H701" s="1172"/>
      <c r="I701" s="1172"/>
      <c r="J701" s="1172"/>
      <c r="K701" s="1172"/>
      <c r="L701" s="1173">
        <v>-936382</v>
      </c>
      <c r="M701" s="1172"/>
      <c r="N701" s="1172"/>
      <c r="O701" s="1172"/>
      <c r="P701" s="1174"/>
      <c r="Q701" s="1175"/>
      <c r="R701" s="1172"/>
      <c r="S701" s="1172"/>
      <c r="T701" s="1172"/>
      <c r="U701" s="1172"/>
      <c r="V701" s="1172"/>
      <c r="W701" s="1172"/>
      <c r="X701" s="1176"/>
    </row>
    <row r="702" spans="1:24" ht="33.75" customHeight="1" x14ac:dyDescent="0.2">
      <c r="A702" s="2053"/>
      <c r="B702" s="2055"/>
      <c r="C702" s="2057"/>
      <c r="D702" s="1170" t="s">
        <v>194</v>
      </c>
      <c r="E702" s="1462" t="s">
        <v>1502</v>
      </c>
      <c r="F702" s="1462" t="s">
        <v>1501</v>
      </c>
      <c r="G702" s="1311" t="s">
        <v>1829</v>
      </c>
      <c r="H702" s="1172"/>
      <c r="I702" s="1172"/>
      <c r="J702" s="1172"/>
      <c r="K702" s="1172"/>
      <c r="L702" s="1173"/>
      <c r="M702" s="1172"/>
      <c r="N702" s="1172">
        <f>737309+199073</f>
        <v>936382</v>
      </c>
      <c r="O702" s="1172"/>
      <c r="P702" s="1174"/>
      <c r="Q702" s="1175"/>
      <c r="R702" s="1172"/>
      <c r="S702" s="1172"/>
      <c r="T702" s="1172"/>
      <c r="U702" s="1172"/>
      <c r="V702" s="1172"/>
      <c r="W702" s="1172"/>
      <c r="X702" s="1176"/>
    </row>
    <row r="703" spans="1:24" ht="33" customHeight="1" x14ac:dyDescent="0.2">
      <c r="A703" s="2052" t="s">
        <v>2487</v>
      </c>
      <c r="B703" s="2054" t="s">
        <v>2743</v>
      </c>
      <c r="C703" s="2056" t="s">
        <v>2744</v>
      </c>
      <c r="D703" s="1170" t="s">
        <v>195</v>
      </c>
      <c r="E703" s="1462" t="s">
        <v>74</v>
      </c>
      <c r="F703" s="1462" t="s">
        <v>1870</v>
      </c>
      <c r="G703" s="1311" t="s">
        <v>1828</v>
      </c>
      <c r="H703" s="1172"/>
      <c r="I703" s="1172"/>
      <c r="J703" s="1172"/>
      <c r="K703" s="1172"/>
      <c r="L703" s="1173">
        <v>-508000</v>
      </c>
      <c r="M703" s="1172"/>
      <c r="N703" s="1172"/>
      <c r="O703" s="1172"/>
      <c r="P703" s="1174"/>
      <c r="Q703" s="1175"/>
      <c r="R703" s="1172"/>
      <c r="S703" s="1172"/>
      <c r="T703" s="1172"/>
      <c r="U703" s="1172"/>
      <c r="V703" s="1172"/>
      <c r="W703" s="1172"/>
      <c r="X703" s="1176"/>
    </row>
    <row r="704" spans="1:24" ht="33" customHeight="1" x14ac:dyDescent="0.2">
      <c r="A704" s="2053"/>
      <c r="B704" s="2055"/>
      <c r="C704" s="2057"/>
      <c r="D704" s="1170" t="s">
        <v>194</v>
      </c>
      <c r="E704" s="1462" t="s">
        <v>620</v>
      </c>
      <c r="F704" s="1462" t="s">
        <v>134</v>
      </c>
      <c r="G704" s="1311" t="s">
        <v>1829</v>
      </c>
      <c r="H704" s="1172"/>
      <c r="I704" s="1172"/>
      <c r="J704" s="1172"/>
      <c r="K704" s="1172"/>
      <c r="L704" s="1173"/>
      <c r="M704" s="1172"/>
      <c r="N704" s="1172">
        <f>400000+108000</f>
        <v>508000</v>
      </c>
      <c r="O704" s="1172"/>
      <c r="P704" s="1174"/>
      <c r="Q704" s="1175"/>
      <c r="R704" s="1172"/>
      <c r="S704" s="1172"/>
      <c r="T704" s="1172"/>
      <c r="U704" s="1172"/>
      <c r="V704" s="1172"/>
      <c r="W704" s="1172"/>
      <c r="X704" s="1176"/>
    </row>
    <row r="705" spans="1:24" ht="34.5" customHeight="1" x14ac:dyDescent="0.2">
      <c r="A705" s="2052" t="s">
        <v>2489</v>
      </c>
      <c r="B705" s="2054" t="s">
        <v>2755</v>
      </c>
      <c r="C705" s="2056" t="s">
        <v>2756</v>
      </c>
      <c r="D705" s="1170" t="s">
        <v>195</v>
      </c>
      <c r="E705" s="1462" t="s">
        <v>74</v>
      </c>
      <c r="F705" s="1462" t="s">
        <v>1870</v>
      </c>
      <c r="G705" s="1311" t="s">
        <v>1828</v>
      </c>
      <c r="H705" s="1172"/>
      <c r="I705" s="1172"/>
      <c r="J705" s="1172"/>
      <c r="K705" s="1172"/>
      <c r="L705" s="1173">
        <v>-3072000</v>
      </c>
      <c r="M705" s="1172"/>
      <c r="N705" s="1172"/>
      <c r="O705" s="1172"/>
      <c r="P705" s="1174"/>
      <c r="Q705" s="1175"/>
      <c r="R705" s="1172"/>
      <c r="S705" s="1172"/>
      <c r="T705" s="1172"/>
      <c r="U705" s="1172"/>
      <c r="V705" s="1172"/>
      <c r="W705" s="1172"/>
      <c r="X705" s="1176"/>
    </row>
    <row r="706" spans="1:24" ht="34.5" customHeight="1" x14ac:dyDescent="0.2">
      <c r="A706" s="2053"/>
      <c r="B706" s="2055"/>
      <c r="C706" s="2057"/>
      <c r="D706" s="1170" t="s">
        <v>197</v>
      </c>
      <c r="E706" s="1462" t="s">
        <v>1288</v>
      </c>
      <c r="F706" s="1462" t="s">
        <v>535</v>
      </c>
      <c r="G706" s="1311" t="s">
        <v>1829</v>
      </c>
      <c r="H706" s="1172"/>
      <c r="I706" s="1172"/>
      <c r="J706" s="1172"/>
      <c r="K706" s="1172"/>
      <c r="L706" s="1173"/>
      <c r="M706" s="1172"/>
      <c r="N706" s="1172"/>
      <c r="O706" s="1172"/>
      <c r="P706" s="1174">
        <v>3072000</v>
      </c>
      <c r="Q706" s="1175"/>
      <c r="R706" s="1172"/>
      <c r="S706" s="1172"/>
      <c r="T706" s="1172"/>
      <c r="U706" s="1172"/>
      <c r="V706" s="1172"/>
      <c r="W706" s="1172"/>
      <c r="X706" s="1176"/>
    </row>
    <row r="707" spans="1:24" ht="33.75" customHeight="1" x14ac:dyDescent="0.2">
      <c r="A707" s="2052" t="s">
        <v>2492</v>
      </c>
      <c r="B707" s="2054" t="s">
        <v>2757</v>
      </c>
      <c r="C707" s="2056" t="s">
        <v>2758</v>
      </c>
      <c r="D707" s="1170" t="s">
        <v>195</v>
      </c>
      <c r="E707" s="1462" t="s">
        <v>74</v>
      </c>
      <c r="F707" s="1462" t="s">
        <v>1870</v>
      </c>
      <c r="G707" s="1311" t="s">
        <v>1828</v>
      </c>
      <c r="H707" s="1172"/>
      <c r="I707" s="1172"/>
      <c r="J707" s="1172"/>
      <c r="K707" s="1172"/>
      <c r="L707" s="1173">
        <v>-896000</v>
      </c>
      <c r="M707" s="1172"/>
      <c r="N707" s="1172"/>
      <c r="O707" s="1172"/>
      <c r="P707" s="1174"/>
      <c r="Q707" s="1175"/>
      <c r="R707" s="1172"/>
      <c r="S707" s="1172"/>
      <c r="T707" s="1172"/>
      <c r="U707" s="1172"/>
      <c r="V707" s="1172"/>
      <c r="W707" s="1172"/>
      <c r="X707" s="1176"/>
    </row>
    <row r="708" spans="1:24" ht="33.75" customHeight="1" x14ac:dyDescent="0.2">
      <c r="A708" s="2053"/>
      <c r="B708" s="2055"/>
      <c r="C708" s="2057"/>
      <c r="D708" s="1170" t="s">
        <v>197</v>
      </c>
      <c r="E708" s="1462" t="s">
        <v>1288</v>
      </c>
      <c r="F708" s="1462" t="s">
        <v>535</v>
      </c>
      <c r="G708" s="1311" t="s">
        <v>1829</v>
      </c>
      <c r="H708" s="1172"/>
      <c r="I708" s="1172"/>
      <c r="J708" s="1172"/>
      <c r="K708" s="1172"/>
      <c r="L708" s="1173"/>
      <c r="M708" s="1172"/>
      <c r="N708" s="1172"/>
      <c r="O708" s="1172"/>
      <c r="P708" s="1174">
        <v>896000</v>
      </c>
      <c r="Q708" s="1175"/>
      <c r="R708" s="1172"/>
      <c r="S708" s="1172"/>
      <c r="T708" s="1172"/>
      <c r="U708" s="1172"/>
      <c r="V708" s="1172"/>
      <c r="W708" s="1172"/>
      <c r="X708" s="1176"/>
    </row>
    <row r="709" spans="1:24" ht="36" customHeight="1" x14ac:dyDescent="0.2">
      <c r="A709" s="2052" t="s">
        <v>2494</v>
      </c>
      <c r="B709" s="2054" t="s">
        <v>2759</v>
      </c>
      <c r="C709" s="2056" t="s">
        <v>2760</v>
      </c>
      <c r="D709" s="1170" t="s">
        <v>195</v>
      </c>
      <c r="E709" s="1462" t="s">
        <v>74</v>
      </c>
      <c r="F709" s="1462" t="s">
        <v>1870</v>
      </c>
      <c r="G709" s="1311" t="s">
        <v>1828</v>
      </c>
      <c r="H709" s="1172"/>
      <c r="I709" s="1172"/>
      <c r="J709" s="1172"/>
      <c r="K709" s="1172"/>
      <c r="L709" s="1173">
        <v>-896000</v>
      </c>
      <c r="M709" s="1172"/>
      <c r="N709" s="1172"/>
      <c r="O709" s="1172"/>
      <c r="P709" s="1174"/>
      <c r="Q709" s="1175"/>
      <c r="R709" s="1172"/>
      <c r="S709" s="1172"/>
      <c r="T709" s="1172"/>
      <c r="U709" s="1172"/>
      <c r="V709" s="1172"/>
      <c r="W709" s="1172"/>
      <c r="X709" s="1176"/>
    </row>
    <row r="710" spans="1:24" ht="36" customHeight="1" x14ac:dyDescent="0.2">
      <c r="A710" s="2053"/>
      <c r="B710" s="2055"/>
      <c r="C710" s="2057"/>
      <c r="D710" s="1170" t="s">
        <v>197</v>
      </c>
      <c r="E710" s="1462" t="s">
        <v>1288</v>
      </c>
      <c r="F710" s="1462" t="s">
        <v>535</v>
      </c>
      <c r="G710" s="1311" t="s">
        <v>1829</v>
      </c>
      <c r="H710" s="1172"/>
      <c r="I710" s="1172"/>
      <c r="J710" s="1172"/>
      <c r="K710" s="1172"/>
      <c r="L710" s="1173"/>
      <c r="M710" s="1172"/>
      <c r="N710" s="1172"/>
      <c r="O710" s="1172"/>
      <c r="P710" s="1174">
        <v>896000</v>
      </c>
      <c r="Q710" s="1175"/>
      <c r="R710" s="1172"/>
      <c r="S710" s="1172"/>
      <c r="T710" s="1172"/>
      <c r="U710" s="1172"/>
      <c r="V710" s="1172"/>
      <c r="W710" s="1172"/>
      <c r="X710" s="1176"/>
    </row>
    <row r="711" spans="1:24" ht="36" customHeight="1" x14ac:dyDescent="0.2">
      <c r="A711" s="2052" t="s">
        <v>2498</v>
      </c>
      <c r="B711" s="2054" t="s">
        <v>2761</v>
      </c>
      <c r="C711" s="2056" t="s">
        <v>2762</v>
      </c>
      <c r="D711" s="1170" t="s">
        <v>195</v>
      </c>
      <c r="E711" s="1462" t="s">
        <v>74</v>
      </c>
      <c r="F711" s="1462" t="s">
        <v>1870</v>
      </c>
      <c r="G711" s="1311" t="s">
        <v>1828</v>
      </c>
      <c r="H711" s="1172"/>
      <c r="I711" s="1172"/>
      <c r="J711" s="1172"/>
      <c r="K711" s="1172"/>
      <c r="L711" s="1173">
        <v>-9024000</v>
      </c>
      <c r="M711" s="1172"/>
      <c r="N711" s="1172"/>
      <c r="O711" s="1172"/>
      <c r="P711" s="1174"/>
      <c r="Q711" s="1175"/>
      <c r="R711" s="1172"/>
      <c r="S711" s="1172"/>
      <c r="T711" s="1172"/>
      <c r="U711" s="1172"/>
      <c r="V711" s="1172"/>
      <c r="W711" s="1172"/>
      <c r="X711" s="1176"/>
    </row>
    <row r="712" spans="1:24" ht="36" customHeight="1" x14ac:dyDescent="0.2">
      <c r="A712" s="2053"/>
      <c r="B712" s="2055"/>
      <c r="C712" s="2057"/>
      <c r="D712" s="1170" t="s">
        <v>197</v>
      </c>
      <c r="E712" s="1462" t="s">
        <v>1288</v>
      </c>
      <c r="F712" s="1462" t="s">
        <v>535</v>
      </c>
      <c r="G712" s="1311" t="s">
        <v>1829</v>
      </c>
      <c r="H712" s="1172"/>
      <c r="I712" s="1172"/>
      <c r="J712" s="1172"/>
      <c r="K712" s="1172"/>
      <c r="L712" s="1173"/>
      <c r="M712" s="1172"/>
      <c r="N712" s="1172"/>
      <c r="O712" s="1172"/>
      <c r="P712" s="1174">
        <v>9024000</v>
      </c>
      <c r="Q712" s="1175"/>
      <c r="R712" s="1172"/>
      <c r="S712" s="1172"/>
      <c r="T712" s="1172"/>
      <c r="U712" s="1172"/>
      <c r="V712" s="1172"/>
      <c r="W712" s="1172"/>
      <c r="X712" s="1176"/>
    </row>
    <row r="713" spans="1:24" ht="32.25" customHeight="1" x14ac:dyDescent="0.2">
      <c r="A713" s="2052" t="s">
        <v>2500</v>
      </c>
      <c r="B713" s="2054" t="s">
        <v>2763</v>
      </c>
      <c r="C713" s="2056" t="s">
        <v>2764</v>
      </c>
      <c r="D713" s="1170" t="s">
        <v>195</v>
      </c>
      <c r="E713" s="1462" t="s">
        <v>74</v>
      </c>
      <c r="F713" s="1462" t="s">
        <v>1870</v>
      </c>
      <c r="G713" s="1311" t="s">
        <v>1828</v>
      </c>
      <c r="H713" s="1172"/>
      <c r="I713" s="1172"/>
      <c r="J713" s="1172"/>
      <c r="K713" s="1172"/>
      <c r="L713" s="1173">
        <v>-5888000</v>
      </c>
      <c r="M713" s="1172"/>
      <c r="N713" s="1172"/>
      <c r="O713" s="1172"/>
      <c r="P713" s="1174"/>
      <c r="Q713" s="1175"/>
      <c r="R713" s="1172"/>
      <c r="S713" s="1172"/>
      <c r="T713" s="1172"/>
      <c r="U713" s="1172"/>
      <c r="V713" s="1172"/>
      <c r="W713" s="1172"/>
      <c r="X713" s="1176"/>
    </row>
    <row r="714" spans="1:24" ht="32.25" customHeight="1" x14ac:dyDescent="0.2">
      <c r="A714" s="2053"/>
      <c r="B714" s="2055"/>
      <c r="C714" s="2057"/>
      <c r="D714" s="1170" t="s">
        <v>197</v>
      </c>
      <c r="E714" s="1462" t="s">
        <v>1288</v>
      </c>
      <c r="F714" s="1462" t="s">
        <v>535</v>
      </c>
      <c r="G714" s="1311" t="s">
        <v>1829</v>
      </c>
      <c r="H714" s="1172"/>
      <c r="I714" s="1172"/>
      <c r="J714" s="1172"/>
      <c r="K714" s="1172"/>
      <c r="L714" s="1173"/>
      <c r="M714" s="1172"/>
      <c r="N714" s="1172"/>
      <c r="O714" s="1172"/>
      <c r="P714" s="1174">
        <v>5888000</v>
      </c>
      <c r="Q714" s="1175"/>
      <c r="R714" s="1172"/>
      <c r="S714" s="1172"/>
      <c r="T714" s="1172"/>
      <c r="U714" s="1172"/>
      <c r="V714" s="1172"/>
      <c r="W714" s="1172"/>
      <c r="X714" s="1176"/>
    </row>
    <row r="715" spans="1:24" ht="34.5" customHeight="1" x14ac:dyDescent="0.2">
      <c r="A715" s="2052" t="s">
        <v>2503</v>
      </c>
      <c r="B715" s="2054" t="s">
        <v>2765</v>
      </c>
      <c r="C715" s="2056" t="s">
        <v>2766</v>
      </c>
      <c r="D715" s="1170" t="s">
        <v>195</v>
      </c>
      <c r="E715" s="1462" t="s">
        <v>74</v>
      </c>
      <c r="F715" s="1462" t="s">
        <v>1870</v>
      </c>
      <c r="G715" s="1311" t="s">
        <v>1828</v>
      </c>
      <c r="H715" s="1172"/>
      <c r="I715" s="1172"/>
      <c r="J715" s="1172"/>
      <c r="K715" s="1172"/>
      <c r="L715" s="1173">
        <v>-5632000</v>
      </c>
      <c r="M715" s="1172"/>
      <c r="N715" s="1172"/>
      <c r="O715" s="1172"/>
      <c r="P715" s="1174"/>
      <c r="Q715" s="1175"/>
      <c r="R715" s="1172"/>
      <c r="S715" s="1172"/>
      <c r="T715" s="1172"/>
      <c r="U715" s="1172"/>
      <c r="V715" s="1172"/>
      <c r="W715" s="1172"/>
      <c r="X715" s="1176"/>
    </row>
    <row r="716" spans="1:24" ht="34.5" customHeight="1" x14ac:dyDescent="0.2">
      <c r="A716" s="2053"/>
      <c r="B716" s="2055"/>
      <c r="C716" s="2057"/>
      <c r="D716" s="1170" t="s">
        <v>197</v>
      </c>
      <c r="E716" s="1462" t="s">
        <v>1288</v>
      </c>
      <c r="F716" s="1462" t="s">
        <v>535</v>
      </c>
      <c r="G716" s="1311" t="s">
        <v>1829</v>
      </c>
      <c r="H716" s="1172"/>
      <c r="I716" s="1172"/>
      <c r="J716" s="1172"/>
      <c r="K716" s="1172"/>
      <c r="L716" s="1173"/>
      <c r="M716" s="1172"/>
      <c r="N716" s="1172"/>
      <c r="O716" s="1172"/>
      <c r="P716" s="1174">
        <v>5632000</v>
      </c>
      <c r="Q716" s="1175"/>
      <c r="R716" s="1172"/>
      <c r="S716" s="1172"/>
      <c r="T716" s="1172"/>
      <c r="U716" s="1172"/>
      <c r="V716" s="1172"/>
      <c r="W716" s="1172"/>
      <c r="X716" s="1176"/>
    </row>
    <row r="717" spans="1:24" ht="33.75" customHeight="1" x14ac:dyDescent="0.2">
      <c r="A717" s="2052" t="s">
        <v>2505</v>
      </c>
      <c r="B717" s="2054" t="s">
        <v>2767</v>
      </c>
      <c r="C717" s="2056" t="s">
        <v>2768</v>
      </c>
      <c r="D717" s="1170" t="s">
        <v>195</v>
      </c>
      <c r="E717" s="1462" t="s">
        <v>74</v>
      </c>
      <c r="F717" s="1462" t="s">
        <v>1870</v>
      </c>
      <c r="G717" s="1311" t="s">
        <v>1828</v>
      </c>
      <c r="H717" s="1172"/>
      <c r="I717" s="1172"/>
      <c r="J717" s="1172"/>
      <c r="K717" s="1172"/>
      <c r="L717" s="1173">
        <v>-5568000</v>
      </c>
      <c r="M717" s="1172"/>
      <c r="N717" s="1172"/>
      <c r="O717" s="1172"/>
      <c r="P717" s="1174"/>
      <c r="Q717" s="1175"/>
      <c r="R717" s="1172"/>
      <c r="S717" s="1172"/>
      <c r="T717" s="1172"/>
      <c r="U717" s="1172"/>
      <c r="V717" s="1172"/>
      <c r="W717" s="1172"/>
      <c r="X717" s="1176"/>
    </row>
    <row r="718" spans="1:24" ht="33.75" customHeight="1" x14ac:dyDescent="0.2">
      <c r="A718" s="2053"/>
      <c r="B718" s="2055"/>
      <c r="C718" s="2057"/>
      <c r="D718" s="1170" t="s">
        <v>197</v>
      </c>
      <c r="E718" s="1462" t="s">
        <v>1288</v>
      </c>
      <c r="F718" s="1462" t="s">
        <v>535</v>
      </c>
      <c r="G718" s="1311" t="s">
        <v>1829</v>
      </c>
      <c r="H718" s="1172"/>
      <c r="I718" s="1172"/>
      <c r="J718" s="1172"/>
      <c r="K718" s="1172"/>
      <c r="L718" s="1173"/>
      <c r="M718" s="1172"/>
      <c r="N718" s="1172"/>
      <c r="O718" s="1172"/>
      <c r="P718" s="1174">
        <v>5568000</v>
      </c>
      <c r="Q718" s="1175"/>
      <c r="R718" s="1172"/>
      <c r="S718" s="1172"/>
      <c r="T718" s="1172"/>
      <c r="U718" s="1172"/>
      <c r="V718" s="1172"/>
      <c r="W718" s="1172"/>
      <c r="X718" s="1176"/>
    </row>
    <row r="719" spans="1:24" ht="36" customHeight="1" x14ac:dyDescent="0.2">
      <c r="A719" s="2052" t="s">
        <v>2507</v>
      </c>
      <c r="B719" s="2054" t="s">
        <v>2769</v>
      </c>
      <c r="C719" s="2056" t="s">
        <v>2770</v>
      </c>
      <c r="D719" s="1170" t="s">
        <v>195</v>
      </c>
      <c r="E719" s="1462" t="s">
        <v>74</v>
      </c>
      <c r="F719" s="1462" t="s">
        <v>1870</v>
      </c>
      <c r="G719" s="1311" t="s">
        <v>1828</v>
      </c>
      <c r="H719" s="1172"/>
      <c r="I719" s="1172"/>
      <c r="J719" s="1172"/>
      <c r="K719" s="1172"/>
      <c r="L719" s="1173">
        <v>-1408000</v>
      </c>
      <c r="M719" s="1172"/>
      <c r="N719" s="1172"/>
      <c r="O719" s="1172"/>
      <c r="P719" s="1174"/>
      <c r="Q719" s="1175"/>
      <c r="R719" s="1172"/>
      <c r="S719" s="1172"/>
      <c r="T719" s="1172"/>
      <c r="U719" s="1172"/>
      <c r="V719" s="1172"/>
      <c r="W719" s="1172"/>
      <c r="X719" s="1176"/>
    </row>
    <row r="720" spans="1:24" ht="36" customHeight="1" x14ac:dyDescent="0.2">
      <c r="A720" s="2053"/>
      <c r="B720" s="2055"/>
      <c r="C720" s="2057"/>
      <c r="D720" s="1170" t="s">
        <v>197</v>
      </c>
      <c r="E720" s="1462" t="s">
        <v>1288</v>
      </c>
      <c r="F720" s="1462" t="s">
        <v>535</v>
      </c>
      <c r="G720" s="1311" t="s">
        <v>1829</v>
      </c>
      <c r="H720" s="1172"/>
      <c r="I720" s="1172"/>
      <c r="J720" s="1172"/>
      <c r="K720" s="1172"/>
      <c r="L720" s="1173"/>
      <c r="M720" s="1172"/>
      <c r="N720" s="1172"/>
      <c r="O720" s="1172"/>
      <c r="P720" s="1174">
        <v>1408000</v>
      </c>
      <c r="Q720" s="1175"/>
      <c r="R720" s="1172"/>
      <c r="S720" s="1172"/>
      <c r="T720" s="1172"/>
      <c r="U720" s="1172"/>
      <c r="V720" s="1172"/>
      <c r="W720" s="1172"/>
      <c r="X720" s="1176"/>
    </row>
    <row r="721" spans="1:24" ht="34.5" customHeight="1" x14ac:dyDescent="0.2">
      <c r="A721" s="2052" t="s">
        <v>2509</v>
      </c>
      <c r="B721" s="2054" t="s">
        <v>2771</v>
      </c>
      <c r="C721" s="2056" t="s">
        <v>2772</v>
      </c>
      <c r="D721" s="1170" t="s">
        <v>195</v>
      </c>
      <c r="E721" s="1462" t="s">
        <v>74</v>
      </c>
      <c r="F721" s="1462" t="s">
        <v>1870</v>
      </c>
      <c r="G721" s="1311" t="s">
        <v>1828</v>
      </c>
      <c r="H721" s="1172"/>
      <c r="I721" s="1172"/>
      <c r="J721" s="1172"/>
      <c r="K721" s="1172"/>
      <c r="L721" s="1173">
        <v>-7552000</v>
      </c>
      <c r="M721" s="1172"/>
      <c r="N721" s="1172"/>
      <c r="O721" s="1172"/>
      <c r="P721" s="1174"/>
      <c r="Q721" s="1175"/>
      <c r="R721" s="1172"/>
      <c r="S721" s="1172"/>
      <c r="T721" s="1172"/>
      <c r="U721" s="1172"/>
      <c r="V721" s="1172"/>
      <c r="W721" s="1172"/>
      <c r="X721" s="1176"/>
    </row>
    <row r="722" spans="1:24" ht="34.5" customHeight="1" x14ac:dyDescent="0.2">
      <c r="A722" s="2053"/>
      <c r="B722" s="2055"/>
      <c r="C722" s="2057"/>
      <c r="D722" s="1170" t="s">
        <v>197</v>
      </c>
      <c r="E722" s="1462" t="s">
        <v>1288</v>
      </c>
      <c r="F722" s="1462" t="s">
        <v>535</v>
      </c>
      <c r="G722" s="1311" t="s">
        <v>1829</v>
      </c>
      <c r="H722" s="1172"/>
      <c r="I722" s="1172"/>
      <c r="J722" s="1172"/>
      <c r="K722" s="1172"/>
      <c r="L722" s="1173"/>
      <c r="M722" s="1172"/>
      <c r="N722" s="1172"/>
      <c r="O722" s="1172"/>
      <c r="P722" s="1174">
        <v>7552000</v>
      </c>
      <c r="Q722" s="1175"/>
      <c r="R722" s="1172"/>
      <c r="S722" s="1172"/>
      <c r="T722" s="1172"/>
      <c r="U722" s="1172"/>
      <c r="V722" s="1172"/>
      <c r="W722" s="1172"/>
      <c r="X722" s="1176"/>
    </row>
    <row r="723" spans="1:24" ht="27.75" customHeight="1" x14ac:dyDescent="0.2">
      <c r="A723" s="2052" t="s">
        <v>2511</v>
      </c>
      <c r="B723" s="2054" t="s">
        <v>2778</v>
      </c>
      <c r="C723" s="2056" t="s">
        <v>2779</v>
      </c>
      <c r="D723" s="1170" t="s">
        <v>195</v>
      </c>
      <c r="E723" s="1462" t="s">
        <v>74</v>
      </c>
      <c r="F723" s="1462" t="s">
        <v>1870</v>
      </c>
      <c r="G723" s="1311" t="s">
        <v>1828</v>
      </c>
      <c r="H723" s="1172"/>
      <c r="I723" s="1172"/>
      <c r="J723" s="1172"/>
      <c r="K723" s="1172"/>
      <c r="L723" s="1173">
        <v>-1760000</v>
      </c>
      <c r="M723" s="1172"/>
      <c r="N723" s="1172"/>
      <c r="O723" s="1172"/>
      <c r="P723" s="1174"/>
      <c r="Q723" s="1175"/>
      <c r="R723" s="1172"/>
      <c r="S723" s="1172"/>
      <c r="T723" s="1172"/>
      <c r="U723" s="1172"/>
      <c r="V723" s="1172"/>
      <c r="W723" s="1172"/>
      <c r="X723" s="1176"/>
    </row>
    <row r="724" spans="1:24" ht="27.75" customHeight="1" x14ac:dyDescent="0.2">
      <c r="A724" s="2061"/>
      <c r="B724" s="2060"/>
      <c r="C724" s="2065"/>
      <c r="D724" s="1170" t="s">
        <v>188</v>
      </c>
      <c r="E724" s="1462" t="s">
        <v>626</v>
      </c>
      <c r="F724" s="1462" t="s">
        <v>136</v>
      </c>
      <c r="G724" s="1311" t="s">
        <v>1829</v>
      </c>
      <c r="H724" s="1172">
        <v>75000</v>
      </c>
      <c r="I724" s="1172">
        <v>21000</v>
      </c>
      <c r="J724" s="1172"/>
      <c r="K724" s="1172"/>
      <c r="L724" s="1173"/>
      <c r="M724" s="1172"/>
      <c r="N724" s="1172"/>
      <c r="O724" s="1172"/>
      <c r="P724" s="1174"/>
      <c r="Q724" s="1175"/>
      <c r="R724" s="1172"/>
      <c r="S724" s="1172"/>
      <c r="T724" s="1172"/>
      <c r="U724" s="1172"/>
      <c r="V724" s="1172"/>
      <c r="W724" s="1172"/>
      <c r="X724" s="1176"/>
    </row>
    <row r="725" spans="1:24" ht="27.75" customHeight="1" x14ac:dyDescent="0.2">
      <c r="A725" s="2061"/>
      <c r="B725" s="2060"/>
      <c r="C725" s="2065"/>
      <c r="D725" s="1170" t="s">
        <v>188</v>
      </c>
      <c r="E725" s="1462" t="s">
        <v>131</v>
      </c>
      <c r="F725" s="1462" t="s">
        <v>444</v>
      </c>
      <c r="G725" s="1311" t="s">
        <v>1829</v>
      </c>
      <c r="H725" s="1172">
        <v>100000</v>
      </c>
      <c r="I725" s="1172">
        <v>28000</v>
      </c>
      <c r="J725" s="1172"/>
      <c r="K725" s="1172"/>
      <c r="L725" s="1173"/>
      <c r="M725" s="1172"/>
      <c r="N725" s="1172"/>
      <c r="O725" s="1172"/>
      <c r="P725" s="1174"/>
      <c r="Q725" s="1175"/>
      <c r="R725" s="1172"/>
      <c r="S725" s="1172"/>
      <c r="T725" s="1172"/>
      <c r="U725" s="1172"/>
      <c r="V725" s="1172"/>
      <c r="W725" s="1172"/>
      <c r="X725" s="1176"/>
    </row>
    <row r="726" spans="1:24" ht="27.75" customHeight="1" x14ac:dyDescent="0.2">
      <c r="A726" s="2061"/>
      <c r="B726" s="2060"/>
      <c r="C726" s="2065"/>
      <c r="D726" s="1170" t="s">
        <v>188</v>
      </c>
      <c r="E726" s="1462" t="s">
        <v>542</v>
      </c>
      <c r="F726" s="1462" t="s">
        <v>447</v>
      </c>
      <c r="G726" s="1311" t="s">
        <v>1829</v>
      </c>
      <c r="H726" s="1172">
        <v>100000</v>
      </c>
      <c r="I726" s="1172">
        <v>28000</v>
      </c>
      <c r="J726" s="1172"/>
      <c r="K726" s="1172"/>
      <c r="L726" s="1173"/>
      <c r="M726" s="1172"/>
      <c r="N726" s="1172"/>
      <c r="O726" s="1172"/>
      <c r="P726" s="1174"/>
      <c r="Q726" s="1175"/>
      <c r="R726" s="1172"/>
      <c r="S726" s="1172"/>
      <c r="T726" s="1172"/>
      <c r="U726" s="1172"/>
      <c r="V726" s="1172"/>
      <c r="W726" s="1172"/>
      <c r="X726" s="1176"/>
    </row>
    <row r="727" spans="1:24" ht="27.75" customHeight="1" x14ac:dyDescent="0.2">
      <c r="A727" s="2061"/>
      <c r="B727" s="2060"/>
      <c r="C727" s="2065"/>
      <c r="D727" s="1170" t="s">
        <v>188</v>
      </c>
      <c r="E727" s="1462" t="s">
        <v>542</v>
      </c>
      <c r="F727" s="1462" t="s">
        <v>449</v>
      </c>
      <c r="G727" s="1311" t="s">
        <v>1829</v>
      </c>
      <c r="H727" s="1172">
        <v>300000</v>
      </c>
      <c r="I727" s="1172">
        <v>84000</v>
      </c>
      <c r="J727" s="1172"/>
      <c r="K727" s="1172"/>
      <c r="L727" s="1173"/>
      <c r="M727" s="1172"/>
      <c r="N727" s="1172"/>
      <c r="O727" s="1172"/>
      <c r="P727" s="1174"/>
      <c r="Q727" s="1175"/>
      <c r="R727" s="1172"/>
      <c r="S727" s="1172"/>
      <c r="T727" s="1172"/>
      <c r="U727" s="1172"/>
      <c r="V727" s="1172"/>
      <c r="W727" s="1172"/>
      <c r="X727" s="1176"/>
    </row>
    <row r="728" spans="1:24" ht="27.75" customHeight="1" x14ac:dyDescent="0.2">
      <c r="A728" s="2061"/>
      <c r="B728" s="2060"/>
      <c r="C728" s="2065"/>
      <c r="D728" s="1170" t="s">
        <v>188</v>
      </c>
      <c r="E728" s="1462" t="s">
        <v>74</v>
      </c>
      <c r="F728" s="1462" t="s">
        <v>440</v>
      </c>
      <c r="G728" s="1311" t="s">
        <v>1829</v>
      </c>
      <c r="H728" s="1172">
        <v>100000</v>
      </c>
      <c r="I728" s="1172">
        <v>28000</v>
      </c>
      <c r="J728" s="1172"/>
      <c r="K728" s="1172"/>
      <c r="L728" s="1173"/>
      <c r="M728" s="1172"/>
      <c r="N728" s="1172"/>
      <c r="O728" s="1172"/>
      <c r="P728" s="1174"/>
      <c r="Q728" s="1175"/>
      <c r="R728" s="1172"/>
      <c r="S728" s="1172"/>
      <c r="T728" s="1172"/>
      <c r="U728" s="1172"/>
      <c r="V728" s="1172"/>
      <c r="W728" s="1172"/>
      <c r="X728" s="1176"/>
    </row>
    <row r="729" spans="1:24" ht="27.75" customHeight="1" x14ac:dyDescent="0.2">
      <c r="A729" s="2061"/>
      <c r="B729" s="2060"/>
      <c r="C729" s="2065"/>
      <c r="D729" s="1170" t="s">
        <v>188</v>
      </c>
      <c r="E729" s="1462" t="s">
        <v>74</v>
      </c>
      <c r="F729" s="1462" t="s">
        <v>538</v>
      </c>
      <c r="G729" s="1311" t="s">
        <v>1829</v>
      </c>
      <c r="H729" s="1172">
        <v>100000</v>
      </c>
      <c r="I729" s="1172">
        <v>28000</v>
      </c>
      <c r="J729" s="1172"/>
      <c r="K729" s="1172"/>
      <c r="L729" s="1173"/>
      <c r="M729" s="1172"/>
      <c r="N729" s="1172"/>
      <c r="O729" s="1172"/>
      <c r="P729" s="1174"/>
      <c r="Q729" s="1175"/>
      <c r="R729" s="1172"/>
      <c r="S729" s="1172"/>
      <c r="T729" s="1172"/>
      <c r="U729" s="1172"/>
      <c r="V729" s="1172"/>
      <c r="W729" s="1172"/>
      <c r="X729" s="1176"/>
    </row>
    <row r="730" spans="1:24" ht="27.75" customHeight="1" x14ac:dyDescent="0.2">
      <c r="A730" s="2053"/>
      <c r="B730" s="2055"/>
      <c r="C730" s="2057"/>
      <c r="D730" s="1170" t="s">
        <v>188</v>
      </c>
      <c r="E730" s="1462" t="s">
        <v>64</v>
      </c>
      <c r="F730" s="1462" t="s">
        <v>526</v>
      </c>
      <c r="G730" s="1311" t="s">
        <v>1829</v>
      </c>
      <c r="H730" s="1172">
        <v>600000</v>
      </c>
      <c r="I730" s="1172">
        <v>168000</v>
      </c>
      <c r="J730" s="1172"/>
      <c r="K730" s="1172"/>
      <c r="L730" s="1173"/>
      <c r="M730" s="1172"/>
      <c r="N730" s="1172"/>
      <c r="O730" s="1172"/>
      <c r="P730" s="1174"/>
      <c r="Q730" s="1175"/>
      <c r="R730" s="1172"/>
      <c r="S730" s="1172"/>
      <c r="T730" s="1172"/>
      <c r="U730" s="1172"/>
      <c r="V730" s="1172"/>
      <c r="W730" s="1172"/>
      <c r="X730" s="1176"/>
    </row>
    <row r="731" spans="1:24" ht="24.75" customHeight="1" x14ac:dyDescent="0.2">
      <c r="A731" s="2068" t="s">
        <v>2513</v>
      </c>
      <c r="B731" s="2067" t="s">
        <v>2782</v>
      </c>
      <c r="C731" s="2087" t="s">
        <v>2783</v>
      </c>
      <c r="D731" s="1170" t="s">
        <v>195</v>
      </c>
      <c r="E731" s="1462" t="s">
        <v>74</v>
      </c>
      <c r="F731" s="1462" t="s">
        <v>1870</v>
      </c>
      <c r="G731" s="1311" t="s">
        <v>1828</v>
      </c>
      <c r="H731" s="1172"/>
      <c r="I731" s="1172"/>
      <c r="J731" s="1172"/>
      <c r="K731" s="1172"/>
      <c r="L731" s="1173">
        <v>-254000</v>
      </c>
      <c r="M731" s="1172"/>
      <c r="N731" s="1172"/>
      <c r="O731" s="1172"/>
      <c r="P731" s="1174"/>
      <c r="Q731" s="1175"/>
      <c r="R731" s="1172"/>
      <c r="S731" s="1172"/>
      <c r="T731" s="1172"/>
      <c r="U731" s="1172"/>
      <c r="V731" s="1172"/>
      <c r="W731" s="1172"/>
      <c r="X731" s="1176"/>
    </row>
    <row r="732" spans="1:24" ht="24.75" customHeight="1" x14ac:dyDescent="0.2">
      <c r="A732" s="2068"/>
      <c r="B732" s="2067"/>
      <c r="C732" s="2087"/>
      <c r="D732" s="1170" t="s">
        <v>197</v>
      </c>
      <c r="E732" s="1462" t="s">
        <v>1288</v>
      </c>
      <c r="F732" s="1462" t="s">
        <v>535</v>
      </c>
      <c r="G732" s="1311" t="s">
        <v>1829</v>
      </c>
      <c r="H732" s="1172"/>
      <c r="I732" s="1172"/>
      <c r="J732" s="1172"/>
      <c r="K732" s="1172"/>
      <c r="L732" s="1173"/>
      <c r="M732" s="1172"/>
      <c r="N732" s="1172"/>
      <c r="O732" s="1172"/>
      <c r="P732" s="1174">
        <v>254000</v>
      </c>
      <c r="Q732" s="1175"/>
      <c r="R732" s="1172"/>
      <c r="S732" s="1172"/>
      <c r="T732" s="1172"/>
      <c r="U732" s="1172"/>
      <c r="V732" s="1172"/>
      <c r="W732" s="1172"/>
      <c r="X732" s="1176"/>
    </row>
    <row r="733" spans="1:24" ht="20.25" customHeight="1" x14ac:dyDescent="0.2">
      <c r="A733" s="2052" t="s">
        <v>2516</v>
      </c>
      <c r="B733" s="2054" t="s">
        <v>2785</v>
      </c>
      <c r="C733" s="2056" t="s">
        <v>2786</v>
      </c>
      <c r="D733" s="1170" t="s">
        <v>195</v>
      </c>
      <c r="E733" s="1462" t="s">
        <v>74</v>
      </c>
      <c r="F733" s="1462" t="s">
        <v>1870</v>
      </c>
      <c r="G733" s="1311" t="s">
        <v>1828</v>
      </c>
      <c r="H733" s="1172"/>
      <c r="I733" s="1172"/>
      <c r="J733" s="1172"/>
      <c r="K733" s="1172"/>
      <c r="L733" s="1173">
        <v>-6287348</v>
      </c>
      <c r="M733" s="1172"/>
      <c r="N733" s="1172"/>
      <c r="O733" s="1172"/>
      <c r="P733" s="1174"/>
      <c r="Q733" s="1175"/>
      <c r="R733" s="1172"/>
      <c r="S733" s="1172"/>
      <c r="T733" s="1172"/>
      <c r="U733" s="1172"/>
      <c r="V733" s="1172"/>
      <c r="W733" s="1172"/>
      <c r="X733" s="1176"/>
    </row>
    <row r="734" spans="1:24" ht="20.25" customHeight="1" x14ac:dyDescent="0.2">
      <c r="A734" s="2053"/>
      <c r="B734" s="2055"/>
      <c r="C734" s="2057"/>
      <c r="D734" s="1170" t="s">
        <v>188</v>
      </c>
      <c r="E734" s="1462" t="s">
        <v>1971</v>
      </c>
      <c r="F734" s="1462" t="s">
        <v>1970</v>
      </c>
      <c r="G734" s="1311" t="s">
        <v>1829</v>
      </c>
      <c r="H734" s="1172"/>
      <c r="I734" s="1172"/>
      <c r="J734" s="1172">
        <f>4950668+1336680</f>
        <v>6287348</v>
      </c>
      <c r="K734" s="1172"/>
      <c r="L734" s="1173"/>
      <c r="M734" s="1172"/>
      <c r="N734" s="1172"/>
      <c r="O734" s="1172"/>
      <c r="P734" s="1174"/>
      <c r="Q734" s="1175"/>
      <c r="R734" s="1172"/>
      <c r="S734" s="1172"/>
      <c r="T734" s="1172"/>
      <c r="U734" s="1172"/>
      <c r="V734" s="1172"/>
      <c r="W734" s="1172"/>
      <c r="X734" s="1176"/>
    </row>
    <row r="735" spans="1:24" ht="23.25" customHeight="1" x14ac:dyDescent="0.2">
      <c r="A735" s="2052" t="s">
        <v>2518</v>
      </c>
      <c r="B735" s="2054" t="s">
        <v>2787</v>
      </c>
      <c r="C735" s="2056" t="s">
        <v>2788</v>
      </c>
      <c r="D735" s="1170" t="s">
        <v>188</v>
      </c>
      <c r="E735" s="1462" t="s">
        <v>1980</v>
      </c>
      <c r="F735" s="1462" t="s">
        <v>2515</v>
      </c>
      <c r="G735" s="1311" t="s">
        <v>1828</v>
      </c>
      <c r="H735" s="1172"/>
      <c r="I735" s="1172"/>
      <c r="J735" s="1172">
        <f>-742848-200569</f>
        <v>-943417</v>
      </c>
      <c r="K735" s="1172"/>
      <c r="L735" s="1173"/>
      <c r="M735" s="1172"/>
      <c r="N735" s="1172"/>
      <c r="O735" s="1172"/>
      <c r="P735" s="1174"/>
      <c r="Q735" s="1175"/>
      <c r="R735" s="1172"/>
      <c r="S735" s="1172"/>
      <c r="T735" s="1172"/>
      <c r="U735" s="1172"/>
      <c r="V735" s="1172"/>
      <c r="W735" s="1172"/>
      <c r="X735" s="1176"/>
    </row>
    <row r="736" spans="1:24" ht="23.25" customHeight="1" x14ac:dyDescent="0.2">
      <c r="A736" s="2053"/>
      <c r="B736" s="2055"/>
      <c r="C736" s="2057"/>
      <c r="D736" s="1170" t="s">
        <v>188</v>
      </c>
      <c r="E736" s="1462" t="s">
        <v>1980</v>
      </c>
      <c r="F736" s="1462" t="s">
        <v>1979</v>
      </c>
      <c r="G736" s="1311" t="s">
        <v>1837</v>
      </c>
      <c r="H736" s="1172"/>
      <c r="I736" s="1172"/>
      <c r="J736" s="1172">
        <f>-45024+778300+210141</f>
        <v>943417</v>
      </c>
      <c r="K736" s="1172"/>
      <c r="L736" s="1173"/>
      <c r="M736" s="1172"/>
      <c r="N736" s="1172"/>
      <c r="O736" s="1172"/>
      <c r="P736" s="1174"/>
      <c r="Q736" s="1175"/>
      <c r="R736" s="1172"/>
      <c r="S736" s="1172"/>
      <c r="T736" s="1172"/>
      <c r="U736" s="1172"/>
      <c r="V736" s="1172"/>
      <c r="W736" s="1172"/>
      <c r="X736" s="1176"/>
    </row>
    <row r="737" spans="1:24" ht="33" customHeight="1" x14ac:dyDescent="0.2">
      <c r="A737" s="1491" t="s">
        <v>2521</v>
      </c>
      <c r="B737" s="1490" t="s">
        <v>2790</v>
      </c>
      <c r="C737" s="1631" t="s">
        <v>2791</v>
      </c>
      <c r="D737" s="1170" t="s">
        <v>188</v>
      </c>
      <c r="E737" s="1462" t="s">
        <v>626</v>
      </c>
      <c r="F737" s="1462" t="s">
        <v>136</v>
      </c>
      <c r="G737" s="1311" t="s">
        <v>1837</v>
      </c>
      <c r="H737" s="1172"/>
      <c r="I737" s="1172"/>
      <c r="J737" s="1172">
        <f>-200000+200000</f>
        <v>0</v>
      </c>
      <c r="K737" s="1172"/>
      <c r="L737" s="1173"/>
      <c r="M737" s="1172"/>
      <c r="N737" s="1172"/>
      <c r="O737" s="1172"/>
      <c r="P737" s="1174"/>
      <c r="Q737" s="1175"/>
      <c r="R737" s="1172"/>
      <c r="S737" s="1172"/>
      <c r="T737" s="1172"/>
      <c r="U737" s="1172"/>
      <c r="V737" s="1172"/>
      <c r="W737" s="1172"/>
      <c r="X737" s="1176"/>
    </row>
    <row r="738" spans="1:24" ht="18.75" customHeight="1" x14ac:dyDescent="0.2">
      <c r="A738" s="2052" t="s">
        <v>2524</v>
      </c>
      <c r="B738" s="2054" t="s">
        <v>2792</v>
      </c>
      <c r="C738" s="2056" t="s">
        <v>2793</v>
      </c>
      <c r="D738" s="1170" t="s">
        <v>188</v>
      </c>
      <c r="E738" s="1462" t="s">
        <v>626</v>
      </c>
      <c r="F738" s="1462" t="s">
        <v>2794</v>
      </c>
      <c r="G738" s="1311" t="s">
        <v>1828</v>
      </c>
      <c r="H738" s="1172"/>
      <c r="I738" s="1172"/>
      <c r="J738" s="1172">
        <f>-60000-16200</f>
        <v>-76200</v>
      </c>
      <c r="K738" s="1172"/>
      <c r="L738" s="1173"/>
      <c r="M738" s="1172"/>
      <c r="N738" s="1172"/>
      <c r="O738" s="1172"/>
      <c r="P738" s="1174"/>
      <c r="Q738" s="1175"/>
      <c r="R738" s="1172"/>
      <c r="S738" s="1172"/>
      <c r="T738" s="1172"/>
      <c r="U738" s="1172"/>
      <c r="V738" s="1172"/>
      <c r="W738" s="1172"/>
      <c r="X738" s="1176"/>
    </row>
    <row r="739" spans="1:24" ht="18.75" customHeight="1" x14ac:dyDescent="0.2">
      <c r="A739" s="2053"/>
      <c r="B739" s="2055"/>
      <c r="C739" s="2057"/>
      <c r="D739" s="1170" t="s">
        <v>193</v>
      </c>
      <c r="E739" s="1462" t="s">
        <v>626</v>
      </c>
      <c r="F739" s="1462" t="s">
        <v>2794</v>
      </c>
      <c r="G739" s="1311" t="s">
        <v>1829</v>
      </c>
      <c r="H739" s="1172"/>
      <c r="I739" s="1172"/>
      <c r="J739" s="1172"/>
      <c r="K739" s="1172"/>
      <c r="L739" s="1173"/>
      <c r="M739" s="1172">
        <f>60000+16200</f>
        <v>76200</v>
      </c>
      <c r="N739" s="1172"/>
      <c r="O739" s="1172"/>
      <c r="P739" s="1174"/>
      <c r="Q739" s="1175"/>
      <c r="R739" s="1172"/>
      <c r="S739" s="1172"/>
      <c r="T739" s="1172"/>
      <c r="U739" s="1172"/>
      <c r="V739" s="1172"/>
      <c r="W739" s="1172"/>
      <c r="X739" s="1176"/>
    </row>
    <row r="740" spans="1:24" ht="40.5" customHeight="1" x14ac:dyDescent="0.2">
      <c r="A740" s="1494" t="s">
        <v>2527</v>
      </c>
      <c r="B740" s="1493" t="s">
        <v>2796</v>
      </c>
      <c r="C740" s="1492" t="s">
        <v>2797</v>
      </c>
      <c r="D740" s="1170" t="s">
        <v>188</v>
      </c>
      <c r="E740" s="1462" t="s">
        <v>542</v>
      </c>
      <c r="F740" s="1462" t="s">
        <v>449</v>
      </c>
      <c r="G740" s="1311" t="s">
        <v>1837</v>
      </c>
      <c r="H740" s="1172"/>
      <c r="I740" s="1172"/>
      <c r="J740" s="1172"/>
      <c r="K740" s="1172"/>
      <c r="L740" s="1173"/>
      <c r="M740" s="1172">
        <f>-20000+20000</f>
        <v>0</v>
      </c>
      <c r="N740" s="1172"/>
      <c r="O740" s="1172"/>
      <c r="P740" s="1174"/>
      <c r="Q740" s="1175"/>
      <c r="R740" s="1172"/>
      <c r="S740" s="1172"/>
      <c r="T740" s="1172"/>
      <c r="U740" s="1172"/>
      <c r="V740" s="1172"/>
      <c r="W740" s="1172"/>
      <c r="X740" s="1176"/>
    </row>
    <row r="741" spans="1:24" ht="36" customHeight="1" x14ac:dyDescent="0.2">
      <c r="A741" s="1494" t="s">
        <v>2529</v>
      </c>
      <c r="B741" s="1493" t="s">
        <v>2798</v>
      </c>
      <c r="C741" s="1492" t="s">
        <v>2799</v>
      </c>
      <c r="D741" s="1170" t="s">
        <v>188</v>
      </c>
      <c r="E741" s="1462" t="s">
        <v>2137</v>
      </c>
      <c r="F741" s="1462" t="s">
        <v>2136</v>
      </c>
      <c r="G741" s="1311" t="s">
        <v>1837</v>
      </c>
      <c r="H741" s="1172">
        <v>1000000</v>
      </c>
      <c r="I741" s="1172"/>
      <c r="J741" s="1172">
        <f>-1000000</f>
        <v>-1000000</v>
      </c>
      <c r="K741" s="1172"/>
      <c r="L741" s="1173"/>
      <c r="M741" s="1172"/>
      <c r="N741" s="1172"/>
      <c r="O741" s="1172"/>
      <c r="P741" s="1174"/>
      <c r="Q741" s="1175"/>
      <c r="R741" s="1172"/>
      <c r="S741" s="1172"/>
      <c r="T741" s="1172"/>
      <c r="U741" s="1172"/>
      <c r="V741" s="1172"/>
      <c r="W741" s="1172"/>
      <c r="X741" s="1176"/>
    </row>
    <row r="742" spans="1:24" ht="40.5" customHeight="1" x14ac:dyDescent="0.2">
      <c r="A742" s="1494" t="s">
        <v>2531</v>
      </c>
      <c r="B742" s="1493" t="s">
        <v>2800</v>
      </c>
      <c r="C742" s="1492" t="s">
        <v>2801</v>
      </c>
      <c r="D742" s="1170" t="s">
        <v>188</v>
      </c>
      <c r="E742" s="1462" t="s">
        <v>1985</v>
      </c>
      <c r="F742" s="1462" t="s">
        <v>1984</v>
      </c>
      <c r="G742" s="1311" t="s">
        <v>1837</v>
      </c>
      <c r="H742" s="1172"/>
      <c r="I742" s="1172"/>
      <c r="J742" s="1172">
        <f>-50000+50000</f>
        <v>0</v>
      </c>
      <c r="K742" s="1172"/>
      <c r="L742" s="1173"/>
      <c r="M742" s="1172"/>
      <c r="N742" s="1172"/>
      <c r="O742" s="1172"/>
      <c r="P742" s="1174"/>
      <c r="Q742" s="1175"/>
      <c r="R742" s="1172"/>
      <c r="S742" s="1172"/>
      <c r="T742" s="1172"/>
      <c r="U742" s="1172"/>
      <c r="V742" s="1172"/>
      <c r="W742" s="1172"/>
      <c r="X742" s="1176"/>
    </row>
    <row r="743" spans="1:24" ht="33.75" customHeight="1" x14ac:dyDescent="0.2">
      <c r="A743" s="2052" t="s">
        <v>2533</v>
      </c>
      <c r="B743" s="2054" t="s">
        <v>2802</v>
      </c>
      <c r="C743" s="2056" t="s">
        <v>2804</v>
      </c>
      <c r="D743" s="1170" t="s">
        <v>195</v>
      </c>
      <c r="E743" s="1462" t="s">
        <v>74</v>
      </c>
      <c r="F743" s="1462" t="s">
        <v>1870</v>
      </c>
      <c r="G743" s="1311" t="s">
        <v>1828</v>
      </c>
      <c r="H743" s="1172"/>
      <c r="I743" s="1172"/>
      <c r="J743" s="1172"/>
      <c r="K743" s="1172"/>
      <c r="L743" s="1173">
        <v>-1860550</v>
      </c>
      <c r="M743" s="1172"/>
      <c r="N743" s="1172"/>
      <c r="O743" s="1172"/>
      <c r="P743" s="1174"/>
      <c r="Q743" s="1175"/>
      <c r="R743" s="1172"/>
      <c r="S743" s="1172"/>
      <c r="T743" s="1172"/>
      <c r="U743" s="1172"/>
      <c r="V743" s="1172"/>
      <c r="W743" s="1172"/>
      <c r="X743" s="1176"/>
    </row>
    <row r="744" spans="1:24" ht="33.75" customHeight="1" x14ac:dyDescent="0.2">
      <c r="A744" s="2053"/>
      <c r="B744" s="2055"/>
      <c r="C744" s="2057"/>
      <c r="D744" s="1170" t="s">
        <v>193</v>
      </c>
      <c r="E744" s="1462" t="s">
        <v>813</v>
      </c>
      <c r="F744" s="1462" t="s">
        <v>2803</v>
      </c>
      <c r="G744" s="1311" t="s">
        <v>1829</v>
      </c>
      <c r="H744" s="1172"/>
      <c r="I744" s="1172"/>
      <c r="J744" s="1172">
        <f>1465000+395550</f>
        <v>1860550</v>
      </c>
      <c r="K744" s="1172"/>
      <c r="L744" s="1173"/>
      <c r="M744" s="1172"/>
      <c r="N744" s="1172"/>
      <c r="O744" s="1172"/>
      <c r="P744" s="1174"/>
      <c r="Q744" s="1175"/>
      <c r="R744" s="1172"/>
      <c r="S744" s="1172"/>
      <c r="T744" s="1172"/>
      <c r="U744" s="1172"/>
      <c r="V744" s="1172"/>
      <c r="W744" s="1172"/>
      <c r="X744" s="1176"/>
    </row>
    <row r="745" spans="1:24" ht="33.75" customHeight="1" x14ac:dyDescent="0.2">
      <c r="A745" s="1494" t="s">
        <v>2536</v>
      </c>
      <c r="B745" s="1493" t="s">
        <v>2806</v>
      </c>
      <c r="C745" s="1492" t="s">
        <v>2807</v>
      </c>
      <c r="D745" s="1170" t="s">
        <v>188</v>
      </c>
      <c r="E745" s="1462" t="s">
        <v>64</v>
      </c>
      <c r="F745" s="1462" t="s">
        <v>526</v>
      </c>
      <c r="G745" s="1311" t="s">
        <v>1829</v>
      </c>
      <c r="H745" s="1172"/>
      <c r="I745" s="1172"/>
      <c r="J745" s="1172">
        <f>2559472+691058</f>
        <v>3250530</v>
      </c>
      <c r="K745" s="1172"/>
      <c r="L745" s="1173"/>
      <c r="M745" s="1172"/>
      <c r="N745" s="1172"/>
      <c r="O745" s="1172"/>
      <c r="P745" s="1174"/>
      <c r="Q745" s="1175"/>
      <c r="R745" s="1172"/>
      <c r="S745" s="1172"/>
      <c r="T745" s="1172">
        <f>1650338+500000+700000+400192</f>
        <v>3250530</v>
      </c>
      <c r="U745" s="1172"/>
      <c r="V745" s="1172"/>
      <c r="W745" s="1172"/>
      <c r="X745" s="1176"/>
    </row>
    <row r="746" spans="1:24" ht="33.75" customHeight="1" x14ac:dyDescent="0.2">
      <c r="A746" s="1494" t="s">
        <v>2542</v>
      </c>
      <c r="B746" s="1493" t="s">
        <v>2808</v>
      </c>
      <c r="C746" s="1492" t="s">
        <v>2809</v>
      </c>
      <c r="D746" s="1170" t="s">
        <v>188</v>
      </c>
      <c r="E746" s="1462" t="s">
        <v>1868</v>
      </c>
      <c r="F746" s="1462" t="s">
        <v>1867</v>
      </c>
      <c r="G746" s="1311" t="s">
        <v>1829</v>
      </c>
      <c r="H746" s="1172"/>
      <c r="I746" s="1172"/>
      <c r="J746" s="1172">
        <v>590000</v>
      </c>
      <c r="K746" s="1172"/>
      <c r="L746" s="1173"/>
      <c r="M746" s="1172"/>
      <c r="N746" s="1172"/>
      <c r="O746" s="1172"/>
      <c r="P746" s="1174"/>
      <c r="Q746" s="1175"/>
      <c r="R746" s="1172"/>
      <c r="S746" s="1172"/>
      <c r="T746" s="1172">
        <v>590000</v>
      </c>
      <c r="U746" s="1172"/>
      <c r="V746" s="1172"/>
      <c r="W746" s="1172"/>
      <c r="X746" s="1176"/>
    </row>
    <row r="747" spans="1:24" ht="22.5" customHeight="1" x14ac:dyDescent="0.2">
      <c r="A747" s="2052" t="s">
        <v>2544</v>
      </c>
      <c r="B747" s="2054" t="s">
        <v>2810</v>
      </c>
      <c r="C747" s="2056" t="s">
        <v>2811</v>
      </c>
      <c r="D747" s="1170" t="s">
        <v>188</v>
      </c>
      <c r="E747" s="1462" t="s">
        <v>2458</v>
      </c>
      <c r="F747" s="1462" t="s">
        <v>2457</v>
      </c>
      <c r="G747" s="1311" t="s">
        <v>1829</v>
      </c>
      <c r="H747" s="1172"/>
      <c r="I747" s="1172"/>
      <c r="J747" s="1172"/>
      <c r="K747" s="1172"/>
      <c r="L747" s="1173"/>
      <c r="M747" s="1172"/>
      <c r="N747" s="1172"/>
      <c r="O747" s="1172"/>
      <c r="P747" s="1174"/>
      <c r="Q747" s="1175"/>
      <c r="R747" s="1172"/>
      <c r="S747" s="1172"/>
      <c r="T747" s="1172">
        <v>80000000</v>
      </c>
      <c r="U747" s="1172"/>
      <c r="V747" s="1172"/>
      <c r="W747" s="1172"/>
      <c r="X747" s="1176"/>
    </row>
    <row r="748" spans="1:24" ht="22.5" customHeight="1" x14ac:dyDescent="0.2">
      <c r="A748" s="2053"/>
      <c r="B748" s="2055"/>
      <c r="C748" s="2057"/>
      <c r="D748" s="1170" t="s">
        <v>195</v>
      </c>
      <c r="E748" s="1462" t="s">
        <v>74</v>
      </c>
      <c r="F748" s="1462" t="s">
        <v>1870</v>
      </c>
      <c r="G748" s="1311" t="s">
        <v>1829</v>
      </c>
      <c r="H748" s="1172"/>
      <c r="I748" s="1172"/>
      <c r="J748" s="1172"/>
      <c r="K748" s="1172"/>
      <c r="L748" s="1173">
        <v>80000000</v>
      </c>
      <c r="M748" s="1172"/>
      <c r="N748" s="1172"/>
      <c r="O748" s="1172"/>
      <c r="P748" s="1174"/>
      <c r="Q748" s="1175"/>
      <c r="R748" s="1172"/>
      <c r="S748" s="1172"/>
      <c r="T748" s="1172"/>
      <c r="U748" s="1172"/>
      <c r="V748" s="1172"/>
      <c r="W748" s="1172"/>
      <c r="X748" s="1176"/>
    </row>
    <row r="749" spans="1:24" ht="20.25" customHeight="1" x14ac:dyDescent="0.2">
      <c r="A749" s="2052" t="s">
        <v>2545</v>
      </c>
      <c r="B749" s="2054" t="s">
        <v>2812</v>
      </c>
      <c r="C749" s="2056" t="s">
        <v>2813</v>
      </c>
      <c r="D749" s="1170" t="s">
        <v>188</v>
      </c>
      <c r="E749" s="1462" t="s">
        <v>74</v>
      </c>
      <c r="F749" s="1462" t="s">
        <v>154</v>
      </c>
      <c r="G749" s="1311" t="s">
        <v>1829</v>
      </c>
      <c r="H749" s="1172"/>
      <c r="I749" s="1172"/>
      <c r="J749" s="1172"/>
      <c r="K749" s="1172"/>
      <c r="L749" s="1173"/>
      <c r="M749" s="1172"/>
      <c r="N749" s="1172"/>
      <c r="O749" s="1172"/>
      <c r="P749" s="1174"/>
      <c r="Q749" s="1175"/>
      <c r="R749" s="1172"/>
      <c r="S749" s="1172"/>
      <c r="T749" s="1172">
        <v>20000</v>
      </c>
      <c r="U749" s="1172"/>
      <c r="V749" s="1172"/>
      <c r="W749" s="1172"/>
      <c r="X749" s="1176"/>
    </row>
    <row r="750" spans="1:24" ht="20.25" customHeight="1" x14ac:dyDescent="0.2">
      <c r="A750" s="2053"/>
      <c r="B750" s="2055"/>
      <c r="C750" s="2057"/>
      <c r="D750" s="1170" t="s">
        <v>195</v>
      </c>
      <c r="E750" s="1462" t="s">
        <v>74</v>
      </c>
      <c r="F750" s="1462" t="s">
        <v>1870</v>
      </c>
      <c r="G750" s="1311" t="s">
        <v>1829</v>
      </c>
      <c r="H750" s="1172"/>
      <c r="I750" s="1172"/>
      <c r="J750" s="1172"/>
      <c r="K750" s="1172"/>
      <c r="L750" s="1173">
        <v>20000</v>
      </c>
      <c r="M750" s="1172"/>
      <c r="N750" s="1172"/>
      <c r="O750" s="1172"/>
      <c r="P750" s="1174"/>
      <c r="Q750" s="1175"/>
      <c r="R750" s="1172"/>
      <c r="S750" s="1172"/>
      <c r="T750" s="1172"/>
      <c r="U750" s="1172"/>
      <c r="V750" s="1172"/>
      <c r="W750" s="1172"/>
      <c r="X750" s="1176"/>
    </row>
    <row r="751" spans="1:24" ht="33.75" customHeight="1" x14ac:dyDescent="0.2">
      <c r="A751" s="2052" t="s">
        <v>2548</v>
      </c>
      <c r="B751" s="2054" t="s">
        <v>2816</v>
      </c>
      <c r="C751" s="2056" t="s">
        <v>2817</v>
      </c>
      <c r="D751" s="1170" t="s">
        <v>198</v>
      </c>
      <c r="E751" s="1462" t="s">
        <v>1375</v>
      </c>
      <c r="F751" s="1462" t="s">
        <v>1878</v>
      </c>
      <c r="G751" s="1311" t="s">
        <v>1829</v>
      </c>
      <c r="H751" s="1172"/>
      <c r="I751" s="1172"/>
      <c r="J751" s="1172"/>
      <c r="K751" s="1172"/>
      <c r="L751" s="1173"/>
      <c r="M751" s="1172"/>
      <c r="N751" s="1172"/>
      <c r="O751" s="1172"/>
      <c r="P751" s="1174"/>
      <c r="Q751" s="1175">
        <f>2525837+399000</f>
        <v>2924837</v>
      </c>
      <c r="R751" s="1172"/>
      <c r="S751" s="1172"/>
      <c r="T751" s="1172"/>
      <c r="U751" s="1172"/>
      <c r="V751" s="1172"/>
      <c r="W751" s="1172"/>
      <c r="X751" s="1176"/>
    </row>
    <row r="752" spans="1:24" ht="33.75" customHeight="1" x14ac:dyDescent="0.2">
      <c r="A752" s="2053"/>
      <c r="B752" s="2055"/>
      <c r="C752" s="2057"/>
      <c r="D752" s="1170" t="s">
        <v>195</v>
      </c>
      <c r="E752" s="1462" t="s">
        <v>74</v>
      </c>
      <c r="F752" s="1462" t="s">
        <v>1870</v>
      </c>
      <c r="G752" s="1311" t="s">
        <v>1829</v>
      </c>
      <c r="H752" s="1172"/>
      <c r="I752" s="1172"/>
      <c r="J752" s="1172"/>
      <c r="K752" s="1172"/>
      <c r="L752" s="1173">
        <v>2924837</v>
      </c>
      <c r="M752" s="1172"/>
      <c r="N752" s="1172"/>
      <c r="O752" s="1172"/>
      <c r="P752" s="1174"/>
      <c r="Q752" s="1175"/>
      <c r="R752" s="1172"/>
      <c r="S752" s="1172"/>
      <c r="T752" s="1172"/>
      <c r="U752" s="1172"/>
      <c r="V752" s="1172"/>
      <c r="W752" s="1172"/>
      <c r="X752" s="1176"/>
    </row>
    <row r="753" spans="1:24" ht="24" customHeight="1" x14ac:dyDescent="0.2">
      <c r="A753" s="2052" t="s">
        <v>2550</v>
      </c>
      <c r="B753" s="2054" t="s">
        <v>2821</v>
      </c>
      <c r="C753" s="2056" t="s">
        <v>2822</v>
      </c>
      <c r="D753" s="1170" t="s">
        <v>188</v>
      </c>
      <c r="E753" s="1462" t="s">
        <v>2271</v>
      </c>
      <c r="F753" s="1462" t="s">
        <v>2269</v>
      </c>
      <c r="G753" s="1311" t="s">
        <v>1828</v>
      </c>
      <c r="H753" s="1172"/>
      <c r="I753" s="1172"/>
      <c r="J753" s="1172">
        <f>-2579200-696384</f>
        <v>-3275584</v>
      </c>
      <c r="K753" s="1172"/>
      <c r="L753" s="1173"/>
      <c r="M753" s="1172"/>
      <c r="N753" s="1172"/>
      <c r="O753" s="1172"/>
      <c r="P753" s="1174"/>
      <c r="Q753" s="1175"/>
      <c r="R753" s="1172"/>
      <c r="S753" s="1172"/>
      <c r="T753" s="1172"/>
      <c r="U753" s="1172"/>
      <c r="V753" s="1172"/>
      <c r="W753" s="1172"/>
      <c r="X753" s="1176"/>
    </row>
    <row r="754" spans="1:24" ht="24" customHeight="1" x14ac:dyDescent="0.2">
      <c r="A754" s="2053"/>
      <c r="B754" s="2055"/>
      <c r="C754" s="2057"/>
      <c r="D754" s="1170" t="s">
        <v>188</v>
      </c>
      <c r="E754" s="1462" t="s">
        <v>1971</v>
      </c>
      <c r="F754" s="1462" t="s">
        <v>1970</v>
      </c>
      <c r="G754" s="1311" t="s">
        <v>1829</v>
      </c>
      <c r="H754" s="1172"/>
      <c r="I754" s="1172"/>
      <c r="J754" s="1172">
        <f>2579200+696384</f>
        <v>3275584</v>
      </c>
      <c r="K754" s="1172"/>
      <c r="L754" s="1173"/>
      <c r="M754" s="1172"/>
      <c r="N754" s="1172"/>
      <c r="O754" s="1172"/>
      <c r="P754" s="1174"/>
      <c r="Q754" s="1175"/>
      <c r="R754" s="1172"/>
      <c r="S754" s="1172"/>
      <c r="T754" s="1172"/>
      <c r="U754" s="1172"/>
      <c r="V754" s="1172"/>
      <c r="W754" s="1172"/>
      <c r="X754" s="1176"/>
    </row>
    <row r="755" spans="1:24" ht="40.5" customHeight="1" x14ac:dyDescent="0.2">
      <c r="A755" s="2052" t="s">
        <v>2552</v>
      </c>
      <c r="B755" s="2054" t="s">
        <v>2825</v>
      </c>
      <c r="C755" s="2056" t="s">
        <v>2826</v>
      </c>
      <c r="D755" s="1170" t="s">
        <v>195</v>
      </c>
      <c r="E755" s="1462" t="s">
        <v>74</v>
      </c>
      <c r="F755" s="1462" t="s">
        <v>1870</v>
      </c>
      <c r="G755" s="1311" t="s">
        <v>1828</v>
      </c>
      <c r="H755" s="1172"/>
      <c r="I755" s="1172"/>
      <c r="J755" s="1172"/>
      <c r="K755" s="1172"/>
      <c r="L755" s="1173">
        <v>-1017000</v>
      </c>
      <c r="M755" s="1172"/>
      <c r="N755" s="1172"/>
      <c r="O755" s="1172"/>
      <c r="P755" s="1174"/>
      <c r="Q755" s="1175"/>
      <c r="R755" s="1172"/>
      <c r="S755" s="1172"/>
      <c r="T755" s="1172"/>
      <c r="U755" s="1172"/>
      <c r="V755" s="1172"/>
      <c r="W755" s="1172"/>
      <c r="X755" s="1176"/>
    </row>
    <row r="756" spans="1:24" ht="40.5" customHeight="1" x14ac:dyDescent="0.2">
      <c r="A756" s="2053"/>
      <c r="B756" s="2055"/>
      <c r="C756" s="2057"/>
      <c r="D756" s="1170" t="s">
        <v>197</v>
      </c>
      <c r="E756" s="1462" t="s">
        <v>1288</v>
      </c>
      <c r="F756" s="1462" t="s">
        <v>535</v>
      </c>
      <c r="G756" s="1311" t="s">
        <v>1829</v>
      </c>
      <c r="H756" s="1172"/>
      <c r="I756" s="1172"/>
      <c r="J756" s="1172"/>
      <c r="K756" s="1172"/>
      <c r="L756" s="1173"/>
      <c r="M756" s="1172"/>
      <c r="N756" s="1172"/>
      <c r="O756" s="1172"/>
      <c r="P756" s="1174">
        <v>1017000</v>
      </c>
      <c r="Q756" s="1175"/>
      <c r="R756" s="1172"/>
      <c r="S756" s="1172"/>
      <c r="T756" s="1172"/>
      <c r="U756" s="1172"/>
      <c r="V756" s="1172"/>
      <c r="W756" s="1172"/>
      <c r="X756" s="1176"/>
    </row>
    <row r="757" spans="1:24" ht="33.75" customHeight="1" x14ac:dyDescent="0.2">
      <c r="A757" s="2052" t="s">
        <v>2554</v>
      </c>
      <c r="B757" s="2054" t="s">
        <v>2828</v>
      </c>
      <c r="C757" s="2056" t="s">
        <v>2829</v>
      </c>
      <c r="D757" s="1170" t="s">
        <v>188</v>
      </c>
      <c r="E757" s="1462" t="s">
        <v>2832</v>
      </c>
      <c r="F757" s="1462" t="s">
        <v>2830</v>
      </c>
      <c r="G757" s="1311" t="s">
        <v>1828</v>
      </c>
      <c r="H757" s="1172"/>
      <c r="I757" s="1172"/>
      <c r="J757" s="1172"/>
      <c r="K757" s="1172">
        <v>-2000000</v>
      </c>
      <c r="L757" s="1173"/>
      <c r="M757" s="1172"/>
      <c r="N757" s="1172"/>
      <c r="O757" s="1172"/>
      <c r="P757" s="1174"/>
      <c r="Q757" s="1175"/>
      <c r="R757" s="1172"/>
      <c r="S757" s="1172"/>
      <c r="T757" s="1172"/>
      <c r="U757" s="1172"/>
      <c r="V757" s="1172"/>
      <c r="W757" s="1172"/>
      <c r="X757" s="1176"/>
    </row>
    <row r="758" spans="1:24" ht="33.75" customHeight="1" x14ac:dyDescent="0.2">
      <c r="A758" s="2053"/>
      <c r="B758" s="2055"/>
      <c r="C758" s="2057"/>
      <c r="D758" s="1170" t="s">
        <v>188</v>
      </c>
      <c r="E758" s="1462" t="s">
        <v>2832</v>
      </c>
      <c r="F758" s="1462" t="s">
        <v>2831</v>
      </c>
      <c r="G758" s="1311" t="s">
        <v>1829</v>
      </c>
      <c r="H758" s="1172"/>
      <c r="I758" s="1172"/>
      <c r="J758" s="1172"/>
      <c r="K758" s="1172">
        <v>2000000</v>
      </c>
      <c r="L758" s="1173"/>
      <c r="M758" s="1172"/>
      <c r="N758" s="1172"/>
      <c r="O758" s="1172"/>
      <c r="P758" s="1174"/>
      <c r="Q758" s="1175"/>
      <c r="R758" s="1172"/>
      <c r="S758" s="1172"/>
      <c r="T758" s="1172"/>
      <c r="U758" s="1172"/>
      <c r="V758" s="1172"/>
      <c r="W758" s="1172"/>
      <c r="X758" s="1176"/>
    </row>
    <row r="759" spans="1:24" ht="24.75" customHeight="1" x14ac:dyDescent="0.2">
      <c r="A759" s="2052" t="s">
        <v>2556</v>
      </c>
      <c r="B759" s="2054" t="s">
        <v>2833</v>
      </c>
      <c r="C759" s="2056" t="s">
        <v>2834</v>
      </c>
      <c r="D759" s="1170" t="s">
        <v>195</v>
      </c>
      <c r="E759" s="1462" t="s">
        <v>74</v>
      </c>
      <c r="F759" s="1462" t="s">
        <v>1870</v>
      </c>
      <c r="G759" s="1311" t="s">
        <v>1828</v>
      </c>
      <c r="H759" s="1172"/>
      <c r="I759" s="1172"/>
      <c r="J759" s="1172"/>
      <c r="K759" s="1172"/>
      <c r="L759" s="1173">
        <v>-19030950</v>
      </c>
      <c r="M759" s="1172"/>
      <c r="N759" s="1172"/>
      <c r="O759" s="1172"/>
      <c r="P759" s="1174"/>
      <c r="Q759" s="1175"/>
      <c r="R759" s="1172"/>
      <c r="S759" s="1172"/>
      <c r="T759" s="1172"/>
      <c r="U759" s="1172"/>
      <c r="V759" s="1172"/>
      <c r="W759" s="1172"/>
      <c r="X759" s="1176"/>
    </row>
    <row r="760" spans="1:24" ht="24.75" customHeight="1" x14ac:dyDescent="0.2">
      <c r="A760" s="2053"/>
      <c r="B760" s="2055"/>
      <c r="C760" s="2057"/>
      <c r="D760" s="1170" t="s">
        <v>188</v>
      </c>
      <c r="E760" s="1462" t="s">
        <v>1980</v>
      </c>
      <c r="F760" s="1462" t="s">
        <v>1979</v>
      </c>
      <c r="G760" s="1311" t="s">
        <v>1829</v>
      </c>
      <c r="H760" s="1172"/>
      <c r="I760" s="1172"/>
      <c r="J760" s="1172">
        <f>14985000+4045950</f>
        <v>19030950</v>
      </c>
      <c r="K760" s="1172"/>
      <c r="L760" s="1173"/>
      <c r="M760" s="1172"/>
      <c r="N760" s="1172"/>
      <c r="O760" s="1172"/>
      <c r="P760" s="1174"/>
      <c r="Q760" s="1175"/>
      <c r="R760" s="1172"/>
      <c r="S760" s="1172"/>
      <c r="T760" s="1172"/>
      <c r="U760" s="1172"/>
      <c r="V760" s="1172"/>
      <c r="W760" s="1172"/>
      <c r="X760" s="1176"/>
    </row>
    <row r="761" spans="1:24" ht="24" customHeight="1" x14ac:dyDescent="0.2">
      <c r="A761" s="2052" t="s">
        <v>2558</v>
      </c>
      <c r="B761" s="2054" t="s">
        <v>2835</v>
      </c>
      <c r="C761" s="2056" t="s">
        <v>3007</v>
      </c>
      <c r="D761" s="1170" t="s">
        <v>195</v>
      </c>
      <c r="E761" s="1462" t="s">
        <v>74</v>
      </c>
      <c r="F761" s="1462" t="s">
        <v>1870</v>
      </c>
      <c r="G761" s="1311" t="s">
        <v>1828</v>
      </c>
      <c r="H761" s="1172"/>
      <c r="I761" s="1172"/>
      <c r="J761" s="1172"/>
      <c r="K761" s="1172"/>
      <c r="L761" s="1173">
        <v>-7594600</v>
      </c>
      <c r="M761" s="1172"/>
      <c r="N761" s="1172"/>
      <c r="O761" s="1172"/>
      <c r="P761" s="1174"/>
      <c r="Q761" s="1175"/>
      <c r="R761" s="1172"/>
      <c r="S761" s="1172"/>
      <c r="T761" s="1172"/>
      <c r="U761" s="1172"/>
      <c r="V761" s="1172"/>
      <c r="W761" s="1172"/>
      <c r="X761" s="1176"/>
    </row>
    <row r="762" spans="1:24" ht="24" customHeight="1" x14ac:dyDescent="0.2">
      <c r="A762" s="2053"/>
      <c r="B762" s="2055"/>
      <c r="C762" s="2057"/>
      <c r="D762" s="1170" t="s">
        <v>188</v>
      </c>
      <c r="E762" s="1462" t="s">
        <v>2129</v>
      </c>
      <c r="F762" s="1462" t="s">
        <v>2128</v>
      </c>
      <c r="G762" s="1311" t="s">
        <v>1829</v>
      </c>
      <c r="H762" s="1172"/>
      <c r="I762" s="1172"/>
      <c r="J762" s="1172">
        <f>5980000+1614600</f>
        <v>7594600</v>
      </c>
      <c r="K762" s="1172"/>
      <c r="L762" s="1173"/>
      <c r="M762" s="1172"/>
      <c r="N762" s="1172"/>
      <c r="O762" s="1172"/>
      <c r="P762" s="1174"/>
      <c r="Q762" s="1175"/>
      <c r="R762" s="1172"/>
      <c r="S762" s="1172"/>
      <c r="T762" s="1172"/>
      <c r="U762" s="1172"/>
      <c r="V762" s="1172"/>
      <c r="W762" s="1172"/>
      <c r="X762" s="1176"/>
    </row>
    <row r="763" spans="1:24" ht="23.25" customHeight="1" x14ac:dyDescent="0.2">
      <c r="A763" s="2052" t="s">
        <v>2560</v>
      </c>
      <c r="B763" s="2054" t="s">
        <v>2836</v>
      </c>
      <c r="C763" s="2056" t="s">
        <v>3008</v>
      </c>
      <c r="D763" s="1170" t="s">
        <v>193</v>
      </c>
      <c r="E763" s="1462" t="s">
        <v>583</v>
      </c>
      <c r="F763" s="1462" t="s">
        <v>1457</v>
      </c>
      <c r="G763" s="1311" t="s">
        <v>1828</v>
      </c>
      <c r="H763" s="1172"/>
      <c r="I763" s="1172"/>
      <c r="J763" s="1172"/>
      <c r="K763" s="1172"/>
      <c r="L763" s="1173"/>
      <c r="M763" s="1172">
        <f>-1750000-472500</f>
        <v>-2222500</v>
      </c>
      <c r="N763" s="1172"/>
      <c r="O763" s="1172"/>
      <c r="P763" s="1174"/>
      <c r="Q763" s="1175"/>
      <c r="R763" s="1172"/>
      <c r="S763" s="1172"/>
      <c r="T763" s="1172"/>
      <c r="U763" s="1172"/>
      <c r="V763" s="1172"/>
      <c r="W763" s="1172"/>
      <c r="X763" s="1176"/>
    </row>
    <row r="764" spans="1:24" ht="23.25" customHeight="1" x14ac:dyDescent="0.2">
      <c r="A764" s="2053"/>
      <c r="B764" s="2055"/>
      <c r="C764" s="2057"/>
      <c r="D764" s="1170" t="s">
        <v>193</v>
      </c>
      <c r="E764" s="1462" t="s">
        <v>583</v>
      </c>
      <c r="F764" s="1462" t="s">
        <v>2103</v>
      </c>
      <c r="G764" s="1311" t="s">
        <v>1829</v>
      </c>
      <c r="H764" s="1172"/>
      <c r="I764" s="1172"/>
      <c r="J764" s="1172"/>
      <c r="K764" s="1172"/>
      <c r="L764" s="1173"/>
      <c r="M764" s="1172">
        <f>1750000+472500</f>
        <v>2222500</v>
      </c>
      <c r="N764" s="1172"/>
      <c r="O764" s="1172"/>
      <c r="P764" s="1174"/>
      <c r="Q764" s="1175"/>
      <c r="R764" s="1172"/>
      <c r="S764" s="1172"/>
      <c r="T764" s="1172"/>
      <c r="U764" s="1172"/>
      <c r="V764" s="1172"/>
      <c r="W764" s="1172"/>
      <c r="X764" s="1176"/>
    </row>
    <row r="765" spans="1:24" ht="23.25" customHeight="1" x14ac:dyDescent="0.2">
      <c r="A765" s="2052" t="s">
        <v>2563</v>
      </c>
      <c r="B765" s="2054" t="s">
        <v>2838</v>
      </c>
      <c r="C765" s="2056" t="s">
        <v>2839</v>
      </c>
      <c r="D765" s="1170" t="s">
        <v>188</v>
      </c>
      <c r="E765" s="1462" t="s">
        <v>1980</v>
      </c>
      <c r="F765" s="1462" t="s">
        <v>2515</v>
      </c>
      <c r="G765" s="1311" t="s">
        <v>1828</v>
      </c>
      <c r="H765" s="1172"/>
      <c r="I765" s="1172"/>
      <c r="J765" s="1172">
        <f>-1383136-373447</f>
        <v>-1756583</v>
      </c>
      <c r="K765" s="1172"/>
      <c r="L765" s="1173"/>
      <c r="M765" s="1172"/>
      <c r="N765" s="1172"/>
      <c r="O765" s="1172"/>
      <c r="P765" s="1174"/>
      <c r="Q765" s="1175"/>
      <c r="R765" s="1172"/>
      <c r="S765" s="1172"/>
      <c r="T765" s="1172"/>
      <c r="U765" s="1172"/>
      <c r="V765" s="1172"/>
      <c r="W765" s="1172"/>
      <c r="X765" s="1176"/>
    </row>
    <row r="766" spans="1:24" ht="23.25" customHeight="1" x14ac:dyDescent="0.2">
      <c r="A766" s="2053"/>
      <c r="B766" s="2055"/>
      <c r="C766" s="2057"/>
      <c r="D766" s="1170" t="s">
        <v>188</v>
      </c>
      <c r="E766" s="1462" t="s">
        <v>1980</v>
      </c>
      <c r="F766" s="1462" t="s">
        <v>1979</v>
      </c>
      <c r="G766" s="1311" t="s">
        <v>1829</v>
      </c>
      <c r="H766" s="1172"/>
      <c r="I766" s="1172"/>
      <c r="J766" s="1172">
        <f>1383136+373447</f>
        <v>1756583</v>
      </c>
      <c r="K766" s="1172"/>
      <c r="L766" s="1173"/>
      <c r="M766" s="1172"/>
      <c r="N766" s="1172"/>
      <c r="O766" s="1172"/>
      <c r="P766" s="1174"/>
      <c r="Q766" s="1175"/>
      <c r="R766" s="1172"/>
      <c r="S766" s="1172"/>
      <c r="T766" s="1172"/>
      <c r="U766" s="1172"/>
      <c r="V766" s="1172"/>
      <c r="W766" s="1172"/>
      <c r="X766" s="1176"/>
    </row>
    <row r="767" spans="1:24" ht="24.75" customHeight="1" x14ac:dyDescent="0.2">
      <c r="A767" s="2052" t="s">
        <v>2564</v>
      </c>
      <c r="B767" s="2054" t="s">
        <v>2840</v>
      </c>
      <c r="C767" s="2056" t="s">
        <v>2841</v>
      </c>
      <c r="D767" s="1170" t="s">
        <v>188</v>
      </c>
      <c r="E767" s="1462" t="s">
        <v>813</v>
      </c>
      <c r="F767" s="1462" t="s">
        <v>1897</v>
      </c>
      <c r="G767" s="1311" t="s">
        <v>1828</v>
      </c>
      <c r="H767" s="1172"/>
      <c r="I767" s="1172"/>
      <c r="J767" s="1172">
        <f>-788517-212900</f>
        <v>-1001417</v>
      </c>
      <c r="K767" s="1172"/>
      <c r="L767" s="1173"/>
      <c r="M767" s="1172"/>
      <c r="N767" s="1172"/>
      <c r="O767" s="1172"/>
      <c r="P767" s="1174"/>
      <c r="Q767" s="1175"/>
      <c r="R767" s="1172"/>
      <c r="S767" s="1172"/>
      <c r="T767" s="1172"/>
      <c r="U767" s="1172"/>
      <c r="V767" s="1172"/>
      <c r="W767" s="1172"/>
      <c r="X767" s="1176"/>
    </row>
    <row r="768" spans="1:24" ht="24.75" customHeight="1" x14ac:dyDescent="0.2">
      <c r="A768" s="2053"/>
      <c r="B768" s="2055"/>
      <c r="C768" s="2057"/>
      <c r="D768" s="1170" t="s">
        <v>188</v>
      </c>
      <c r="E768" s="1462" t="s">
        <v>1980</v>
      </c>
      <c r="F768" s="1462" t="s">
        <v>1979</v>
      </c>
      <c r="G768" s="1311" t="s">
        <v>1829</v>
      </c>
      <c r="H768" s="1172"/>
      <c r="I768" s="1172"/>
      <c r="J768" s="1172">
        <f>788517+212900</f>
        <v>1001417</v>
      </c>
      <c r="K768" s="1172"/>
      <c r="L768" s="1173"/>
      <c r="M768" s="1172"/>
      <c r="N768" s="1172"/>
      <c r="O768" s="1172"/>
      <c r="P768" s="1174"/>
      <c r="Q768" s="1175"/>
      <c r="R768" s="1172"/>
      <c r="S768" s="1172"/>
      <c r="T768" s="1172"/>
      <c r="U768" s="1172"/>
      <c r="V768" s="1172"/>
      <c r="W768" s="1172"/>
      <c r="X768" s="1176"/>
    </row>
    <row r="769" spans="1:24" ht="21" customHeight="1" x14ac:dyDescent="0.2">
      <c r="A769" s="2052" t="s">
        <v>2566</v>
      </c>
      <c r="B769" s="2054" t="s">
        <v>2842</v>
      </c>
      <c r="C769" s="2056" t="s">
        <v>2676</v>
      </c>
      <c r="D769" s="1170" t="s">
        <v>188</v>
      </c>
      <c r="E769" s="1462" t="s">
        <v>1980</v>
      </c>
      <c r="F769" s="1462" t="s">
        <v>2515</v>
      </c>
      <c r="G769" s="1311" t="s">
        <v>1828</v>
      </c>
      <c r="H769" s="1172"/>
      <c r="I769" s="1172"/>
      <c r="J769" s="1172">
        <f>-217323-382677</f>
        <v>-600000</v>
      </c>
      <c r="K769" s="1172"/>
      <c r="L769" s="1173"/>
      <c r="M769" s="1172"/>
      <c r="N769" s="1172"/>
      <c r="O769" s="1172"/>
      <c r="P769" s="1174"/>
      <c r="Q769" s="1175"/>
      <c r="R769" s="1172"/>
      <c r="S769" s="1172"/>
      <c r="T769" s="1172"/>
      <c r="U769" s="1172"/>
      <c r="V769" s="1172"/>
      <c r="W769" s="1172"/>
      <c r="X769" s="1176"/>
    </row>
    <row r="770" spans="1:24" ht="21" customHeight="1" x14ac:dyDescent="0.2">
      <c r="A770" s="2053"/>
      <c r="B770" s="2055"/>
      <c r="C770" s="2057"/>
      <c r="D770" s="1170" t="s">
        <v>188</v>
      </c>
      <c r="E770" s="1462" t="s">
        <v>2129</v>
      </c>
      <c r="F770" s="1462" t="s">
        <v>2128</v>
      </c>
      <c r="G770" s="1311" t="s">
        <v>1829</v>
      </c>
      <c r="H770" s="1172"/>
      <c r="I770" s="1172"/>
      <c r="J770" s="1172">
        <v>600000</v>
      </c>
      <c r="K770" s="1172"/>
      <c r="L770" s="1173"/>
      <c r="M770" s="1172"/>
      <c r="N770" s="1172"/>
      <c r="O770" s="1172"/>
      <c r="P770" s="1174"/>
      <c r="Q770" s="1175"/>
      <c r="R770" s="1172"/>
      <c r="S770" s="1172"/>
      <c r="T770" s="1172"/>
      <c r="U770" s="1172"/>
      <c r="V770" s="1172"/>
      <c r="W770" s="1172"/>
      <c r="X770" s="1176"/>
    </row>
    <row r="771" spans="1:24" ht="22.5" customHeight="1" x14ac:dyDescent="0.2">
      <c r="A771" s="2052" t="s">
        <v>2569</v>
      </c>
      <c r="B771" s="2054" t="s">
        <v>2843</v>
      </c>
      <c r="C771" s="2097" t="s">
        <v>2844</v>
      </c>
      <c r="D771" s="1170" t="s">
        <v>188</v>
      </c>
      <c r="E771" s="1462" t="s">
        <v>813</v>
      </c>
      <c r="F771" s="1462" t="s">
        <v>1897</v>
      </c>
      <c r="G771" s="1311" t="s">
        <v>1828</v>
      </c>
      <c r="H771" s="1172"/>
      <c r="I771" s="1172"/>
      <c r="J771" s="1172">
        <f>-395000-106650</f>
        <v>-501650</v>
      </c>
      <c r="K771" s="1172"/>
      <c r="L771" s="1173"/>
      <c r="M771" s="1172"/>
      <c r="N771" s="1172"/>
      <c r="O771" s="1172"/>
      <c r="P771" s="1174"/>
      <c r="Q771" s="1175"/>
      <c r="R771" s="1172"/>
      <c r="S771" s="1172"/>
      <c r="T771" s="1172"/>
      <c r="U771" s="1172"/>
      <c r="V771" s="1172"/>
      <c r="W771" s="1172"/>
      <c r="X771" s="1176"/>
    </row>
    <row r="772" spans="1:24" ht="22.5" customHeight="1" x14ac:dyDescent="0.2">
      <c r="A772" s="2053"/>
      <c r="B772" s="2055"/>
      <c r="C772" s="2098"/>
      <c r="D772" s="1170" t="s">
        <v>188</v>
      </c>
      <c r="E772" s="1462" t="s">
        <v>1980</v>
      </c>
      <c r="F772" s="1462" t="s">
        <v>1979</v>
      </c>
      <c r="G772" s="1311" t="s">
        <v>1829</v>
      </c>
      <c r="H772" s="1172"/>
      <c r="I772" s="1172"/>
      <c r="J772" s="1172">
        <f>395000+106650</f>
        <v>501650</v>
      </c>
      <c r="K772" s="1172"/>
      <c r="L772" s="1173"/>
      <c r="M772" s="1172"/>
      <c r="N772" s="1172"/>
      <c r="O772" s="1172"/>
      <c r="P772" s="1174"/>
      <c r="Q772" s="1175"/>
      <c r="R772" s="1172"/>
      <c r="S772" s="1172"/>
      <c r="T772" s="1172"/>
      <c r="U772" s="1172"/>
      <c r="V772" s="1172"/>
      <c r="W772" s="1172"/>
      <c r="X772" s="1176"/>
    </row>
    <row r="773" spans="1:24" ht="27.75" customHeight="1" x14ac:dyDescent="0.2">
      <c r="A773" s="2052" t="s">
        <v>2571</v>
      </c>
      <c r="B773" s="2054" t="s">
        <v>2845</v>
      </c>
      <c r="C773" s="2056" t="s">
        <v>2846</v>
      </c>
      <c r="D773" s="1170" t="s">
        <v>195</v>
      </c>
      <c r="E773" s="1462" t="s">
        <v>74</v>
      </c>
      <c r="F773" s="1462" t="s">
        <v>1870</v>
      </c>
      <c r="G773" s="1311" t="s">
        <v>1828</v>
      </c>
      <c r="H773" s="1172"/>
      <c r="I773" s="1172"/>
      <c r="J773" s="1172"/>
      <c r="K773" s="1172"/>
      <c r="L773" s="1173">
        <v>-2066798</v>
      </c>
      <c r="M773" s="1172"/>
      <c r="N773" s="1172"/>
      <c r="O773" s="1172"/>
      <c r="P773" s="1174"/>
      <c r="Q773" s="1175"/>
      <c r="R773" s="1172"/>
      <c r="S773" s="1172"/>
      <c r="T773" s="1172"/>
      <c r="U773" s="1172"/>
      <c r="V773" s="1172"/>
      <c r="W773" s="1172"/>
      <c r="X773" s="1176"/>
    </row>
    <row r="774" spans="1:24" ht="27.75" customHeight="1" x14ac:dyDescent="0.2">
      <c r="A774" s="2053"/>
      <c r="B774" s="2055"/>
      <c r="C774" s="2057"/>
      <c r="D774" s="1170" t="s">
        <v>193</v>
      </c>
      <c r="E774" s="1462" t="s">
        <v>1502</v>
      </c>
      <c r="F774" s="1462" t="s">
        <v>1501</v>
      </c>
      <c r="G774" s="1311" t="s">
        <v>1829</v>
      </c>
      <c r="H774" s="1172"/>
      <c r="I774" s="1172"/>
      <c r="J774" s="1172"/>
      <c r="K774" s="1172"/>
      <c r="L774" s="1173"/>
      <c r="M774" s="1172">
        <f>1627400+439398</f>
        <v>2066798</v>
      </c>
      <c r="N774" s="1172"/>
      <c r="O774" s="1172"/>
      <c r="P774" s="1174"/>
      <c r="Q774" s="1175"/>
      <c r="R774" s="1172"/>
      <c r="S774" s="1172"/>
      <c r="T774" s="1172"/>
      <c r="U774" s="1172"/>
      <c r="V774" s="1172"/>
      <c r="W774" s="1172"/>
      <c r="X774" s="1176"/>
    </row>
    <row r="775" spans="1:24" ht="29.25" customHeight="1" x14ac:dyDescent="0.2">
      <c r="A775" s="2052" t="s">
        <v>2573</v>
      </c>
      <c r="B775" s="2054" t="s">
        <v>2852</v>
      </c>
      <c r="C775" s="2056" t="s">
        <v>2849</v>
      </c>
      <c r="D775" s="1170" t="s">
        <v>195</v>
      </c>
      <c r="E775" s="1462" t="s">
        <v>74</v>
      </c>
      <c r="F775" s="1462" t="s">
        <v>1870</v>
      </c>
      <c r="G775" s="1311" t="s">
        <v>1828</v>
      </c>
      <c r="H775" s="1172"/>
      <c r="I775" s="1172"/>
      <c r="J775" s="1172"/>
      <c r="K775" s="1172"/>
      <c r="L775" s="1173">
        <v>-20000000</v>
      </c>
      <c r="M775" s="1172"/>
      <c r="N775" s="1172"/>
      <c r="O775" s="1172"/>
      <c r="P775" s="1174"/>
      <c r="Q775" s="1175"/>
      <c r="R775" s="1172"/>
      <c r="S775" s="1172"/>
      <c r="T775" s="1172"/>
      <c r="U775" s="1172"/>
      <c r="V775" s="1172"/>
      <c r="W775" s="1172"/>
      <c r="X775" s="1176"/>
    </row>
    <row r="776" spans="1:24" ht="29.25" customHeight="1" x14ac:dyDescent="0.2">
      <c r="A776" s="2053"/>
      <c r="B776" s="2055"/>
      <c r="C776" s="2057"/>
      <c r="D776" s="1170" t="s">
        <v>195</v>
      </c>
      <c r="E776" s="1462" t="s">
        <v>74</v>
      </c>
      <c r="F776" s="1462" t="s">
        <v>1870</v>
      </c>
      <c r="G776" s="1311" t="s">
        <v>1829</v>
      </c>
      <c r="H776" s="1172"/>
      <c r="I776" s="1172"/>
      <c r="J776" s="1172"/>
      <c r="K776" s="1172"/>
      <c r="L776" s="1173">
        <v>20000000</v>
      </c>
      <c r="M776" s="1172"/>
      <c r="N776" s="1172"/>
      <c r="O776" s="1172"/>
      <c r="P776" s="1174"/>
      <c r="Q776" s="1175"/>
      <c r="R776" s="1172"/>
      <c r="S776" s="1172"/>
      <c r="T776" s="1172"/>
      <c r="U776" s="1172"/>
      <c r="V776" s="1172"/>
      <c r="W776" s="1172"/>
      <c r="X776" s="1176"/>
    </row>
    <row r="777" spans="1:24" ht="41.25" customHeight="1" x14ac:dyDescent="0.2">
      <c r="A777" s="2052" t="s">
        <v>2576</v>
      </c>
      <c r="B777" s="2054" t="s">
        <v>2851</v>
      </c>
      <c r="C777" s="2056" t="s">
        <v>2853</v>
      </c>
      <c r="D777" s="1170" t="s">
        <v>195</v>
      </c>
      <c r="E777" s="1462" t="s">
        <v>74</v>
      </c>
      <c r="F777" s="1462" t="s">
        <v>1870</v>
      </c>
      <c r="G777" s="1311" t="s">
        <v>1828</v>
      </c>
      <c r="H777" s="1172"/>
      <c r="I777" s="1172"/>
      <c r="J777" s="1172"/>
      <c r="K777" s="1172"/>
      <c r="L777" s="1173">
        <v>-47144129</v>
      </c>
      <c r="M777" s="1172"/>
      <c r="N777" s="1172"/>
      <c r="O777" s="1172"/>
      <c r="P777" s="1174"/>
      <c r="Q777" s="1175"/>
      <c r="R777" s="1172"/>
      <c r="S777" s="1172"/>
      <c r="T777" s="1172"/>
      <c r="U777" s="1172"/>
      <c r="V777" s="1172"/>
      <c r="W777" s="1172"/>
      <c r="X777" s="1176"/>
    </row>
    <row r="778" spans="1:24" ht="41.25" customHeight="1" x14ac:dyDescent="0.2">
      <c r="A778" s="2053"/>
      <c r="B778" s="2055"/>
      <c r="C778" s="2057"/>
      <c r="D778" s="1170" t="s">
        <v>195</v>
      </c>
      <c r="E778" s="1462" t="s">
        <v>74</v>
      </c>
      <c r="F778" s="1462" t="s">
        <v>1870</v>
      </c>
      <c r="G778" s="1311" t="s">
        <v>1829</v>
      </c>
      <c r="H778" s="1172"/>
      <c r="I778" s="1172"/>
      <c r="J778" s="1172"/>
      <c r="K778" s="1172"/>
      <c r="L778" s="1173">
        <v>47144129</v>
      </c>
      <c r="M778" s="1172"/>
      <c r="N778" s="1172"/>
      <c r="O778" s="1172"/>
      <c r="P778" s="1174"/>
      <c r="Q778" s="1175"/>
      <c r="R778" s="1172"/>
      <c r="S778" s="1172"/>
      <c r="T778" s="1172"/>
      <c r="U778" s="1172"/>
      <c r="V778" s="1172"/>
      <c r="W778" s="1172"/>
      <c r="X778" s="1176"/>
    </row>
    <row r="779" spans="1:24" ht="41.25" customHeight="1" x14ac:dyDescent="0.2">
      <c r="A779" s="1491" t="s">
        <v>2579</v>
      </c>
      <c r="B779" s="1490" t="s">
        <v>2854</v>
      </c>
      <c r="C779" s="1631" t="s">
        <v>2855</v>
      </c>
      <c r="D779" s="1170" t="s">
        <v>188</v>
      </c>
      <c r="E779" s="1462" t="s">
        <v>1375</v>
      </c>
      <c r="F779" s="1462" t="s">
        <v>1878</v>
      </c>
      <c r="G779" s="1311" t="s">
        <v>1829</v>
      </c>
      <c r="H779" s="1172"/>
      <c r="I779" s="1172"/>
      <c r="J779" s="1172"/>
      <c r="K779" s="1172"/>
      <c r="L779" s="1173"/>
      <c r="M779" s="1172"/>
      <c r="N779" s="1172"/>
      <c r="O779" s="1172"/>
      <c r="P779" s="1174">
        <v>20931809</v>
      </c>
      <c r="Q779" s="1175"/>
      <c r="R779" s="1172"/>
      <c r="S779" s="1172"/>
      <c r="T779" s="1172"/>
      <c r="U779" s="1172"/>
      <c r="V779" s="1172"/>
      <c r="W779" s="1172"/>
      <c r="X779" s="1176">
        <v>20931809</v>
      </c>
    </row>
    <row r="780" spans="1:24" ht="18.75" customHeight="1" x14ac:dyDescent="0.2">
      <c r="A780" s="2052" t="s">
        <v>2580</v>
      </c>
      <c r="B780" s="2054" t="s">
        <v>2857</v>
      </c>
      <c r="C780" s="2056" t="s">
        <v>2856</v>
      </c>
      <c r="D780" s="1170" t="s">
        <v>188</v>
      </c>
      <c r="E780" s="1462" t="s">
        <v>74</v>
      </c>
      <c r="F780" s="1462" t="s">
        <v>440</v>
      </c>
      <c r="G780" s="1311" t="s">
        <v>1828</v>
      </c>
      <c r="H780" s="1172"/>
      <c r="I780" s="1172">
        <v>-350745</v>
      </c>
      <c r="J780" s="1172"/>
      <c r="K780" s="1172"/>
      <c r="L780" s="1173"/>
      <c r="M780" s="1172"/>
      <c r="N780" s="1172"/>
      <c r="O780" s="1172"/>
      <c r="P780" s="1174"/>
      <c r="Q780" s="1175"/>
      <c r="R780" s="1172"/>
      <c r="S780" s="1172"/>
      <c r="T780" s="1172"/>
      <c r="U780" s="1172"/>
      <c r="V780" s="1172"/>
      <c r="W780" s="1172"/>
      <c r="X780" s="1176"/>
    </row>
    <row r="781" spans="1:24" ht="18.75" customHeight="1" x14ac:dyDescent="0.2">
      <c r="A781" s="2061"/>
      <c r="B781" s="2060"/>
      <c r="C781" s="2065"/>
      <c r="D781" s="1170" t="s">
        <v>188</v>
      </c>
      <c r="E781" s="1462" t="s">
        <v>74</v>
      </c>
      <c r="F781" s="1462" t="s">
        <v>538</v>
      </c>
      <c r="G781" s="1311" t="s">
        <v>1837</v>
      </c>
      <c r="H781" s="1172">
        <f>-80000+80000</f>
        <v>0</v>
      </c>
      <c r="I781" s="1172"/>
      <c r="J781" s="1172"/>
      <c r="K781" s="1172"/>
      <c r="L781" s="1173"/>
      <c r="M781" s="1172"/>
      <c r="N781" s="1172"/>
      <c r="O781" s="1172"/>
      <c r="P781" s="1174"/>
      <c r="Q781" s="1175"/>
      <c r="R781" s="1172"/>
      <c r="S781" s="1172"/>
      <c r="T781" s="1172"/>
      <c r="U781" s="1172"/>
      <c r="V781" s="1172"/>
      <c r="W781" s="1172"/>
      <c r="X781" s="1176"/>
    </row>
    <row r="782" spans="1:24" ht="18.75" customHeight="1" x14ac:dyDescent="0.2">
      <c r="A782" s="2061"/>
      <c r="B782" s="2060"/>
      <c r="C782" s="2065"/>
      <c r="D782" s="1170" t="s">
        <v>188</v>
      </c>
      <c r="E782" s="1462" t="s">
        <v>590</v>
      </c>
      <c r="F782" s="1462" t="s">
        <v>442</v>
      </c>
      <c r="G782" s="1311" t="s">
        <v>1837</v>
      </c>
      <c r="H782" s="1172">
        <f>-90000+90000</f>
        <v>0</v>
      </c>
      <c r="I782" s="1172"/>
      <c r="J782" s="1172"/>
      <c r="K782" s="1172"/>
      <c r="L782" s="1173"/>
      <c r="M782" s="1172"/>
      <c r="N782" s="1172"/>
      <c r="O782" s="1172"/>
      <c r="P782" s="1174"/>
      <c r="Q782" s="1175"/>
      <c r="R782" s="1172"/>
      <c r="S782" s="1172"/>
      <c r="T782" s="1172"/>
      <c r="U782" s="1172"/>
      <c r="V782" s="1172"/>
      <c r="W782" s="1172"/>
      <c r="X782" s="1176"/>
    </row>
    <row r="783" spans="1:24" ht="18.75" customHeight="1" x14ac:dyDescent="0.2">
      <c r="A783" s="2061"/>
      <c r="B783" s="2060"/>
      <c r="C783" s="2065"/>
      <c r="D783" s="1170" t="s">
        <v>188</v>
      </c>
      <c r="E783" s="1462" t="s">
        <v>131</v>
      </c>
      <c r="F783" s="1462" t="s">
        <v>444</v>
      </c>
      <c r="G783" s="1311" t="s">
        <v>1837</v>
      </c>
      <c r="H783" s="1172">
        <f>-32184+32184</f>
        <v>0</v>
      </c>
      <c r="I783" s="1172"/>
      <c r="J783" s="1172"/>
      <c r="K783" s="1172"/>
      <c r="L783" s="1173"/>
      <c r="M783" s="1172"/>
      <c r="N783" s="1172"/>
      <c r="O783" s="1172"/>
      <c r="P783" s="1174"/>
      <c r="Q783" s="1175"/>
      <c r="R783" s="1172"/>
      <c r="S783" s="1172"/>
      <c r="T783" s="1172"/>
      <c r="U783" s="1172"/>
      <c r="V783" s="1172"/>
      <c r="W783" s="1172"/>
      <c r="X783" s="1176"/>
    </row>
    <row r="784" spans="1:24" ht="18.75" customHeight="1" x14ac:dyDescent="0.2">
      <c r="A784" s="2061"/>
      <c r="B784" s="2060"/>
      <c r="C784" s="2065"/>
      <c r="D784" s="1170" t="s">
        <v>188</v>
      </c>
      <c r="E784" s="1462" t="s">
        <v>542</v>
      </c>
      <c r="F784" s="1462" t="s">
        <v>447</v>
      </c>
      <c r="G784" s="1311" t="s">
        <v>1837</v>
      </c>
      <c r="H784" s="1172">
        <f>-18000+18000</f>
        <v>0</v>
      </c>
      <c r="I784" s="1172"/>
      <c r="J784" s="1172"/>
      <c r="K784" s="1172"/>
      <c r="L784" s="1173"/>
      <c r="M784" s="1172"/>
      <c r="N784" s="1172"/>
      <c r="O784" s="1172"/>
      <c r="P784" s="1174"/>
      <c r="Q784" s="1175"/>
      <c r="R784" s="1172"/>
      <c r="S784" s="1172"/>
      <c r="T784" s="1172"/>
      <c r="U784" s="1172"/>
      <c r="V784" s="1172"/>
      <c r="W784" s="1172"/>
      <c r="X784" s="1176"/>
    </row>
    <row r="785" spans="1:24" ht="18.75" customHeight="1" x14ac:dyDescent="0.2">
      <c r="A785" s="2061"/>
      <c r="B785" s="2060"/>
      <c r="C785" s="2065"/>
      <c r="D785" s="1170" t="s">
        <v>188</v>
      </c>
      <c r="E785" s="1462" t="s">
        <v>542</v>
      </c>
      <c r="F785" s="1462" t="s">
        <v>449</v>
      </c>
      <c r="G785" s="1311" t="s">
        <v>1837</v>
      </c>
      <c r="H785" s="1172">
        <f>-58000+18000+40000</f>
        <v>0</v>
      </c>
      <c r="I785" s="1172"/>
      <c r="J785" s="1172"/>
      <c r="K785" s="1172"/>
      <c r="L785" s="1173"/>
      <c r="M785" s="1172"/>
      <c r="N785" s="1172"/>
      <c r="O785" s="1172"/>
      <c r="P785" s="1174"/>
      <c r="Q785" s="1175"/>
      <c r="R785" s="1172"/>
      <c r="S785" s="1172"/>
      <c r="T785" s="1172"/>
      <c r="U785" s="1172"/>
      <c r="V785" s="1172"/>
      <c r="W785" s="1172"/>
      <c r="X785" s="1176"/>
    </row>
    <row r="786" spans="1:24" ht="18.75" customHeight="1" x14ac:dyDescent="0.2">
      <c r="A786" s="2053"/>
      <c r="B786" s="2055"/>
      <c r="C786" s="2057"/>
      <c r="D786" s="1170" t="s">
        <v>188</v>
      </c>
      <c r="E786" s="1462" t="s">
        <v>1868</v>
      </c>
      <c r="F786" s="1462" t="s">
        <v>1867</v>
      </c>
      <c r="G786" s="1311" t="s">
        <v>1837</v>
      </c>
      <c r="H786" s="1172">
        <f>-390000+390000</f>
        <v>0</v>
      </c>
      <c r="I786" s="1172">
        <v>350745</v>
      </c>
      <c r="J786" s="1172"/>
      <c r="K786" s="1172"/>
      <c r="L786" s="1173"/>
      <c r="M786" s="1172"/>
      <c r="N786" s="1172"/>
      <c r="O786" s="1172"/>
      <c r="P786" s="1174"/>
      <c r="Q786" s="1175"/>
      <c r="R786" s="1172"/>
      <c r="S786" s="1172"/>
      <c r="T786" s="1172"/>
      <c r="U786" s="1172"/>
      <c r="V786" s="1172"/>
      <c r="W786" s="1172"/>
      <c r="X786" s="1176"/>
    </row>
    <row r="787" spans="1:24" ht="27.75" customHeight="1" x14ac:dyDescent="0.2">
      <c r="A787" s="2052" t="s">
        <v>2582</v>
      </c>
      <c r="B787" s="2054" t="s">
        <v>2858</v>
      </c>
      <c r="C787" s="2056" t="s">
        <v>2849</v>
      </c>
      <c r="D787" s="1170" t="s">
        <v>195</v>
      </c>
      <c r="E787" s="1462" t="s">
        <v>74</v>
      </c>
      <c r="F787" s="1462" t="s">
        <v>1870</v>
      </c>
      <c r="G787" s="1311" t="s">
        <v>1828</v>
      </c>
      <c r="H787" s="1172"/>
      <c r="I787" s="1172"/>
      <c r="J787" s="1172"/>
      <c r="K787" s="1172"/>
      <c r="L787" s="1173">
        <v>-34000000</v>
      </c>
      <c r="M787" s="1172"/>
      <c r="N787" s="1172"/>
      <c r="O787" s="1172"/>
      <c r="P787" s="1174"/>
      <c r="Q787" s="1175"/>
      <c r="R787" s="1172"/>
      <c r="S787" s="1172"/>
      <c r="T787" s="1172"/>
      <c r="U787" s="1172"/>
      <c r="V787" s="1172"/>
      <c r="W787" s="1172"/>
      <c r="X787" s="1176"/>
    </row>
    <row r="788" spans="1:24" ht="27.75" customHeight="1" x14ac:dyDescent="0.2">
      <c r="A788" s="2053"/>
      <c r="B788" s="2055"/>
      <c r="C788" s="2057"/>
      <c r="D788" s="1170" t="s">
        <v>195</v>
      </c>
      <c r="E788" s="1462" t="s">
        <v>74</v>
      </c>
      <c r="F788" s="1462" t="s">
        <v>1870</v>
      </c>
      <c r="G788" s="1311" t="s">
        <v>1829</v>
      </c>
      <c r="H788" s="1172"/>
      <c r="I788" s="1172"/>
      <c r="J788" s="1172"/>
      <c r="K788" s="1172"/>
      <c r="L788" s="1173">
        <v>34000000</v>
      </c>
      <c r="M788" s="1172"/>
      <c r="N788" s="1172"/>
      <c r="O788" s="1172"/>
      <c r="P788" s="1174"/>
      <c r="Q788" s="1175"/>
      <c r="R788" s="1172"/>
      <c r="S788" s="1172"/>
      <c r="T788" s="1172"/>
      <c r="U788" s="1172"/>
      <c r="V788" s="1172"/>
      <c r="W788" s="1172"/>
      <c r="X788" s="1176"/>
    </row>
    <row r="789" spans="1:24" ht="27.75" customHeight="1" x14ac:dyDescent="0.2">
      <c r="A789" s="2052" t="s">
        <v>2584</v>
      </c>
      <c r="B789" s="2054" t="s">
        <v>2859</v>
      </c>
      <c r="C789" s="2056" t="s">
        <v>2860</v>
      </c>
      <c r="D789" s="1170" t="s">
        <v>195</v>
      </c>
      <c r="E789" s="1462" t="s">
        <v>74</v>
      </c>
      <c r="F789" s="1462" t="s">
        <v>1870</v>
      </c>
      <c r="G789" s="1311" t="s">
        <v>1828</v>
      </c>
      <c r="H789" s="1172"/>
      <c r="I789" s="1172"/>
      <c r="J789" s="1172"/>
      <c r="K789" s="1172"/>
      <c r="L789" s="1173">
        <v>-1254125</v>
      </c>
      <c r="M789" s="1172"/>
      <c r="N789" s="1172"/>
      <c r="O789" s="1172"/>
      <c r="P789" s="1174"/>
      <c r="Q789" s="1175"/>
      <c r="R789" s="1172"/>
      <c r="S789" s="1172"/>
      <c r="T789" s="1172"/>
      <c r="U789" s="1172"/>
      <c r="V789" s="1172"/>
      <c r="W789" s="1172"/>
      <c r="X789" s="1176"/>
    </row>
    <row r="790" spans="1:24" ht="27.75" customHeight="1" x14ac:dyDescent="0.2">
      <c r="A790" s="2053"/>
      <c r="B790" s="2055"/>
      <c r="C790" s="2057"/>
      <c r="D790" s="1170" t="s">
        <v>188</v>
      </c>
      <c r="E790" s="1462" t="s">
        <v>590</v>
      </c>
      <c r="F790" s="1462" t="s">
        <v>442</v>
      </c>
      <c r="G790" s="1311" t="s">
        <v>1829</v>
      </c>
      <c r="H790" s="1172"/>
      <c r="I790" s="1172"/>
      <c r="J790" s="1172">
        <f>987500+266625</f>
        <v>1254125</v>
      </c>
      <c r="K790" s="1172"/>
      <c r="L790" s="1173"/>
      <c r="M790" s="1172"/>
      <c r="N790" s="1172"/>
      <c r="O790" s="1172"/>
      <c r="P790" s="1174"/>
      <c r="Q790" s="1175"/>
      <c r="R790" s="1172"/>
      <c r="S790" s="1172"/>
      <c r="T790" s="1172"/>
      <c r="U790" s="1172"/>
      <c r="V790" s="1172"/>
      <c r="W790" s="1172"/>
      <c r="X790" s="1176"/>
    </row>
    <row r="791" spans="1:24" ht="24.75" customHeight="1" x14ac:dyDescent="0.2">
      <c r="A791" s="2052" t="s">
        <v>2588</v>
      </c>
      <c r="B791" s="2054" t="s">
        <v>2861</v>
      </c>
      <c r="C791" s="2056" t="s">
        <v>2862</v>
      </c>
      <c r="D791" s="1170" t="s">
        <v>195</v>
      </c>
      <c r="E791" s="1462" t="s">
        <v>74</v>
      </c>
      <c r="F791" s="1462" t="s">
        <v>1870</v>
      </c>
      <c r="G791" s="1311" t="s">
        <v>1828</v>
      </c>
      <c r="H791" s="1172"/>
      <c r="I791" s="1172"/>
      <c r="J791" s="1172"/>
      <c r="K791" s="1172"/>
      <c r="L791" s="1173">
        <v>-1500000</v>
      </c>
      <c r="M791" s="1172"/>
      <c r="N791" s="1172"/>
      <c r="O791" s="1172"/>
      <c r="P791" s="1174"/>
      <c r="Q791" s="1175"/>
      <c r="R791" s="1172"/>
      <c r="S791" s="1172"/>
      <c r="T791" s="1172"/>
      <c r="U791" s="1172"/>
      <c r="V791" s="1172"/>
      <c r="W791" s="1172"/>
      <c r="X791" s="1176"/>
    </row>
    <row r="792" spans="1:24" ht="24.75" customHeight="1" x14ac:dyDescent="0.2">
      <c r="A792" s="2053"/>
      <c r="B792" s="2055"/>
      <c r="C792" s="2057"/>
      <c r="D792" s="1170" t="s">
        <v>192</v>
      </c>
      <c r="E792" s="1462" t="s">
        <v>77</v>
      </c>
      <c r="F792" s="1462" t="s">
        <v>1875</v>
      </c>
      <c r="G792" s="1311" t="s">
        <v>1829</v>
      </c>
      <c r="H792" s="1172"/>
      <c r="I792" s="1172"/>
      <c r="J792" s="1172"/>
      <c r="K792" s="1172"/>
      <c r="L792" s="1173">
        <v>1500000</v>
      </c>
      <c r="M792" s="1172"/>
      <c r="N792" s="1172"/>
      <c r="O792" s="1172"/>
      <c r="P792" s="1174"/>
      <c r="Q792" s="1175"/>
      <c r="R792" s="1172"/>
      <c r="S792" s="1172"/>
      <c r="T792" s="1172"/>
      <c r="U792" s="1172"/>
      <c r="V792" s="1172"/>
      <c r="W792" s="1172"/>
      <c r="X792" s="1176"/>
    </row>
    <row r="793" spans="1:24" ht="27.75" customHeight="1" x14ac:dyDescent="0.2">
      <c r="A793" s="2052" t="s">
        <v>2590</v>
      </c>
      <c r="B793" s="2054" t="s">
        <v>2864</v>
      </c>
      <c r="C793" s="2056" t="s">
        <v>2865</v>
      </c>
      <c r="D793" s="1170" t="s">
        <v>188</v>
      </c>
      <c r="E793" s="1462" t="s">
        <v>2271</v>
      </c>
      <c r="F793" s="1462" t="s">
        <v>2269</v>
      </c>
      <c r="G793" s="1311" t="s">
        <v>1828</v>
      </c>
      <c r="H793" s="1172"/>
      <c r="I793" s="1172"/>
      <c r="J793" s="1172">
        <f>-800000-216000</f>
        <v>-1016000</v>
      </c>
      <c r="K793" s="1172"/>
      <c r="L793" s="1173"/>
      <c r="M793" s="1172"/>
      <c r="N793" s="1172"/>
      <c r="O793" s="1172"/>
      <c r="P793" s="1174"/>
      <c r="Q793" s="1175"/>
      <c r="R793" s="1172"/>
      <c r="S793" s="1172"/>
      <c r="T793" s="1172"/>
      <c r="U793" s="1172"/>
      <c r="V793" s="1172"/>
      <c r="W793" s="1172"/>
      <c r="X793" s="1176"/>
    </row>
    <row r="794" spans="1:24" ht="27.75" customHeight="1" x14ac:dyDescent="0.2">
      <c r="A794" s="2053"/>
      <c r="B794" s="2055"/>
      <c r="C794" s="2057"/>
      <c r="D794" s="1170" t="s">
        <v>188</v>
      </c>
      <c r="E794" s="1462" t="s">
        <v>2102</v>
      </c>
      <c r="F794" s="1462" t="s">
        <v>2101</v>
      </c>
      <c r="G794" s="1311" t="s">
        <v>1829</v>
      </c>
      <c r="H794" s="1172"/>
      <c r="I794" s="1172"/>
      <c r="J794" s="1172">
        <f>800000+216000</f>
        <v>1016000</v>
      </c>
      <c r="K794" s="1172"/>
      <c r="L794" s="1173"/>
      <c r="M794" s="1172"/>
      <c r="N794" s="1172"/>
      <c r="O794" s="1172"/>
      <c r="P794" s="1174"/>
      <c r="Q794" s="1175"/>
      <c r="R794" s="1172"/>
      <c r="S794" s="1172"/>
      <c r="T794" s="1172"/>
      <c r="U794" s="1172"/>
      <c r="V794" s="1172"/>
      <c r="W794" s="1172"/>
      <c r="X794" s="1176"/>
    </row>
    <row r="795" spans="1:24" ht="24.75" customHeight="1" x14ac:dyDescent="0.2">
      <c r="A795" s="2052" t="s">
        <v>2592</v>
      </c>
      <c r="B795" s="2054" t="s">
        <v>2866</v>
      </c>
      <c r="C795" s="2056" t="s">
        <v>2867</v>
      </c>
      <c r="D795" s="1170" t="s">
        <v>188</v>
      </c>
      <c r="E795" s="1462" t="s">
        <v>2270</v>
      </c>
      <c r="F795" s="1462" t="s">
        <v>2268</v>
      </c>
      <c r="G795" s="1311" t="s">
        <v>1828</v>
      </c>
      <c r="H795" s="1172"/>
      <c r="I795" s="1172"/>
      <c r="J795" s="1172">
        <f>-1750000-256500</f>
        <v>-2006500</v>
      </c>
      <c r="K795" s="1172"/>
      <c r="L795" s="1173"/>
      <c r="M795" s="1172"/>
      <c r="N795" s="1172"/>
      <c r="O795" s="1172"/>
      <c r="P795" s="1174"/>
      <c r="Q795" s="1175"/>
      <c r="R795" s="1172"/>
      <c r="S795" s="1172"/>
      <c r="T795" s="1172"/>
      <c r="U795" s="1172"/>
      <c r="V795" s="1172"/>
      <c r="W795" s="1172"/>
      <c r="X795" s="1176"/>
    </row>
    <row r="796" spans="1:24" ht="24.75" customHeight="1" x14ac:dyDescent="0.2">
      <c r="A796" s="2053"/>
      <c r="B796" s="2055"/>
      <c r="C796" s="2057"/>
      <c r="D796" s="1170" t="s">
        <v>188</v>
      </c>
      <c r="E796" s="1462" t="s">
        <v>1980</v>
      </c>
      <c r="F796" s="1462" t="s">
        <v>1979</v>
      </c>
      <c r="G796" s="1311" t="s">
        <v>1829</v>
      </c>
      <c r="H796" s="1172"/>
      <c r="I796" s="1172"/>
      <c r="J796" s="1172">
        <f>1750000+256500</f>
        <v>2006500</v>
      </c>
      <c r="K796" s="1172"/>
      <c r="L796" s="1173"/>
      <c r="M796" s="1172"/>
      <c r="N796" s="1172"/>
      <c r="O796" s="1172"/>
      <c r="P796" s="1174"/>
      <c r="Q796" s="1175"/>
      <c r="R796" s="1172"/>
      <c r="S796" s="1172"/>
      <c r="T796" s="1172"/>
      <c r="U796" s="1172"/>
      <c r="V796" s="1172"/>
      <c r="W796" s="1172"/>
      <c r="X796" s="1176"/>
    </row>
    <row r="797" spans="1:24" ht="23.25" customHeight="1" x14ac:dyDescent="0.2">
      <c r="A797" s="2052" t="s">
        <v>2597</v>
      </c>
      <c r="B797" s="2054" t="s">
        <v>2868</v>
      </c>
      <c r="C797" s="2056" t="s">
        <v>2869</v>
      </c>
      <c r="D797" s="1170" t="s">
        <v>188</v>
      </c>
      <c r="E797" s="1462" t="s">
        <v>2271</v>
      </c>
      <c r="F797" s="1462" t="s">
        <v>2269</v>
      </c>
      <c r="G797" s="1311" t="s">
        <v>1828</v>
      </c>
      <c r="H797" s="1172"/>
      <c r="I797" s="1172"/>
      <c r="J797" s="1172">
        <f>-720000-194400</f>
        <v>-914400</v>
      </c>
      <c r="K797" s="1172"/>
      <c r="L797" s="1173"/>
      <c r="M797" s="1172"/>
      <c r="N797" s="1172"/>
      <c r="O797" s="1172"/>
      <c r="P797" s="1174"/>
      <c r="Q797" s="1175"/>
      <c r="R797" s="1172"/>
      <c r="S797" s="1172"/>
      <c r="T797" s="1172"/>
      <c r="U797" s="1172"/>
      <c r="V797" s="1172"/>
      <c r="W797" s="1172"/>
      <c r="X797" s="1176"/>
    </row>
    <row r="798" spans="1:24" ht="23.25" customHeight="1" x14ac:dyDescent="0.2">
      <c r="A798" s="2053"/>
      <c r="B798" s="2055"/>
      <c r="C798" s="2057"/>
      <c r="D798" s="1170" t="s">
        <v>188</v>
      </c>
      <c r="E798" s="1462" t="s">
        <v>1980</v>
      </c>
      <c r="F798" s="1462" t="s">
        <v>1979</v>
      </c>
      <c r="G798" s="1311" t="s">
        <v>1829</v>
      </c>
      <c r="H798" s="1172"/>
      <c r="I798" s="1172"/>
      <c r="J798" s="1172">
        <f>720000+194400</f>
        <v>914400</v>
      </c>
      <c r="K798" s="1172"/>
      <c r="L798" s="1173"/>
      <c r="M798" s="1172"/>
      <c r="N798" s="1172"/>
      <c r="O798" s="1172"/>
      <c r="P798" s="1174"/>
      <c r="Q798" s="1175"/>
      <c r="R798" s="1172"/>
      <c r="S798" s="1172"/>
      <c r="T798" s="1172"/>
      <c r="U798" s="1172"/>
      <c r="V798" s="1172"/>
      <c r="W798" s="1172"/>
      <c r="X798" s="1176"/>
    </row>
    <row r="799" spans="1:24" ht="27.75" customHeight="1" x14ac:dyDescent="0.2">
      <c r="A799" s="2052" t="s">
        <v>2599</v>
      </c>
      <c r="B799" s="2054" t="s">
        <v>2870</v>
      </c>
      <c r="C799" s="2056" t="s">
        <v>2871</v>
      </c>
      <c r="D799" s="1170" t="s">
        <v>195</v>
      </c>
      <c r="E799" s="1462" t="s">
        <v>74</v>
      </c>
      <c r="F799" s="1462" t="s">
        <v>1870</v>
      </c>
      <c r="G799" s="1311" t="s">
        <v>1828</v>
      </c>
      <c r="H799" s="1172"/>
      <c r="I799" s="1172"/>
      <c r="J799" s="1172"/>
      <c r="K799" s="1172"/>
      <c r="L799" s="1173">
        <v>-594360</v>
      </c>
      <c r="M799" s="1172"/>
      <c r="N799" s="1172"/>
      <c r="O799" s="1172"/>
      <c r="P799" s="1174"/>
      <c r="Q799" s="1175"/>
      <c r="R799" s="1172"/>
      <c r="S799" s="1172"/>
      <c r="T799" s="1172"/>
      <c r="U799" s="1172"/>
      <c r="V799" s="1172"/>
      <c r="W799" s="1172"/>
      <c r="X799" s="1176"/>
    </row>
    <row r="800" spans="1:24" ht="27.75" customHeight="1" x14ac:dyDescent="0.2">
      <c r="A800" s="2053"/>
      <c r="B800" s="2055"/>
      <c r="C800" s="2057"/>
      <c r="D800" s="1170" t="s">
        <v>194</v>
      </c>
      <c r="E800" s="1462" t="s">
        <v>620</v>
      </c>
      <c r="F800" s="1462" t="s">
        <v>134</v>
      </c>
      <c r="G800" s="1311" t="s">
        <v>1829</v>
      </c>
      <c r="H800" s="1172"/>
      <c r="I800" s="1172"/>
      <c r="J800" s="1172"/>
      <c r="K800" s="1172"/>
      <c r="L800" s="1173"/>
      <c r="M800" s="1172"/>
      <c r="N800" s="1172">
        <f>468000+126360</f>
        <v>594360</v>
      </c>
      <c r="O800" s="1172"/>
      <c r="P800" s="1174"/>
      <c r="Q800" s="1175"/>
      <c r="R800" s="1172"/>
      <c r="S800" s="1172"/>
      <c r="T800" s="1172"/>
      <c r="U800" s="1172"/>
      <c r="V800" s="1172"/>
      <c r="W800" s="1172"/>
      <c r="X800" s="1176"/>
    </row>
    <row r="801" spans="1:24" ht="39" customHeight="1" x14ac:dyDescent="0.2">
      <c r="A801" s="2052" t="s">
        <v>2602</v>
      </c>
      <c r="B801" s="2054" t="s">
        <v>2873</v>
      </c>
      <c r="C801" s="2056" t="s">
        <v>3009</v>
      </c>
      <c r="D801" s="1170" t="s">
        <v>195</v>
      </c>
      <c r="E801" s="1462" t="s">
        <v>74</v>
      </c>
      <c r="F801" s="1462" t="s">
        <v>1870</v>
      </c>
      <c r="G801" s="1311" t="s">
        <v>1828</v>
      </c>
      <c r="H801" s="1172"/>
      <c r="I801" s="1172"/>
      <c r="J801" s="1172"/>
      <c r="K801" s="1172"/>
      <c r="L801" s="1173">
        <v>-5000000</v>
      </c>
      <c r="M801" s="1172"/>
      <c r="N801" s="1172"/>
      <c r="O801" s="1172"/>
      <c r="P801" s="1174"/>
      <c r="Q801" s="1175"/>
      <c r="R801" s="1172"/>
      <c r="S801" s="1172"/>
      <c r="T801" s="1172"/>
      <c r="U801" s="1172"/>
      <c r="V801" s="1172"/>
      <c r="W801" s="1172"/>
      <c r="X801" s="1176"/>
    </row>
    <row r="802" spans="1:24" ht="39" customHeight="1" x14ac:dyDescent="0.2">
      <c r="A802" s="2053"/>
      <c r="B802" s="2055"/>
      <c r="C802" s="2057"/>
      <c r="D802" s="1170" t="s">
        <v>192</v>
      </c>
      <c r="E802" s="1462" t="s">
        <v>1288</v>
      </c>
      <c r="F802" s="1462" t="s">
        <v>2026</v>
      </c>
      <c r="G802" s="1311" t="s">
        <v>1829</v>
      </c>
      <c r="H802" s="1172"/>
      <c r="I802" s="1172"/>
      <c r="J802" s="1172"/>
      <c r="K802" s="1172"/>
      <c r="L802" s="1173">
        <v>5000000</v>
      </c>
      <c r="M802" s="1172"/>
      <c r="N802" s="1172"/>
      <c r="O802" s="1172"/>
      <c r="P802" s="1174"/>
      <c r="Q802" s="1175"/>
      <c r="R802" s="1172"/>
      <c r="S802" s="1172"/>
      <c r="T802" s="1172"/>
      <c r="U802" s="1172"/>
      <c r="V802" s="1172"/>
      <c r="W802" s="1172"/>
      <c r="X802" s="1176"/>
    </row>
    <row r="803" spans="1:24" ht="33" customHeight="1" x14ac:dyDescent="0.2">
      <c r="A803" s="2052" t="s">
        <v>2605</v>
      </c>
      <c r="B803" s="2054" t="s">
        <v>2877</v>
      </c>
      <c r="C803" s="2056" t="s">
        <v>2878</v>
      </c>
      <c r="D803" s="1170" t="s">
        <v>195</v>
      </c>
      <c r="E803" s="1462" t="s">
        <v>74</v>
      </c>
      <c r="F803" s="1462" t="s">
        <v>1870</v>
      </c>
      <c r="G803" s="1311" t="s">
        <v>1828</v>
      </c>
      <c r="H803" s="1172"/>
      <c r="I803" s="1172"/>
      <c r="J803" s="1172"/>
      <c r="K803" s="1172"/>
      <c r="L803" s="1173">
        <v>-154305</v>
      </c>
      <c r="M803" s="1172"/>
      <c r="N803" s="1172"/>
      <c r="O803" s="1172"/>
      <c r="P803" s="1174"/>
      <c r="Q803" s="1175"/>
      <c r="R803" s="1172"/>
      <c r="S803" s="1172"/>
      <c r="T803" s="1172"/>
      <c r="U803" s="1172"/>
      <c r="V803" s="1172"/>
      <c r="W803" s="1172"/>
      <c r="X803" s="1176"/>
    </row>
    <row r="804" spans="1:24" ht="33" customHeight="1" x14ac:dyDescent="0.2">
      <c r="A804" s="2053"/>
      <c r="B804" s="2055"/>
      <c r="C804" s="2057"/>
      <c r="D804" s="1170" t="s">
        <v>197</v>
      </c>
      <c r="E804" s="1462" t="s">
        <v>1288</v>
      </c>
      <c r="F804" s="1462" t="s">
        <v>535</v>
      </c>
      <c r="G804" s="1311" t="s">
        <v>1829</v>
      </c>
      <c r="H804" s="1172"/>
      <c r="I804" s="1172"/>
      <c r="J804" s="1172"/>
      <c r="K804" s="1172"/>
      <c r="L804" s="1173"/>
      <c r="M804" s="1172"/>
      <c r="N804" s="1172"/>
      <c r="O804" s="1172"/>
      <c r="P804" s="1174">
        <v>154305</v>
      </c>
      <c r="Q804" s="1175"/>
      <c r="R804" s="1172"/>
      <c r="S804" s="1172"/>
      <c r="T804" s="1172"/>
      <c r="U804" s="1172"/>
      <c r="V804" s="1172"/>
      <c r="W804" s="1172"/>
      <c r="X804" s="1176"/>
    </row>
    <row r="805" spans="1:24" ht="34.5" customHeight="1" x14ac:dyDescent="0.2">
      <c r="A805" s="2052" t="s">
        <v>2612</v>
      </c>
      <c r="B805" s="2054" t="s">
        <v>2880</v>
      </c>
      <c r="C805" s="2056" t="s">
        <v>2881</v>
      </c>
      <c r="D805" s="1170" t="s">
        <v>195</v>
      </c>
      <c r="E805" s="1462" t="s">
        <v>74</v>
      </c>
      <c r="F805" s="1462" t="s">
        <v>1870</v>
      </c>
      <c r="G805" s="1311" t="s">
        <v>1828</v>
      </c>
      <c r="H805" s="1172"/>
      <c r="I805" s="1172"/>
      <c r="J805" s="1172"/>
      <c r="K805" s="1172"/>
      <c r="L805" s="1173">
        <v>-10996643</v>
      </c>
      <c r="M805" s="1172"/>
      <c r="N805" s="1172"/>
      <c r="O805" s="1172"/>
      <c r="P805" s="1174"/>
      <c r="Q805" s="1175"/>
      <c r="R805" s="1172"/>
      <c r="S805" s="1172"/>
      <c r="T805" s="1172"/>
      <c r="U805" s="1172"/>
      <c r="V805" s="1172"/>
      <c r="W805" s="1172"/>
      <c r="X805" s="1176"/>
    </row>
    <row r="806" spans="1:24" ht="34.5" customHeight="1" x14ac:dyDescent="0.2">
      <c r="A806" s="2053"/>
      <c r="B806" s="2055"/>
      <c r="C806" s="2057"/>
      <c r="D806" s="1170" t="s">
        <v>194</v>
      </c>
      <c r="E806" s="1462" t="s">
        <v>620</v>
      </c>
      <c r="F806" s="1462" t="s">
        <v>134</v>
      </c>
      <c r="G806" s="1311" t="s">
        <v>1829</v>
      </c>
      <c r="H806" s="1172"/>
      <c r="I806" s="1172"/>
      <c r="J806" s="1172"/>
      <c r="K806" s="1172"/>
      <c r="L806" s="1173"/>
      <c r="M806" s="1172"/>
      <c r="N806" s="1172">
        <f>8658774+2337869</f>
        <v>10996643</v>
      </c>
      <c r="O806" s="1172"/>
      <c r="P806" s="1174"/>
      <c r="Q806" s="1175"/>
      <c r="R806" s="1172"/>
      <c r="S806" s="1172"/>
      <c r="T806" s="1172"/>
      <c r="U806" s="1172"/>
      <c r="V806" s="1172"/>
      <c r="W806" s="1172"/>
      <c r="X806" s="1176"/>
    </row>
    <row r="807" spans="1:24" ht="26.25" customHeight="1" x14ac:dyDescent="0.2">
      <c r="A807" s="2052" t="s">
        <v>2613</v>
      </c>
      <c r="B807" s="2054" t="s">
        <v>2883</v>
      </c>
      <c r="C807" s="2056" t="s">
        <v>2884</v>
      </c>
      <c r="D807" s="1170" t="s">
        <v>195</v>
      </c>
      <c r="E807" s="1462" t="s">
        <v>74</v>
      </c>
      <c r="F807" s="1462" t="s">
        <v>1870</v>
      </c>
      <c r="G807" s="1311" t="s">
        <v>1828</v>
      </c>
      <c r="H807" s="1172"/>
      <c r="I807" s="1172"/>
      <c r="J807" s="1172"/>
      <c r="K807" s="1172"/>
      <c r="L807" s="1173">
        <v>-2286000</v>
      </c>
      <c r="M807" s="1172"/>
      <c r="N807" s="1172"/>
      <c r="O807" s="1172"/>
      <c r="P807" s="1174"/>
      <c r="Q807" s="1175"/>
      <c r="R807" s="1172"/>
      <c r="S807" s="1172"/>
      <c r="T807" s="1172"/>
      <c r="U807" s="1172"/>
      <c r="V807" s="1172"/>
      <c r="W807" s="1172"/>
      <c r="X807" s="1176"/>
    </row>
    <row r="808" spans="1:24" ht="26.25" customHeight="1" x14ac:dyDescent="0.2">
      <c r="A808" s="2061"/>
      <c r="B808" s="2060"/>
      <c r="C808" s="2065"/>
      <c r="D808" s="1170" t="s">
        <v>193</v>
      </c>
      <c r="E808" s="1462" t="s">
        <v>130</v>
      </c>
      <c r="F808" s="1462" t="s">
        <v>152</v>
      </c>
      <c r="G808" s="1311" t="s">
        <v>1829</v>
      </c>
      <c r="H808" s="1172"/>
      <c r="I808" s="1172"/>
      <c r="J808" s="1172"/>
      <c r="K808" s="1172"/>
      <c r="L808" s="1173"/>
      <c r="M808" s="1172">
        <f>900000+243000</f>
        <v>1143000</v>
      </c>
      <c r="N808" s="1172"/>
      <c r="O808" s="1172"/>
      <c r="P808" s="1174"/>
      <c r="Q808" s="1175"/>
      <c r="R808" s="1172"/>
      <c r="S808" s="1172"/>
      <c r="T808" s="1172"/>
      <c r="U808" s="1172"/>
      <c r="V808" s="1172"/>
      <c r="W808" s="1172"/>
      <c r="X808" s="1176"/>
    </row>
    <row r="809" spans="1:24" ht="26.25" customHeight="1" x14ac:dyDescent="0.2">
      <c r="A809" s="2053"/>
      <c r="B809" s="2055"/>
      <c r="C809" s="2057"/>
      <c r="D809" s="1170" t="s">
        <v>193</v>
      </c>
      <c r="E809" s="1462" t="s">
        <v>547</v>
      </c>
      <c r="F809" s="1462" t="s">
        <v>133</v>
      </c>
      <c r="G809" s="1311" t="s">
        <v>1829</v>
      </c>
      <c r="H809" s="1172"/>
      <c r="I809" s="1172"/>
      <c r="J809" s="1172"/>
      <c r="K809" s="1172"/>
      <c r="L809" s="1173"/>
      <c r="M809" s="1172">
        <f>900000+243000</f>
        <v>1143000</v>
      </c>
      <c r="N809" s="1172"/>
      <c r="O809" s="1172"/>
      <c r="P809" s="1174"/>
      <c r="Q809" s="1175"/>
      <c r="R809" s="1172"/>
      <c r="S809" s="1172"/>
      <c r="T809" s="1172"/>
      <c r="U809" s="1172"/>
      <c r="V809" s="1172"/>
      <c r="W809" s="1172"/>
      <c r="X809" s="1176"/>
    </row>
    <row r="810" spans="1:24" ht="24.75" customHeight="1" x14ac:dyDescent="0.2">
      <c r="A810" s="2052" t="s">
        <v>2616</v>
      </c>
      <c r="B810" s="2054" t="s">
        <v>2885</v>
      </c>
      <c r="C810" s="2056" t="s">
        <v>2886</v>
      </c>
      <c r="D810" s="1170" t="s">
        <v>195</v>
      </c>
      <c r="E810" s="1462" t="s">
        <v>74</v>
      </c>
      <c r="F810" s="1462" t="s">
        <v>1870</v>
      </c>
      <c r="G810" s="1311" t="s">
        <v>1828</v>
      </c>
      <c r="H810" s="1172"/>
      <c r="I810" s="1172"/>
      <c r="J810" s="1172"/>
      <c r="K810" s="1172"/>
      <c r="L810" s="1173">
        <v>-6350000</v>
      </c>
      <c r="M810" s="1172"/>
      <c r="N810" s="1172"/>
      <c r="O810" s="1172"/>
      <c r="P810" s="1174"/>
      <c r="Q810" s="1175"/>
      <c r="R810" s="1172"/>
      <c r="S810" s="1172"/>
      <c r="T810" s="1172"/>
      <c r="U810" s="1172"/>
      <c r="V810" s="1172"/>
      <c r="W810" s="1172"/>
      <c r="X810" s="1176"/>
    </row>
    <row r="811" spans="1:24" ht="24.75" customHeight="1" x14ac:dyDescent="0.2">
      <c r="A811" s="2053"/>
      <c r="B811" s="2055"/>
      <c r="C811" s="2057"/>
      <c r="D811" s="1170" t="s">
        <v>188</v>
      </c>
      <c r="E811" s="1462" t="s">
        <v>589</v>
      </c>
      <c r="F811" s="1462" t="s">
        <v>587</v>
      </c>
      <c r="G811" s="1311" t="s">
        <v>1829</v>
      </c>
      <c r="H811" s="1172"/>
      <c r="I811" s="1172"/>
      <c r="J811" s="1172">
        <f>5000000+1350000</f>
        <v>6350000</v>
      </c>
      <c r="K811" s="1172"/>
      <c r="L811" s="1173"/>
      <c r="M811" s="1172"/>
      <c r="N811" s="1172"/>
      <c r="O811" s="1172"/>
      <c r="P811" s="1174"/>
      <c r="Q811" s="1175"/>
      <c r="R811" s="1172"/>
      <c r="S811" s="1172"/>
      <c r="T811" s="1172"/>
      <c r="U811" s="1172"/>
      <c r="V811" s="1172"/>
      <c r="W811" s="1172"/>
      <c r="X811" s="1176"/>
    </row>
    <row r="812" spans="1:24" ht="53.25" customHeight="1" x14ac:dyDescent="0.2">
      <c r="A812" s="2052" t="s">
        <v>2618</v>
      </c>
      <c r="B812" s="2054" t="s">
        <v>2887</v>
      </c>
      <c r="C812" s="2056" t="s">
        <v>2888</v>
      </c>
      <c r="D812" s="1170" t="s">
        <v>195</v>
      </c>
      <c r="E812" s="1462" t="s">
        <v>74</v>
      </c>
      <c r="F812" s="1462" t="s">
        <v>1870</v>
      </c>
      <c r="G812" s="1311" t="s">
        <v>1828</v>
      </c>
      <c r="H812" s="1172"/>
      <c r="I812" s="1172"/>
      <c r="J812" s="1172"/>
      <c r="K812" s="1172"/>
      <c r="L812" s="1173">
        <v>-300000</v>
      </c>
      <c r="M812" s="1172"/>
      <c r="N812" s="1172"/>
      <c r="O812" s="1172"/>
      <c r="P812" s="1174"/>
      <c r="Q812" s="1175"/>
      <c r="R812" s="1172"/>
      <c r="S812" s="1172"/>
      <c r="T812" s="1172"/>
      <c r="U812" s="1172"/>
      <c r="V812" s="1172"/>
      <c r="W812" s="1172"/>
      <c r="X812" s="1176"/>
    </row>
    <row r="813" spans="1:24" ht="53.25" customHeight="1" x14ac:dyDescent="0.2">
      <c r="A813" s="2053"/>
      <c r="B813" s="2055"/>
      <c r="C813" s="2057"/>
      <c r="D813" s="1170" t="s">
        <v>192</v>
      </c>
      <c r="E813" s="1462" t="s">
        <v>77</v>
      </c>
      <c r="F813" s="1462" t="s">
        <v>1875</v>
      </c>
      <c r="G813" s="1311" t="s">
        <v>1829</v>
      </c>
      <c r="H813" s="1172"/>
      <c r="I813" s="1172"/>
      <c r="J813" s="1172"/>
      <c r="K813" s="1172"/>
      <c r="L813" s="1173">
        <v>300000</v>
      </c>
      <c r="M813" s="1172"/>
      <c r="N813" s="1172"/>
      <c r="O813" s="1172"/>
      <c r="P813" s="1174"/>
      <c r="Q813" s="1175"/>
      <c r="R813" s="1172"/>
      <c r="S813" s="1172"/>
      <c r="T813" s="1172"/>
      <c r="U813" s="1172"/>
      <c r="V813" s="1172"/>
      <c r="W813" s="1172"/>
      <c r="X813" s="1176"/>
    </row>
    <row r="814" spans="1:24" ht="45.75" customHeight="1" x14ac:dyDescent="0.2">
      <c r="A814" s="2052" t="s">
        <v>2620</v>
      </c>
      <c r="B814" s="2054" t="s">
        <v>2932</v>
      </c>
      <c r="C814" s="2056" t="s">
        <v>2893</v>
      </c>
      <c r="D814" s="1170" t="s">
        <v>195</v>
      </c>
      <c r="E814" s="1462" t="s">
        <v>74</v>
      </c>
      <c r="F814" s="1462" t="s">
        <v>1870</v>
      </c>
      <c r="G814" s="1311" t="s">
        <v>1828</v>
      </c>
      <c r="H814" s="1172"/>
      <c r="I814" s="1172"/>
      <c r="J814" s="1172"/>
      <c r="K814" s="1172"/>
      <c r="L814" s="1173">
        <v>-225000</v>
      </c>
      <c r="M814" s="1172"/>
      <c r="N814" s="1172"/>
      <c r="O814" s="1172"/>
      <c r="P814" s="1174"/>
      <c r="Q814" s="1175"/>
      <c r="R814" s="1172"/>
      <c r="S814" s="1172"/>
      <c r="T814" s="1172"/>
      <c r="U814" s="1172"/>
      <c r="V814" s="1172"/>
      <c r="W814" s="1172"/>
      <c r="X814" s="1176"/>
    </row>
    <row r="815" spans="1:24" ht="45.75" customHeight="1" x14ac:dyDescent="0.2">
      <c r="A815" s="2053"/>
      <c r="B815" s="2055"/>
      <c r="C815" s="2057"/>
      <c r="D815" s="1170" t="s">
        <v>192</v>
      </c>
      <c r="E815" s="1462" t="s">
        <v>602</v>
      </c>
      <c r="F815" s="1462" t="s">
        <v>1875</v>
      </c>
      <c r="G815" s="1311" t="s">
        <v>1829</v>
      </c>
      <c r="H815" s="1172"/>
      <c r="I815" s="1172"/>
      <c r="J815" s="1172"/>
      <c r="K815" s="1172"/>
      <c r="L815" s="1173">
        <v>225000</v>
      </c>
      <c r="M815" s="1172"/>
      <c r="N815" s="1172"/>
      <c r="O815" s="1172"/>
      <c r="P815" s="1174"/>
      <c r="Q815" s="1175"/>
      <c r="R815" s="1172"/>
      <c r="S815" s="1172"/>
      <c r="T815" s="1172"/>
      <c r="U815" s="1172"/>
      <c r="V815" s="1172"/>
      <c r="W815" s="1172"/>
      <c r="X815" s="1176"/>
    </row>
    <row r="816" spans="1:24" ht="45.75" customHeight="1" x14ac:dyDescent="0.2">
      <c r="A816" s="1491" t="s">
        <v>2622</v>
      </c>
      <c r="B816" s="1490" t="s">
        <v>2894</v>
      </c>
      <c r="C816" s="1631" t="s">
        <v>2895</v>
      </c>
      <c r="D816" s="1170" t="s">
        <v>188</v>
      </c>
      <c r="E816" s="1462" t="s">
        <v>131</v>
      </c>
      <c r="F816" s="1462" t="s">
        <v>1881</v>
      </c>
      <c r="G816" s="1311" t="s">
        <v>1837</v>
      </c>
      <c r="H816" s="1172"/>
      <c r="I816" s="1172"/>
      <c r="J816" s="1172">
        <f>-30000+30000</f>
        <v>0</v>
      </c>
      <c r="K816" s="1172"/>
      <c r="L816" s="1173"/>
      <c r="M816" s="1172"/>
      <c r="N816" s="1172"/>
      <c r="O816" s="1172"/>
      <c r="P816" s="1174"/>
      <c r="Q816" s="1175"/>
      <c r="R816" s="1172"/>
      <c r="S816" s="1172"/>
      <c r="T816" s="1172"/>
      <c r="U816" s="1172"/>
      <c r="V816" s="1172"/>
      <c r="W816" s="1172"/>
      <c r="X816" s="1176"/>
    </row>
    <row r="817" spans="1:24" ht="45.75" customHeight="1" x14ac:dyDescent="0.2">
      <c r="A817" s="1491" t="s">
        <v>2624</v>
      </c>
      <c r="B817" s="1490" t="s">
        <v>2896</v>
      </c>
      <c r="C817" s="1631" t="s">
        <v>2897</v>
      </c>
      <c r="D817" s="1170" t="s">
        <v>188</v>
      </c>
      <c r="E817" s="1462" t="s">
        <v>131</v>
      </c>
      <c r="F817" s="1462" t="s">
        <v>1883</v>
      </c>
      <c r="G817" s="1311" t="s">
        <v>1837</v>
      </c>
      <c r="H817" s="1172"/>
      <c r="I817" s="1172"/>
      <c r="J817" s="1172">
        <f>-51500+51500</f>
        <v>0</v>
      </c>
      <c r="K817" s="1172"/>
      <c r="L817" s="1173"/>
      <c r="M817" s="1172"/>
      <c r="N817" s="1172"/>
      <c r="O817" s="1172"/>
      <c r="P817" s="1174"/>
      <c r="Q817" s="1175"/>
      <c r="R817" s="1172"/>
      <c r="S817" s="1172"/>
      <c r="T817" s="1172"/>
      <c r="U817" s="1172"/>
      <c r="V817" s="1172"/>
      <c r="W817" s="1172"/>
      <c r="X817" s="1176"/>
    </row>
    <row r="818" spans="1:24" ht="29.25" customHeight="1" x14ac:dyDescent="0.2">
      <c r="A818" s="2052" t="s">
        <v>2626</v>
      </c>
      <c r="B818" s="2054" t="s">
        <v>2898</v>
      </c>
      <c r="C818" s="2056" t="s">
        <v>2899</v>
      </c>
      <c r="D818" s="1170" t="s">
        <v>195</v>
      </c>
      <c r="E818" s="1462" t="s">
        <v>74</v>
      </c>
      <c r="F818" s="1462" t="s">
        <v>1870</v>
      </c>
      <c r="G818" s="1311" t="s">
        <v>1828</v>
      </c>
      <c r="H818" s="1172"/>
      <c r="I818" s="1172"/>
      <c r="J818" s="1172"/>
      <c r="K818" s="1172"/>
      <c r="L818" s="1173">
        <v>-5448300</v>
      </c>
      <c r="M818" s="1172"/>
      <c r="N818" s="1172"/>
      <c r="O818" s="1172"/>
      <c r="P818" s="1174"/>
      <c r="Q818" s="1175"/>
      <c r="R818" s="1172"/>
      <c r="S818" s="1172"/>
      <c r="T818" s="1172"/>
      <c r="U818" s="1172"/>
      <c r="V818" s="1172"/>
      <c r="W818" s="1172"/>
      <c r="X818" s="1176"/>
    </row>
    <row r="819" spans="1:24" ht="29.25" customHeight="1" x14ac:dyDescent="0.2">
      <c r="A819" s="2053"/>
      <c r="B819" s="2055"/>
      <c r="C819" s="2057"/>
      <c r="D819" s="1170" t="s">
        <v>194</v>
      </c>
      <c r="E819" s="1462" t="s">
        <v>1502</v>
      </c>
      <c r="F819" s="1462" t="s">
        <v>1501</v>
      </c>
      <c r="G819" s="1311" t="s">
        <v>1829</v>
      </c>
      <c r="H819" s="1172"/>
      <c r="I819" s="1172"/>
      <c r="J819" s="1172"/>
      <c r="K819" s="1172"/>
      <c r="L819" s="1173"/>
      <c r="M819" s="1172"/>
      <c r="N819" s="1172">
        <f>4290000+1158300</f>
        <v>5448300</v>
      </c>
      <c r="O819" s="1172"/>
      <c r="P819" s="1174"/>
      <c r="Q819" s="1175"/>
      <c r="R819" s="1172"/>
      <c r="S819" s="1172"/>
      <c r="T819" s="1172"/>
      <c r="U819" s="1172"/>
      <c r="V819" s="1172"/>
      <c r="W819" s="1172"/>
      <c r="X819" s="1176"/>
    </row>
    <row r="820" spans="1:24" ht="31.5" customHeight="1" x14ac:dyDescent="0.2">
      <c r="A820" s="1494" t="s">
        <v>2644</v>
      </c>
      <c r="B820" s="1493" t="s">
        <v>2901</v>
      </c>
      <c r="C820" s="1492" t="s">
        <v>2902</v>
      </c>
      <c r="D820" s="1170" t="s">
        <v>188</v>
      </c>
      <c r="E820" s="1462" t="s">
        <v>813</v>
      </c>
      <c r="F820" s="1462" t="s">
        <v>1897</v>
      </c>
      <c r="G820" s="1311" t="s">
        <v>1837</v>
      </c>
      <c r="H820" s="1172"/>
      <c r="I820" s="1172"/>
      <c r="J820" s="1172">
        <f>-1000000+1000000</f>
        <v>0</v>
      </c>
      <c r="K820" s="1172"/>
      <c r="L820" s="1173"/>
      <c r="M820" s="1172"/>
      <c r="N820" s="1172"/>
      <c r="O820" s="1172"/>
      <c r="P820" s="1174"/>
      <c r="Q820" s="1175"/>
      <c r="R820" s="1172"/>
      <c r="S820" s="1172"/>
      <c r="T820" s="1172"/>
      <c r="U820" s="1172"/>
      <c r="V820" s="1172"/>
      <c r="W820" s="1172"/>
      <c r="X820" s="1176"/>
    </row>
    <row r="821" spans="1:24" ht="31.5" customHeight="1" x14ac:dyDescent="0.2">
      <c r="A821" s="1494" t="s">
        <v>2646</v>
      </c>
      <c r="B821" s="1493" t="s">
        <v>2903</v>
      </c>
      <c r="C821" s="1492" t="s">
        <v>2904</v>
      </c>
      <c r="D821" s="1170" t="s">
        <v>188</v>
      </c>
      <c r="E821" s="1462" t="s">
        <v>626</v>
      </c>
      <c r="F821" s="1462" t="s">
        <v>136</v>
      </c>
      <c r="G821" s="1311" t="s">
        <v>1837</v>
      </c>
      <c r="H821" s="1172"/>
      <c r="I821" s="1172"/>
      <c r="J821" s="1172">
        <f>-50000+50000</f>
        <v>0</v>
      </c>
      <c r="K821" s="1172"/>
      <c r="L821" s="1173"/>
      <c r="M821" s="1172"/>
      <c r="N821" s="1172"/>
      <c r="O821" s="1172"/>
      <c r="P821" s="1174"/>
      <c r="Q821" s="1175"/>
      <c r="R821" s="1172"/>
      <c r="S821" s="1172"/>
      <c r="T821" s="1172"/>
      <c r="U821" s="1172"/>
      <c r="V821" s="1172"/>
      <c r="W821" s="1172"/>
      <c r="X821" s="1176"/>
    </row>
    <row r="822" spans="1:24" ht="31.5" customHeight="1" x14ac:dyDescent="0.2">
      <c r="A822" s="1494" t="s">
        <v>2649</v>
      </c>
      <c r="B822" s="1493" t="s">
        <v>2905</v>
      </c>
      <c r="C822" s="1492" t="s">
        <v>2906</v>
      </c>
      <c r="D822" s="1170" t="s">
        <v>188</v>
      </c>
      <c r="E822" s="1462" t="s">
        <v>620</v>
      </c>
      <c r="F822" s="1462" t="s">
        <v>1857</v>
      </c>
      <c r="G822" s="1311" t="s">
        <v>1829</v>
      </c>
      <c r="H822" s="1172"/>
      <c r="I822" s="1172"/>
      <c r="J822" s="1172">
        <f>200000+960000+43200</f>
        <v>1203200</v>
      </c>
      <c r="K822" s="1172"/>
      <c r="L822" s="1173"/>
      <c r="M822" s="1172"/>
      <c r="N822" s="1172"/>
      <c r="O822" s="1172"/>
      <c r="P822" s="1174"/>
      <c r="Q822" s="1175"/>
      <c r="R822" s="1172"/>
      <c r="S822" s="1172"/>
      <c r="T822" s="1172">
        <f>1000000+43200+160000</f>
        <v>1203200</v>
      </c>
      <c r="U822" s="1172"/>
      <c r="V822" s="1172"/>
      <c r="W822" s="1172"/>
      <c r="X822" s="1176"/>
    </row>
    <row r="823" spans="1:24" ht="24.75" customHeight="1" x14ac:dyDescent="0.2">
      <c r="A823" s="2052" t="s">
        <v>2907</v>
      </c>
      <c r="B823" s="2054" t="s">
        <v>2908</v>
      </c>
      <c r="C823" s="2056" t="s">
        <v>2909</v>
      </c>
      <c r="D823" s="1170" t="s">
        <v>188</v>
      </c>
      <c r="E823" s="1462" t="s">
        <v>542</v>
      </c>
      <c r="F823" s="1462" t="s">
        <v>447</v>
      </c>
      <c r="G823" s="1311" t="s">
        <v>1951</v>
      </c>
      <c r="H823" s="1172"/>
      <c r="I823" s="1172"/>
      <c r="J823" s="1172">
        <f>500000+200000</f>
        <v>700000</v>
      </c>
      <c r="K823" s="1172"/>
      <c r="L823" s="1173"/>
      <c r="M823" s="1172"/>
      <c r="N823" s="1172"/>
      <c r="O823" s="1172"/>
      <c r="P823" s="1174"/>
      <c r="Q823" s="1175"/>
      <c r="R823" s="1172"/>
      <c r="S823" s="1172"/>
      <c r="T823" s="1172">
        <f>500000+200000</f>
        <v>700000</v>
      </c>
      <c r="U823" s="1172"/>
      <c r="V823" s="1172"/>
      <c r="W823" s="1172"/>
      <c r="X823" s="1176"/>
    </row>
    <row r="824" spans="1:24" ht="24.75" customHeight="1" x14ac:dyDescent="0.2">
      <c r="A824" s="2053"/>
      <c r="B824" s="2055"/>
      <c r="C824" s="2057"/>
      <c r="D824" s="1170" t="s">
        <v>188</v>
      </c>
      <c r="E824" s="1462" t="s">
        <v>542</v>
      </c>
      <c r="F824" s="1462" t="s">
        <v>449</v>
      </c>
      <c r="G824" s="1311" t="s">
        <v>1829</v>
      </c>
      <c r="H824" s="1172"/>
      <c r="I824" s="1172"/>
      <c r="J824" s="1172">
        <f>2000000+540000</f>
        <v>2540000</v>
      </c>
      <c r="K824" s="1172"/>
      <c r="L824" s="1173"/>
      <c r="M824" s="1172"/>
      <c r="N824" s="1172"/>
      <c r="O824" s="1172"/>
      <c r="P824" s="1174"/>
      <c r="Q824" s="1175"/>
      <c r="R824" s="1172"/>
      <c r="S824" s="1172"/>
      <c r="T824" s="1172">
        <f>2000000+540000</f>
        <v>2540000</v>
      </c>
      <c r="U824" s="1172"/>
      <c r="V824" s="1172"/>
      <c r="W824" s="1172"/>
      <c r="X824" s="1176"/>
    </row>
    <row r="825" spans="1:24" ht="23.25" customHeight="1" x14ac:dyDescent="0.2">
      <c r="A825" s="2052" t="s">
        <v>2910</v>
      </c>
      <c r="B825" s="2054" t="s">
        <v>2911</v>
      </c>
      <c r="C825" s="2056" t="s">
        <v>2912</v>
      </c>
      <c r="D825" s="1170" t="s">
        <v>195</v>
      </c>
      <c r="E825" s="1462" t="s">
        <v>74</v>
      </c>
      <c r="F825" s="1462" t="s">
        <v>1870</v>
      </c>
      <c r="G825" s="1311" t="s">
        <v>1828</v>
      </c>
      <c r="H825" s="1172"/>
      <c r="I825" s="1172"/>
      <c r="J825" s="1172"/>
      <c r="K825" s="1172"/>
      <c r="L825" s="1173">
        <v>-4000000</v>
      </c>
      <c r="M825" s="1172"/>
      <c r="N825" s="1172"/>
      <c r="O825" s="1172"/>
      <c r="P825" s="1174"/>
      <c r="Q825" s="1175"/>
      <c r="R825" s="1172"/>
      <c r="S825" s="1172"/>
      <c r="T825" s="1172"/>
      <c r="U825" s="1172"/>
      <c r="V825" s="1172"/>
      <c r="W825" s="1172"/>
      <c r="X825" s="1176"/>
    </row>
    <row r="826" spans="1:24" ht="23.25" customHeight="1" x14ac:dyDescent="0.2">
      <c r="A826" s="2053"/>
      <c r="B826" s="2055"/>
      <c r="C826" s="2057"/>
      <c r="D826" s="1170" t="s">
        <v>188</v>
      </c>
      <c r="E826" s="1462" t="s">
        <v>1980</v>
      </c>
      <c r="F826" s="1462" t="s">
        <v>1979</v>
      </c>
      <c r="G826" s="1311" t="s">
        <v>1829</v>
      </c>
      <c r="H826" s="1172"/>
      <c r="I826" s="1172"/>
      <c r="J826" s="1172">
        <f>3149606+850394</f>
        <v>4000000</v>
      </c>
      <c r="K826" s="1172"/>
      <c r="L826" s="1173"/>
      <c r="M826" s="1172"/>
      <c r="N826" s="1172"/>
      <c r="O826" s="1172"/>
      <c r="P826" s="1174"/>
      <c r="Q826" s="1175"/>
      <c r="R826" s="1172"/>
      <c r="S826" s="1172"/>
      <c r="T826" s="1172"/>
      <c r="U826" s="1172"/>
      <c r="V826" s="1172"/>
      <c r="W826" s="1172"/>
      <c r="X826" s="1176"/>
    </row>
    <row r="827" spans="1:24" ht="34.5" customHeight="1" x14ac:dyDescent="0.2">
      <c r="A827" s="2052" t="s">
        <v>2656</v>
      </c>
      <c r="B827" s="2054" t="s">
        <v>2913</v>
      </c>
      <c r="C827" s="2056" t="s">
        <v>2914</v>
      </c>
      <c r="D827" s="1170" t="s">
        <v>195</v>
      </c>
      <c r="E827" s="1462" t="s">
        <v>74</v>
      </c>
      <c r="F827" s="1462" t="s">
        <v>1870</v>
      </c>
      <c r="G827" s="1311" t="s">
        <v>1828</v>
      </c>
      <c r="H827" s="1172"/>
      <c r="I827" s="1172"/>
      <c r="J827" s="1172"/>
      <c r="K827" s="1172"/>
      <c r="L827" s="1173">
        <v>-242221</v>
      </c>
      <c r="M827" s="1172"/>
      <c r="N827" s="1172"/>
      <c r="O827" s="1172"/>
      <c r="P827" s="1174"/>
      <c r="Q827" s="1175"/>
      <c r="R827" s="1172"/>
      <c r="S827" s="1172"/>
      <c r="T827" s="1172"/>
      <c r="U827" s="1172"/>
      <c r="V827" s="1172"/>
      <c r="W827" s="1172"/>
      <c r="X827" s="1176"/>
    </row>
    <row r="828" spans="1:24" ht="34.5" customHeight="1" x14ac:dyDescent="0.2">
      <c r="A828" s="2053"/>
      <c r="B828" s="2055"/>
      <c r="C828" s="2057"/>
      <c r="D828" s="1170" t="s">
        <v>197</v>
      </c>
      <c r="E828" s="1462" t="s">
        <v>1288</v>
      </c>
      <c r="F828" s="1462" t="s">
        <v>535</v>
      </c>
      <c r="G828" s="1311" t="s">
        <v>1829</v>
      </c>
      <c r="H828" s="1172"/>
      <c r="I828" s="1172"/>
      <c r="J828" s="1172"/>
      <c r="K828" s="1172"/>
      <c r="L828" s="1173"/>
      <c r="M828" s="1172"/>
      <c r="N828" s="1172"/>
      <c r="O828" s="1172"/>
      <c r="P828" s="1174">
        <v>242221</v>
      </c>
      <c r="Q828" s="1175"/>
      <c r="R828" s="1172"/>
      <c r="S828" s="1172"/>
      <c r="T828" s="1172"/>
      <c r="U828" s="1172"/>
      <c r="V828" s="1172"/>
      <c r="W828" s="1172"/>
      <c r="X828" s="1176"/>
    </row>
    <row r="829" spans="1:24" ht="25.5" customHeight="1" x14ac:dyDescent="0.2">
      <c r="A829" s="2052" t="s">
        <v>2659</v>
      </c>
      <c r="B829" s="2054" t="s">
        <v>2916</v>
      </c>
      <c r="C829" s="2056" t="s">
        <v>2917</v>
      </c>
      <c r="D829" s="1170" t="s">
        <v>195</v>
      </c>
      <c r="E829" s="1462" t="s">
        <v>74</v>
      </c>
      <c r="F829" s="1462" t="s">
        <v>1870</v>
      </c>
      <c r="G829" s="1311" t="s">
        <v>1828</v>
      </c>
      <c r="H829" s="1172"/>
      <c r="I829" s="1172"/>
      <c r="J829" s="1172"/>
      <c r="K829" s="1172"/>
      <c r="L829" s="1173">
        <v>-12694920</v>
      </c>
      <c r="M829" s="1172"/>
      <c r="N829" s="1172"/>
      <c r="O829" s="1172"/>
      <c r="P829" s="1174"/>
      <c r="Q829" s="1175"/>
      <c r="R829" s="1172"/>
      <c r="S829" s="1172"/>
      <c r="T829" s="1172"/>
      <c r="U829" s="1172"/>
      <c r="V829" s="1172"/>
      <c r="W829" s="1172"/>
      <c r="X829" s="1176"/>
    </row>
    <row r="830" spans="1:24" ht="25.5" customHeight="1" x14ac:dyDescent="0.2">
      <c r="A830" s="2053"/>
      <c r="B830" s="2055"/>
      <c r="C830" s="2057"/>
      <c r="D830" s="1170" t="s">
        <v>193</v>
      </c>
      <c r="E830" s="1462" t="s">
        <v>584</v>
      </c>
      <c r="F830" s="1462" t="s">
        <v>135</v>
      </c>
      <c r="G830" s="1311" t="s">
        <v>1829</v>
      </c>
      <c r="H830" s="1172"/>
      <c r="I830" s="1172"/>
      <c r="J830" s="1172"/>
      <c r="K830" s="1172"/>
      <c r="L830" s="1173"/>
      <c r="M830" s="1172">
        <f>9996000+2698920</f>
        <v>12694920</v>
      </c>
      <c r="N830" s="1172"/>
      <c r="O830" s="1172"/>
      <c r="P830" s="1174"/>
      <c r="Q830" s="1175"/>
      <c r="R830" s="1172"/>
      <c r="S830" s="1172"/>
      <c r="T830" s="1172"/>
      <c r="U830" s="1172"/>
      <c r="V830" s="1172"/>
      <c r="W830" s="1172"/>
      <c r="X830" s="1176"/>
    </row>
    <row r="831" spans="1:24" ht="27" customHeight="1" x14ac:dyDescent="0.2">
      <c r="A831" s="2052" t="s">
        <v>2662</v>
      </c>
      <c r="B831" s="2054" t="s">
        <v>2918</v>
      </c>
      <c r="C831" s="2056" t="s">
        <v>2919</v>
      </c>
      <c r="D831" s="1170" t="s">
        <v>195</v>
      </c>
      <c r="E831" s="1462" t="s">
        <v>74</v>
      </c>
      <c r="F831" s="1462" t="s">
        <v>1870</v>
      </c>
      <c r="G831" s="1311" t="s">
        <v>1828</v>
      </c>
      <c r="H831" s="1172"/>
      <c r="I831" s="1172"/>
      <c r="J831" s="1172"/>
      <c r="K831" s="1172"/>
      <c r="L831" s="1173">
        <v>-758952</v>
      </c>
      <c r="M831" s="1172"/>
      <c r="N831" s="1172"/>
      <c r="O831" s="1172"/>
      <c r="P831" s="1174"/>
      <c r="Q831" s="1175"/>
      <c r="R831" s="1172"/>
      <c r="S831" s="1172"/>
      <c r="T831" s="1172"/>
      <c r="U831" s="1172"/>
      <c r="V831" s="1172"/>
      <c r="W831" s="1172"/>
      <c r="X831" s="1176"/>
    </row>
    <row r="832" spans="1:24" ht="27" customHeight="1" x14ac:dyDescent="0.2">
      <c r="A832" s="2053"/>
      <c r="B832" s="2055"/>
      <c r="C832" s="2057"/>
      <c r="D832" s="1170" t="s">
        <v>188</v>
      </c>
      <c r="E832" s="1462" t="s">
        <v>130</v>
      </c>
      <c r="F832" s="1462" t="s">
        <v>152</v>
      </c>
      <c r="G832" s="1311" t="s">
        <v>1829</v>
      </c>
      <c r="H832" s="1172"/>
      <c r="I832" s="1172"/>
      <c r="J832" s="1172">
        <f>597600+161352</f>
        <v>758952</v>
      </c>
      <c r="K832" s="1172"/>
      <c r="L832" s="1173"/>
      <c r="M832" s="1172"/>
      <c r="N832" s="1172"/>
      <c r="O832" s="1172"/>
      <c r="P832" s="1174"/>
      <c r="Q832" s="1175"/>
      <c r="R832" s="1172"/>
      <c r="S832" s="1172"/>
      <c r="T832" s="1172"/>
      <c r="U832" s="1172"/>
      <c r="V832" s="1172"/>
      <c r="W832" s="1172"/>
      <c r="X832" s="1176"/>
    </row>
    <row r="833" spans="1:24" ht="40.5" customHeight="1" x14ac:dyDescent="0.2">
      <c r="A833" s="2052" t="s">
        <v>2665</v>
      </c>
      <c r="B833" s="2054" t="s">
        <v>2920</v>
      </c>
      <c r="C833" s="2056" t="s">
        <v>2921</v>
      </c>
      <c r="D833" s="1170" t="s">
        <v>195</v>
      </c>
      <c r="E833" s="1462" t="s">
        <v>74</v>
      </c>
      <c r="F833" s="1462" t="s">
        <v>1870</v>
      </c>
      <c r="G833" s="1311" t="s">
        <v>1828</v>
      </c>
      <c r="H833" s="1172"/>
      <c r="I833" s="1172"/>
      <c r="J833" s="1172"/>
      <c r="K833" s="1172"/>
      <c r="L833" s="1173">
        <v>-190500</v>
      </c>
      <c r="M833" s="1172"/>
      <c r="N833" s="1172"/>
      <c r="O833" s="1172"/>
      <c r="P833" s="1174"/>
      <c r="Q833" s="1175"/>
      <c r="R833" s="1172"/>
      <c r="S833" s="1172"/>
      <c r="T833" s="1172"/>
      <c r="U833" s="1172"/>
      <c r="V833" s="1172"/>
      <c r="W833" s="1172"/>
      <c r="X833" s="1176"/>
    </row>
    <row r="834" spans="1:24" ht="40.5" customHeight="1" x14ac:dyDescent="0.2">
      <c r="A834" s="2053"/>
      <c r="B834" s="2055"/>
      <c r="C834" s="2057"/>
      <c r="D834" s="1170" t="s">
        <v>193</v>
      </c>
      <c r="E834" s="1462" t="s">
        <v>545</v>
      </c>
      <c r="F834" s="1462" t="s">
        <v>831</v>
      </c>
      <c r="G834" s="1311" t="s">
        <v>1829</v>
      </c>
      <c r="H834" s="1172"/>
      <c r="I834" s="1172"/>
      <c r="J834" s="1172"/>
      <c r="K834" s="1172"/>
      <c r="L834" s="1173"/>
      <c r="M834" s="1172">
        <f>150000+40500</f>
        <v>190500</v>
      </c>
      <c r="N834" s="1172"/>
      <c r="O834" s="1172"/>
      <c r="P834" s="1174"/>
      <c r="Q834" s="1175"/>
      <c r="R834" s="1172"/>
      <c r="S834" s="1172"/>
      <c r="T834" s="1172"/>
      <c r="U834" s="1172"/>
      <c r="V834" s="1172"/>
      <c r="W834" s="1172"/>
      <c r="X834" s="1176"/>
    </row>
    <row r="835" spans="1:24" ht="41.25" customHeight="1" x14ac:dyDescent="0.2">
      <c r="A835" s="2052" t="s">
        <v>2667</v>
      </c>
      <c r="B835" s="2054" t="s">
        <v>2922</v>
      </c>
      <c r="C835" s="2056" t="s">
        <v>2923</v>
      </c>
      <c r="D835" s="1170" t="s">
        <v>195</v>
      </c>
      <c r="E835" s="1462" t="s">
        <v>74</v>
      </c>
      <c r="F835" s="1462" t="s">
        <v>1870</v>
      </c>
      <c r="G835" s="1311" t="s">
        <v>1828</v>
      </c>
      <c r="H835" s="1172"/>
      <c r="I835" s="1172"/>
      <c r="J835" s="1172"/>
      <c r="K835" s="1172"/>
      <c r="L835" s="1173">
        <v>-7000000</v>
      </c>
      <c r="M835" s="1172"/>
      <c r="N835" s="1172"/>
      <c r="O835" s="1172"/>
      <c r="P835" s="1174"/>
      <c r="Q835" s="1175"/>
      <c r="R835" s="1172"/>
      <c r="S835" s="1172"/>
      <c r="T835" s="1172"/>
      <c r="U835" s="1172"/>
      <c r="V835" s="1172"/>
      <c r="W835" s="1172"/>
      <c r="X835" s="1176"/>
    </row>
    <row r="836" spans="1:24" ht="41.25" customHeight="1" x14ac:dyDescent="0.2">
      <c r="A836" s="2053"/>
      <c r="B836" s="2055"/>
      <c r="C836" s="2057"/>
      <c r="D836" s="1170" t="s">
        <v>193</v>
      </c>
      <c r="E836" s="1462" t="s">
        <v>73</v>
      </c>
      <c r="F836" s="1462" t="s">
        <v>2334</v>
      </c>
      <c r="G836" s="1311" t="s">
        <v>1829</v>
      </c>
      <c r="H836" s="1172"/>
      <c r="I836" s="1172"/>
      <c r="J836" s="1172"/>
      <c r="K836" s="1172"/>
      <c r="L836" s="1173"/>
      <c r="M836" s="1172">
        <f>5511811+1488189</f>
        <v>7000000</v>
      </c>
      <c r="N836" s="1172"/>
      <c r="O836" s="1172"/>
      <c r="P836" s="1174"/>
      <c r="Q836" s="1175"/>
      <c r="R836" s="1172"/>
      <c r="S836" s="1172"/>
      <c r="T836" s="1172"/>
      <c r="U836" s="1172"/>
      <c r="V836" s="1172"/>
      <c r="W836" s="1172"/>
      <c r="X836" s="1176"/>
    </row>
    <row r="837" spans="1:24" ht="34.5" customHeight="1" x14ac:dyDescent="0.2">
      <c r="A837" s="1491"/>
      <c r="B837" s="1490"/>
      <c r="C837" s="1631" t="s">
        <v>2273</v>
      </c>
      <c r="D837" s="1170" t="s">
        <v>197</v>
      </c>
      <c r="E837" s="1462" t="s">
        <v>1288</v>
      </c>
      <c r="F837" s="1462" t="s">
        <v>535</v>
      </c>
      <c r="G837" s="1311" t="s">
        <v>1837</v>
      </c>
      <c r="H837" s="1172"/>
      <c r="I837" s="1172"/>
      <c r="J837" s="1172"/>
      <c r="K837" s="1172"/>
      <c r="L837" s="1173"/>
      <c r="M837" s="1172"/>
      <c r="N837" s="1172"/>
      <c r="O837" s="1172"/>
      <c r="P837" s="1174">
        <f>-354800+354800</f>
        <v>0</v>
      </c>
      <c r="Q837" s="1175"/>
      <c r="R837" s="1172"/>
      <c r="S837" s="1172"/>
      <c r="T837" s="1172"/>
      <c r="U837" s="1172"/>
      <c r="V837" s="1172"/>
      <c r="W837" s="1172"/>
      <c r="X837" s="1176"/>
    </row>
    <row r="838" spans="1:24" ht="39.75" customHeight="1" x14ac:dyDescent="0.2">
      <c r="A838" s="2052" t="s">
        <v>2670</v>
      </c>
      <c r="B838" s="2054" t="s">
        <v>2926</v>
      </c>
      <c r="C838" s="2056" t="s">
        <v>2927</v>
      </c>
      <c r="D838" s="1170" t="s">
        <v>195</v>
      </c>
      <c r="E838" s="1462" t="s">
        <v>74</v>
      </c>
      <c r="F838" s="1462" t="s">
        <v>1870</v>
      </c>
      <c r="G838" s="1311" t="s">
        <v>1828</v>
      </c>
      <c r="H838" s="1172"/>
      <c r="I838" s="1172"/>
      <c r="J838" s="1172"/>
      <c r="K838" s="1172"/>
      <c r="L838" s="1173">
        <v>-7000000</v>
      </c>
      <c r="M838" s="1172"/>
      <c r="N838" s="1172"/>
      <c r="O838" s="1172"/>
      <c r="P838" s="1174"/>
      <c r="Q838" s="1175"/>
      <c r="R838" s="1172"/>
      <c r="S838" s="1172"/>
      <c r="T838" s="1172"/>
      <c r="U838" s="1172"/>
      <c r="V838" s="1172"/>
      <c r="W838" s="1172"/>
      <c r="X838" s="1176"/>
    </row>
    <row r="839" spans="1:24" ht="39.75" customHeight="1" x14ac:dyDescent="0.2">
      <c r="A839" s="2053"/>
      <c r="B839" s="2055"/>
      <c r="C839" s="2057"/>
      <c r="D839" s="1170" t="s">
        <v>197</v>
      </c>
      <c r="E839" s="1462" t="s">
        <v>1288</v>
      </c>
      <c r="F839" s="1462" t="s">
        <v>535</v>
      </c>
      <c r="G839" s="1311" t="s">
        <v>1829</v>
      </c>
      <c r="H839" s="1172"/>
      <c r="I839" s="1172"/>
      <c r="J839" s="1172"/>
      <c r="K839" s="1172"/>
      <c r="L839" s="1173"/>
      <c r="M839" s="1172"/>
      <c r="N839" s="1172"/>
      <c r="O839" s="1172"/>
      <c r="P839" s="1174">
        <v>7000000</v>
      </c>
      <c r="Q839" s="1175"/>
      <c r="R839" s="1172"/>
      <c r="S839" s="1172"/>
      <c r="T839" s="1172"/>
      <c r="U839" s="1172"/>
      <c r="V839" s="1172"/>
      <c r="W839" s="1172"/>
      <c r="X839" s="1176"/>
    </row>
    <row r="840" spans="1:24" ht="34.5" customHeight="1" x14ac:dyDescent="0.2">
      <c r="A840" s="1491" t="s">
        <v>2673</v>
      </c>
      <c r="B840" s="1490" t="s">
        <v>2929</v>
      </c>
      <c r="C840" s="1631" t="s">
        <v>2930</v>
      </c>
      <c r="D840" s="1170" t="s">
        <v>188</v>
      </c>
      <c r="E840" s="1462" t="s">
        <v>542</v>
      </c>
      <c r="F840" s="1462" t="s">
        <v>449</v>
      </c>
      <c r="G840" s="1311" t="s">
        <v>1829</v>
      </c>
      <c r="H840" s="1172"/>
      <c r="I840" s="1172"/>
      <c r="J840" s="1172">
        <f>3000000+810000</f>
        <v>3810000</v>
      </c>
      <c r="K840" s="1172"/>
      <c r="L840" s="1173"/>
      <c r="M840" s="1172"/>
      <c r="N840" s="1172"/>
      <c r="O840" s="1172"/>
      <c r="P840" s="1174"/>
      <c r="Q840" s="1175"/>
      <c r="R840" s="1172"/>
      <c r="S840" s="1172"/>
      <c r="T840" s="1172">
        <f>3000000+810000</f>
        <v>3810000</v>
      </c>
      <c r="U840" s="1172"/>
      <c r="V840" s="1172"/>
      <c r="W840" s="1172"/>
      <c r="X840" s="1176"/>
    </row>
    <row r="841" spans="1:24" ht="25.5" customHeight="1" x14ac:dyDescent="0.2">
      <c r="A841" s="2052" t="s">
        <v>2675</v>
      </c>
      <c r="B841" s="2054" t="s">
        <v>2933</v>
      </c>
      <c r="C841" s="2056" t="s">
        <v>2934</v>
      </c>
      <c r="D841" s="1170" t="s">
        <v>195</v>
      </c>
      <c r="E841" s="1462" t="s">
        <v>74</v>
      </c>
      <c r="F841" s="1462" t="s">
        <v>1870</v>
      </c>
      <c r="G841" s="1311" t="s">
        <v>1828</v>
      </c>
      <c r="H841" s="1172"/>
      <c r="I841" s="1172"/>
      <c r="J841" s="1172"/>
      <c r="K841" s="1172"/>
      <c r="L841" s="1173">
        <v>-2540000</v>
      </c>
      <c r="M841" s="1172"/>
      <c r="N841" s="1172"/>
      <c r="O841" s="1172"/>
      <c r="P841" s="1174"/>
      <c r="Q841" s="1175"/>
      <c r="R841" s="1172"/>
      <c r="S841" s="1172"/>
      <c r="T841" s="1172"/>
      <c r="U841" s="1172"/>
      <c r="V841" s="1172"/>
      <c r="W841" s="1172"/>
      <c r="X841" s="1176"/>
    </row>
    <row r="842" spans="1:24" ht="25.5" customHeight="1" x14ac:dyDescent="0.2">
      <c r="A842" s="2053"/>
      <c r="B842" s="2055"/>
      <c r="C842" s="2057"/>
      <c r="D842" s="1170" t="s">
        <v>193</v>
      </c>
      <c r="E842" s="1462" t="s">
        <v>547</v>
      </c>
      <c r="F842" s="1462" t="s">
        <v>133</v>
      </c>
      <c r="G842" s="1311" t="s">
        <v>1829</v>
      </c>
      <c r="H842" s="1172"/>
      <c r="I842" s="1172"/>
      <c r="J842" s="1172"/>
      <c r="K842" s="1172"/>
      <c r="L842" s="1173"/>
      <c r="M842" s="1172">
        <f>2000000+540000</f>
        <v>2540000</v>
      </c>
      <c r="N842" s="1172"/>
      <c r="O842" s="1172"/>
      <c r="P842" s="1174"/>
      <c r="Q842" s="1175"/>
      <c r="R842" s="1172"/>
      <c r="S842" s="1172"/>
      <c r="T842" s="1172"/>
      <c r="U842" s="1172"/>
      <c r="V842" s="1172"/>
      <c r="W842" s="1172"/>
      <c r="X842" s="1176"/>
    </row>
    <row r="843" spans="1:24" ht="34.5" customHeight="1" x14ac:dyDescent="0.2">
      <c r="A843" s="2052" t="s">
        <v>2677</v>
      </c>
      <c r="B843" s="2054" t="s">
        <v>2935</v>
      </c>
      <c r="C843" s="2056" t="s">
        <v>2938</v>
      </c>
      <c r="D843" s="1170" t="s">
        <v>195</v>
      </c>
      <c r="E843" s="1462" t="s">
        <v>74</v>
      </c>
      <c r="F843" s="1462" t="s">
        <v>1870</v>
      </c>
      <c r="G843" s="1311" t="s">
        <v>1828</v>
      </c>
      <c r="H843" s="1172"/>
      <c r="I843" s="1172"/>
      <c r="J843" s="1172"/>
      <c r="K843" s="1172"/>
      <c r="L843" s="1173">
        <v>-1091278</v>
      </c>
      <c r="M843" s="1172"/>
      <c r="N843" s="1172"/>
      <c r="O843" s="1172"/>
      <c r="P843" s="1174"/>
      <c r="Q843" s="1175"/>
      <c r="R843" s="1172"/>
      <c r="S843" s="1172"/>
      <c r="T843" s="1172"/>
      <c r="U843" s="1172"/>
      <c r="V843" s="1172"/>
      <c r="W843" s="1172"/>
      <c r="X843" s="1176"/>
    </row>
    <row r="844" spans="1:24" ht="34.5" customHeight="1" x14ac:dyDescent="0.2">
      <c r="A844" s="2053"/>
      <c r="B844" s="2055"/>
      <c r="C844" s="2057"/>
      <c r="D844" s="1170" t="s">
        <v>197</v>
      </c>
      <c r="E844" s="1462" t="s">
        <v>1288</v>
      </c>
      <c r="F844" s="1462" t="s">
        <v>535</v>
      </c>
      <c r="G844" s="1311" t="s">
        <v>1829</v>
      </c>
      <c r="H844" s="1172"/>
      <c r="I844" s="1172"/>
      <c r="J844" s="1172"/>
      <c r="K844" s="1172"/>
      <c r="L844" s="1173"/>
      <c r="M844" s="1172"/>
      <c r="N844" s="1172"/>
      <c r="O844" s="1172"/>
      <c r="P844" s="1174">
        <v>1091278</v>
      </c>
      <c r="Q844" s="1175"/>
      <c r="R844" s="1172"/>
      <c r="S844" s="1172"/>
      <c r="T844" s="1172"/>
      <c r="U844" s="1172"/>
      <c r="V844" s="1172"/>
      <c r="W844" s="1172"/>
      <c r="X844" s="1176"/>
    </row>
    <row r="845" spans="1:24" ht="29.25" customHeight="1" x14ac:dyDescent="0.2">
      <c r="A845" s="2052" t="s">
        <v>2940</v>
      </c>
      <c r="B845" s="2054" t="s">
        <v>2941</v>
      </c>
      <c r="C845" s="2056" t="s">
        <v>2942</v>
      </c>
      <c r="D845" s="1170" t="s">
        <v>195</v>
      </c>
      <c r="E845" s="1462" t="s">
        <v>74</v>
      </c>
      <c r="F845" s="1462" t="s">
        <v>1870</v>
      </c>
      <c r="G845" s="1311" t="s">
        <v>1828</v>
      </c>
      <c r="H845" s="1172"/>
      <c r="I845" s="1172"/>
      <c r="J845" s="1172"/>
      <c r="K845" s="1172"/>
      <c r="L845" s="1173">
        <v>-61601433</v>
      </c>
      <c r="M845" s="1172"/>
      <c r="N845" s="1172"/>
      <c r="O845" s="1172"/>
      <c r="P845" s="1174"/>
      <c r="Q845" s="1175"/>
      <c r="R845" s="1172"/>
      <c r="S845" s="1172"/>
      <c r="T845" s="1172"/>
      <c r="U845" s="1172"/>
      <c r="V845" s="1172"/>
      <c r="W845" s="1172"/>
      <c r="X845" s="1176"/>
    </row>
    <row r="846" spans="1:24" ht="29.25" customHeight="1" x14ac:dyDescent="0.2">
      <c r="A846" s="2053"/>
      <c r="B846" s="2055"/>
      <c r="C846" s="2057"/>
      <c r="D846" s="1170" t="s">
        <v>193</v>
      </c>
      <c r="E846" s="1462" t="s">
        <v>545</v>
      </c>
      <c r="F846" s="1462" t="s">
        <v>830</v>
      </c>
      <c r="G846" s="1311" t="s">
        <v>1829</v>
      </c>
      <c r="H846" s="1172"/>
      <c r="I846" s="1172"/>
      <c r="J846" s="1172"/>
      <c r="K846" s="1172"/>
      <c r="L846" s="1173"/>
      <c r="M846" s="1172">
        <f>48505065+13096368</f>
        <v>61601433</v>
      </c>
      <c r="N846" s="1172"/>
      <c r="O846" s="1172"/>
      <c r="P846" s="1174"/>
      <c r="Q846" s="1175"/>
      <c r="R846" s="1172"/>
      <c r="S846" s="1172"/>
      <c r="T846" s="1172"/>
      <c r="U846" s="1172"/>
      <c r="V846" s="1172"/>
      <c r="W846" s="1172"/>
      <c r="X846" s="1176"/>
    </row>
    <row r="847" spans="1:24" ht="29.25" customHeight="1" x14ac:dyDescent="0.2">
      <c r="A847" s="2052" t="s">
        <v>2943</v>
      </c>
      <c r="B847" s="2054" t="s">
        <v>2944</v>
      </c>
      <c r="C847" s="2056" t="s">
        <v>2945</v>
      </c>
      <c r="D847" s="1170" t="s">
        <v>195</v>
      </c>
      <c r="E847" s="1462" t="s">
        <v>74</v>
      </c>
      <c r="F847" s="1462" t="s">
        <v>1870</v>
      </c>
      <c r="G847" s="1311" t="s">
        <v>1828</v>
      </c>
      <c r="H847" s="1172"/>
      <c r="I847" s="1172"/>
      <c r="J847" s="1172"/>
      <c r="K847" s="1172"/>
      <c r="L847" s="1173">
        <v>-4552506</v>
      </c>
      <c r="M847" s="1172"/>
      <c r="N847" s="1172"/>
      <c r="O847" s="1172"/>
      <c r="P847" s="1174"/>
      <c r="Q847" s="1175"/>
      <c r="R847" s="1172"/>
      <c r="S847" s="1172"/>
      <c r="T847" s="1172"/>
      <c r="U847" s="1172"/>
      <c r="V847" s="1172"/>
      <c r="W847" s="1172"/>
      <c r="X847" s="1176"/>
    </row>
    <row r="848" spans="1:24" ht="29.25" customHeight="1" x14ac:dyDescent="0.2">
      <c r="A848" s="2053"/>
      <c r="B848" s="2055"/>
      <c r="C848" s="2057"/>
      <c r="D848" s="1170" t="s">
        <v>193</v>
      </c>
      <c r="E848" s="1462" t="s">
        <v>130</v>
      </c>
      <c r="F848" s="1462" t="s">
        <v>91</v>
      </c>
      <c r="G848" s="1311" t="s">
        <v>1829</v>
      </c>
      <c r="H848" s="1172"/>
      <c r="I848" s="1172"/>
      <c r="J848" s="1172"/>
      <c r="K848" s="1172"/>
      <c r="L848" s="1173"/>
      <c r="M848" s="1172">
        <f>3584650+967856</f>
        <v>4552506</v>
      </c>
      <c r="N848" s="1172"/>
      <c r="O848" s="1172"/>
      <c r="P848" s="1174"/>
      <c r="Q848" s="1175"/>
      <c r="R848" s="1172"/>
      <c r="S848" s="1172"/>
      <c r="T848" s="1172"/>
      <c r="U848" s="1172"/>
      <c r="V848" s="1172"/>
      <c r="W848" s="1172"/>
      <c r="X848" s="1176"/>
    </row>
    <row r="849" spans="1:24" ht="23.25" customHeight="1" x14ac:dyDescent="0.2">
      <c r="A849" s="2052" t="s">
        <v>2679</v>
      </c>
      <c r="B849" s="2054" t="s">
        <v>2947</v>
      </c>
      <c r="C849" s="2056" t="s">
        <v>2948</v>
      </c>
      <c r="D849" s="1170" t="s">
        <v>195</v>
      </c>
      <c r="E849" s="1462" t="s">
        <v>74</v>
      </c>
      <c r="F849" s="1462" t="s">
        <v>1870</v>
      </c>
      <c r="G849" s="1311" t="s">
        <v>1828</v>
      </c>
      <c r="H849" s="1172"/>
      <c r="I849" s="1172"/>
      <c r="J849" s="1172"/>
      <c r="K849" s="1172"/>
      <c r="L849" s="1173">
        <v>-5466080</v>
      </c>
      <c r="M849" s="1172"/>
      <c r="N849" s="1172"/>
      <c r="O849" s="1172"/>
      <c r="P849" s="1174"/>
      <c r="Q849" s="1175"/>
      <c r="R849" s="1172"/>
      <c r="S849" s="1172"/>
      <c r="T849" s="1172"/>
      <c r="U849" s="1172"/>
      <c r="V849" s="1172"/>
      <c r="W849" s="1172"/>
      <c r="X849" s="1176"/>
    </row>
    <row r="850" spans="1:24" ht="23.25" customHeight="1" x14ac:dyDescent="0.2">
      <c r="A850" s="2053"/>
      <c r="B850" s="2055"/>
      <c r="C850" s="2057"/>
      <c r="D850" s="1170" t="s">
        <v>188</v>
      </c>
      <c r="E850" s="1462" t="s">
        <v>131</v>
      </c>
      <c r="F850" s="1462" t="s">
        <v>1883</v>
      </c>
      <c r="G850" s="1311" t="s">
        <v>1829</v>
      </c>
      <c r="H850" s="1172"/>
      <c r="I850" s="1172"/>
      <c r="J850" s="1172">
        <f>4304000+1162080</f>
        <v>5466080</v>
      </c>
      <c r="K850" s="1172"/>
      <c r="L850" s="1173"/>
      <c r="M850" s="1172"/>
      <c r="N850" s="1172"/>
      <c r="O850" s="1172"/>
      <c r="P850" s="1174"/>
      <c r="Q850" s="1175"/>
      <c r="R850" s="1172"/>
      <c r="S850" s="1172"/>
      <c r="T850" s="1172"/>
      <c r="U850" s="1172"/>
      <c r="V850" s="1172"/>
      <c r="W850" s="1172"/>
      <c r="X850" s="1176"/>
    </row>
    <row r="851" spans="1:24" ht="27" customHeight="1" x14ac:dyDescent="0.2">
      <c r="A851" s="2052" t="s">
        <v>2681</v>
      </c>
      <c r="B851" s="2054" t="s">
        <v>2949</v>
      </c>
      <c r="C851" s="2056" t="s">
        <v>2950</v>
      </c>
      <c r="D851" s="1170" t="s">
        <v>195</v>
      </c>
      <c r="E851" s="1462" t="s">
        <v>74</v>
      </c>
      <c r="F851" s="1462" t="s">
        <v>1870</v>
      </c>
      <c r="G851" s="1311" t="s">
        <v>1828</v>
      </c>
      <c r="H851" s="1172"/>
      <c r="I851" s="1172"/>
      <c r="J851" s="1172"/>
      <c r="K851" s="1172"/>
      <c r="L851" s="1173">
        <v>-7620000</v>
      </c>
      <c r="M851" s="1172"/>
      <c r="N851" s="1172"/>
      <c r="O851" s="1172"/>
      <c r="P851" s="1174"/>
      <c r="Q851" s="1175"/>
      <c r="R851" s="1172"/>
      <c r="S851" s="1172"/>
      <c r="T851" s="1172"/>
      <c r="U851" s="1172"/>
      <c r="V851" s="1172"/>
      <c r="W851" s="1172"/>
      <c r="X851" s="1176"/>
    </row>
    <row r="852" spans="1:24" ht="27" customHeight="1" x14ac:dyDescent="0.2">
      <c r="A852" s="2053"/>
      <c r="B852" s="2055"/>
      <c r="C852" s="2057"/>
      <c r="D852" s="1170" t="s">
        <v>188</v>
      </c>
      <c r="E852" s="1462" t="s">
        <v>1980</v>
      </c>
      <c r="F852" s="1462" t="s">
        <v>1979</v>
      </c>
      <c r="G852" s="1311" t="s">
        <v>1829</v>
      </c>
      <c r="H852" s="1172"/>
      <c r="I852" s="1172"/>
      <c r="J852" s="1172">
        <f>6000000+1620000</f>
        <v>7620000</v>
      </c>
      <c r="K852" s="1172"/>
      <c r="L852" s="1173"/>
      <c r="M852" s="1172"/>
      <c r="N852" s="1172"/>
      <c r="O852" s="1172"/>
      <c r="P852" s="1174"/>
      <c r="Q852" s="1175"/>
      <c r="R852" s="1172"/>
      <c r="S852" s="1172"/>
      <c r="T852" s="1172"/>
      <c r="U852" s="1172"/>
      <c r="V852" s="1172"/>
      <c r="W852" s="1172"/>
      <c r="X852" s="1176"/>
    </row>
    <row r="853" spans="1:24" ht="24.75" customHeight="1" x14ac:dyDescent="0.2">
      <c r="A853" s="2052" t="s">
        <v>2685</v>
      </c>
      <c r="B853" s="2054" t="s">
        <v>2951</v>
      </c>
      <c r="C853" s="2056" t="s">
        <v>2952</v>
      </c>
      <c r="D853" s="1170" t="s">
        <v>195</v>
      </c>
      <c r="E853" s="1462" t="s">
        <v>74</v>
      </c>
      <c r="F853" s="1462" t="s">
        <v>1870</v>
      </c>
      <c r="G853" s="1311" t="s">
        <v>1828</v>
      </c>
      <c r="H853" s="1172"/>
      <c r="I853" s="1172"/>
      <c r="J853" s="1172"/>
      <c r="K853" s="1172"/>
      <c r="L853" s="1173">
        <v>-12700000</v>
      </c>
      <c r="M853" s="1172"/>
      <c r="N853" s="1172"/>
      <c r="O853" s="1172"/>
      <c r="P853" s="1174"/>
      <c r="Q853" s="1175"/>
      <c r="R853" s="1172"/>
      <c r="S853" s="1172"/>
      <c r="T853" s="1172"/>
      <c r="U853" s="1172"/>
      <c r="V853" s="1172"/>
      <c r="W853" s="1172"/>
      <c r="X853" s="1176"/>
    </row>
    <row r="854" spans="1:24" ht="24.75" customHeight="1" x14ac:dyDescent="0.2">
      <c r="A854" s="2053"/>
      <c r="B854" s="2055"/>
      <c r="C854" s="2057"/>
      <c r="D854" s="1170" t="s">
        <v>188</v>
      </c>
      <c r="E854" s="1462" t="s">
        <v>1980</v>
      </c>
      <c r="F854" s="1462" t="s">
        <v>1979</v>
      </c>
      <c r="G854" s="1311" t="s">
        <v>1829</v>
      </c>
      <c r="H854" s="1172"/>
      <c r="I854" s="1172"/>
      <c r="J854" s="1172">
        <f>10000000+2700000</f>
        <v>12700000</v>
      </c>
      <c r="K854" s="1172"/>
      <c r="L854" s="1173"/>
      <c r="M854" s="1172"/>
      <c r="N854" s="1172"/>
      <c r="O854" s="1172"/>
      <c r="P854" s="1174"/>
      <c r="Q854" s="1175"/>
      <c r="R854" s="1172"/>
      <c r="S854" s="1172"/>
      <c r="T854" s="1172"/>
      <c r="U854" s="1172"/>
      <c r="V854" s="1172"/>
      <c r="W854" s="1172"/>
      <c r="X854" s="1176"/>
    </row>
    <row r="855" spans="1:24" ht="21.75" customHeight="1" x14ac:dyDescent="0.2">
      <c r="A855" s="2052" t="s">
        <v>2687</v>
      </c>
      <c r="B855" s="2054" t="s">
        <v>2953</v>
      </c>
      <c r="C855" s="2056" t="s">
        <v>2954</v>
      </c>
      <c r="D855" s="1170" t="s">
        <v>195</v>
      </c>
      <c r="E855" s="1462" t="s">
        <v>74</v>
      </c>
      <c r="F855" s="1462" t="s">
        <v>1870</v>
      </c>
      <c r="G855" s="1311" t="s">
        <v>1828</v>
      </c>
      <c r="H855" s="1172"/>
      <c r="I855" s="1172"/>
      <c r="J855" s="1172"/>
      <c r="K855" s="1172"/>
      <c r="L855" s="1173">
        <v>-4445000</v>
      </c>
      <c r="M855" s="1172"/>
      <c r="N855" s="1172"/>
      <c r="O855" s="1172"/>
      <c r="P855" s="1174"/>
      <c r="Q855" s="1175"/>
      <c r="R855" s="1172"/>
      <c r="S855" s="1172"/>
      <c r="T855" s="1172"/>
      <c r="U855" s="1172"/>
      <c r="V855" s="1172"/>
      <c r="W855" s="1172"/>
      <c r="X855" s="1176"/>
    </row>
    <row r="856" spans="1:24" ht="21.75" customHeight="1" x14ac:dyDescent="0.2">
      <c r="A856" s="2053"/>
      <c r="B856" s="2055"/>
      <c r="C856" s="2057"/>
      <c r="D856" s="1170" t="s">
        <v>193</v>
      </c>
      <c r="E856" s="1462" t="s">
        <v>130</v>
      </c>
      <c r="F856" s="1462" t="s">
        <v>152</v>
      </c>
      <c r="G856" s="1311" t="s">
        <v>1829</v>
      </c>
      <c r="H856" s="1172"/>
      <c r="I856" s="1172"/>
      <c r="J856" s="1172">
        <f>3500000+945000</f>
        <v>4445000</v>
      </c>
      <c r="K856" s="1172"/>
      <c r="L856" s="1173"/>
      <c r="M856" s="1172"/>
      <c r="N856" s="1172"/>
      <c r="O856" s="1172"/>
      <c r="P856" s="1174"/>
      <c r="Q856" s="1175"/>
      <c r="R856" s="1172"/>
      <c r="S856" s="1172"/>
      <c r="T856" s="1172"/>
      <c r="U856" s="1172"/>
      <c r="V856" s="1172"/>
      <c r="W856" s="1172"/>
      <c r="X856" s="1176"/>
    </row>
    <row r="857" spans="1:24" ht="29.25" customHeight="1" x14ac:dyDescent="0.2">
      <c r="A857" s="1491"/>
      <c r="B857" s="1490"/>
      <c r="C857" s="1631" t="s">
        <v>2956</v>
      </c>
      <c r="D857" s="1170" t="s">
        <v>197</v>
      </c>
      <c r="E857" s="1462" t="s">
        <v>1288</v>
      </c>
      <c r="F857" s="1462" t="s">
        <v>535</v>
      </c>
      <c r="G857" s="1311" t="s">
        <v>1837</v>
      </c>
      <c r="H857" s="1172"/>
      <c r="I857" s="1172"/>
      <c r="J857" s="1172"/>
      <c r="K857" s="1172"/>
      <c r="L857" s="1173"/>
      <c r="M857" s="1172"/>
      <c r="N857" s="1172"/>
      <c r="O857" s="1172"/>
      <c r="P857" s="1174">
        <f>-500000+500000</f>
        <v>0</v>
      </c>
      <c r="Q857" s="1175"/>
      <c r="R857" s="1172"/>
      <c r="S857" s="1172"/>
      <c r="T857" s="1172"/>
      <c r="U857" s="1172"/>
      <c r="V857" s="1172"/>
      <c r="W857" s="1172"/>
      <c r="X857" s="1176"/>
    </row>
    <row r="858" spans="1:24" ht="27" customHeight="1" x14ac:dyDescent="0.2">
      <c r="A858" s="1491"/>
      <c r="B858" s="1490"/>
      <c r="C858" s="1631" t="s">
        <v>2171</v>
      </c>
      <c r="D858" s="1170" t="s">
        <v>197</v>
      </c>
      <c r="E858" s="1462" t="s">
        <v>1288</v>
      </c>
      <c r="F858" s="1462" t="s">
        <v>535</v>
      </c>
      <c r="G858" s="1311" t="s">
        <v>1837</v>
      </c>
      <c r="H858" s="1172"/>
      <c r="I858" s="1172"/>
      <c r="J858" s="1172"/>
      <c r="K858" s="1172"/>
      <c r="L858" s="1173"/>
      <c r="M858" s="1172"/>
      <c r="N858" s="1172"/>
      <c r="O858" s="1172"/>
      <c r="P858" s="1174">
        <f>-229180+229180</f>
        <v>0</v>
      </c>
      <c r="Q858" s="1175"/>
      <c r="R858" s="1172"/>
      <c r="S858" s="1172"/>
      <c r="T858" s="1172"/>
      <c r="U858" s="1172"/>
      <c r="V858" s="1172"/>
      <c r="W858" s="1172"/>
      <c r="X858" s="1176"/>
    </row>
    <row r="859" spans="1:24" ht="30" customHeight="1" x14ac:dyDescent="0.2">
      <c r="A859" s="1491" t="s">
        <v>2689</v>
      </c>
      <c r="B859" s="1490" t="s">
        <v>2976</v>
      </c>
      <c r="C859" s="1631" t="s">
        <v>2968</v>
      </c>
      <c r="D859" s="1170" t="s">
        <v>188</v>
      </c>
      <c r="E859" s="1462" t="s">
        <v>1868</v>
      </c>
      <c r="F859" s="1462" t="s">
        <v>2969</v>
      </c>
      <c r="G859" s="1311" t="s">
        <v>1837</v>
      </c>
      <c r="H859" s="1172"/>
      <c r="I859" s="1172"/>
      <c r="J859" s="1172">
        <f>-1000000+1000000</f>
        <v>0</v>
      </c>
      <c r="K859" s="1172"/>
      <c r="L859" s="1173"/>
      <c r="M859" s="1172"/>
      <c r="N859" s="1172"/>
      <c r="O859" s="1172"/>
      <c r="P859" s="1174"/>
      <c r="Q859" s="1175"/>
      <c r="R859" s="1172"/>
      <c r="S859" s="1172"/>
      <c r="T859" s="1172"/>
      <c r="U859" s="1172"/>
      <c r="V859" s="1172"/>
      <c r="W859" s="1172"/>
      <c r="X859" s="1176"/>
    </row>
    <row r="860" spans="1:24" ht="24.75" customHeight="1" x14ac:dyDescent="0.2">
      <c r="A860" s="2052" t="s">
        <v>2691</v>
      </c>
      <c r="B860" s="2054" t="s">
        <v>2970</v>
      </c>
      <c r="C860" s="2056" t="s">
        <v>2971</v>
      </c>
      <c r="D860" s="1170" t="s">
        <v>195</v>
      </c>
      <c r="E860" s="1462" t="s">
        <v>74</v>
      </c>
      <c r="F860" s="1462" t="s">
        <v>1870</v>
      </c>
      <c r="G860" s="1311" t="s">
        <v>1828</v>
      </c>
      <c r="H860" s="1172"/>
      <c r="I860" s="1172"/>
      <c r="J860" s="1172"/>
      <c r="K860" s="1172"/>
      <c r="L860" s="1173">
        <v>-500000</v>
      </c>
      <c r="M860" s="1172"/>
      <c r="N860" s="1172"/>
      <c r="O860" s="1172"/>
      <c r="P860" s="1174"/>
      <c r="Q860" s="1175"/>
      <c r="R860" s="1172"/>
      <c r="S860" s="1172"/>
      <c r="T860" s="1172"/>
      <c r="U860" s="1172"/>
      <c r="V860" s="1172"/>
      <c r="W860" s="1172"/>
      <c r="X860" s="1176"/>
    </row>
    <row r="861" spans="1:24" ht="24.75" customHeight="1" x14ac:dyDescent="0.2">
      <c r="A861" s="2053"/>
      <c r="B861" s="2055"/>
      <c r="C861" s="2057"/>
      <c r="D861" s="1170" t="s">
        <v>188</v>
      </c>
      <c r="E861" s="1462" t="s">
        <v>75</v>
      </c>
      <c r="F861" s="1462" t="s">
        <v>2538</v>
      </c>
      <c r="G861" s="1311" t="s">
        <v>1829</v>
      </c>
      <c r="H861" s="1172"/>
      <c r="I861" s="1172"/>
      <c r="J861" s="1172">
        <f>393701+106299</f>
        <v>500000</v>
      </c>
      <c r="K861" s="1172"/>
      <c r="L861" s="1173"/>
      <c r="M861" s="1172"/>
      <c r="N861" s="1172"/>
      <c r="O861" s="1172"/>
      <c r="P861" s="1174"/>
      <c r="Q861" s="1175"/>
      <c r="R861" s="1172"/>
      <c r="S861" s="1172"/>
      <c r="T861" s="1172"/>
      <c r="U861" s="1172"/>
      <c r="V861" s="1172"/>
      <c r="W861" s="1172"/>
      <c r="X861" s="1176"/>
    </row>
    <row r="862" spans="1:24" ht="29.25" customHeight="1" x14ac:dyDescent="0.2">
      <c r="A862" s="1491" t="s">
        <v>2693</v>
      </c>
      <c r="B862" s="1490" t="s">
        <v>2972</v>
      </c>
      <c r="C862" s="1631" t="s">
        <v>2973</v>
      </c>
      <c r="D862" s="1170" t="s">
        <v>188</v>
      </c>
      <c r="E862" s="1462" t="s">
        <v>64</v>
      </c>
      <c r="F862" s="1462" t="s">
        <v>526</v>
      </c>
      <c r="G862" s="1311" t="s">
        <v>1829</v>
      </c>
      <c r="H862" s="1172"/>
      <c r="I862" s="1172"/>
      <c r="J862" s="1172">
        <f>1880712+361437</f>
        <v>2242149</v>
      </c>
      <c r="K862" s="1172"/>
      <c r="L862" s="1173"/>
      <c r="M862" s="1172"/>
      <c r="N862" s="1172"/>
      <c r="O862" s="1172"/>
      <c r="P862" s="1174"/>
      <c r="Q862" s="1175"/>
      <c r="R862" s="1172"/>
      <c r="S862" s="1172"/>
      <c r="T862" s="1172">
        <f>1880712+361437</f>
        <v>2242149</v>
      </c>
      <c r="U862" s="1172"/>
      <c r="V862" s="1172"/>
      <c r="W862" s="1172"/>
      <c r="X862" s="1176"/>
    </row>
    <row r="863" spans="1:24" ht="33" customHeight="1" x14ac:dyDescent="0.2">
      <c r="A863" s="2052" t="s">
        <v>2695</v>
      </c>
      <c r="B863" s="2054" t="s">
        <v>2974</v>
      </c>
      <c r="C863" s="2056" t="s">
        <v>2975</v>
      </c>
      <c r="D863" s="1170" t="s">
        <v>188</v>
      </c>
      <c r="E863" s="1462" t="s">
        <v>2458</v>
      </c>
      <c r="F863" s="1462" t="s">
        <v>2457</v>
      </c>
      <c r="G863" s="1311" t="s">
        <v>1829</v>
      </c>
      <c r="H863" s="1172"/>
      <c r="I863" s="1172"/>
      <c r="J863" s="1172"/>
      <c r="K863" s="1172"/>
      <c r="L863" s="1173"/>
      <c r="M863" s="1172"/>
      <c r="N863" s="1172"/>
      <c r="O863" s="1172"/>
      <c r="P863" s="1174"/>
      <c r="Q863" s="1175"/>
      <c r="R863" s="1172"/>
      <c r="S863" s="1172"/>
      <c r="T863" s="1172">
        <v>30000000</v>
      </c>
      <c r="U863" s="1172"/>
      <c r="V863" s="1172"/>
      <c r="W863" s="1172"/>
      <c r="X863" s="1176"/>
    </row>
    <row r="864" spans="1:24" ht="33" customHeight="1" x14ac:dyDescent="0.2">
      <c r="A864" s="2053"/>
      <c r="B864" s="2055"/>
      <c r="C864" s="2057"/>
      <c r="D864" s="1170" t="s">
        <v>195</v>
      </c>
      <c r="E864" s="1462" t="s">
        <v>74</v>
      </c>
      <c r="F864" s="1462" t="s">
        <v>1870</v>
      </c>
      <c r="G864" s="1311" t="s">
        <v>1829</v>
      </c>
      <c r="H864" s="1172"/>
      <c r="I864" s="1172"/>
      <c r="J864" s="1172"/>
      <c r="K864" s="1172"/>
      <c r="L864" s="1173">
        <v>30000000</v>
      </c>
      <c r="M864" s="1172"/>
      <c r="N864" s="1172"/>
      <c r="O864" s="1172"/>
      <c r="P864" s="1174"/>
      <c r="Q864" s="1175"/>
      <c r="R864" s="1172"/>
      <c r="S864" s="1172"/>
      <c r="T864" s="1172"/>
      <c r="U864" s="1172"/>
      <c r="V864" s="1172"/>
      <c r="W864" s="1172"/>
      <c r="X864" s="1176"/>
    </row>
    <row r="865" spans="1:24" ht="22.5" customHeight="1" x14ac:dyDescent="0.2">
      <c r="A865" s="2052" t="s">
        <v>2697</v>
      </c>
      <c r="B865" s="2054" t="s">
        <v>2977</v>
      </c>
      <c r="C865" s="2056" t="s">
        <v>2978</v>
      </c>
      <c r="D865" s="1170" t="s">
        <v>188</v>
      </c>
      <c r="E865" s="1462" t="s">
        <v>542</v>
      </c>
      <c r="F865" s="1462" t="s">
        <v>447</v>
      </c>
      <c r="G865" s="1311" t="s">
        <v>1828</v>
      </c>
      <c r="H865" s="1172"/>
      <c r="I865" s="1172"/>
      <c r="J865" s="1172">
        <f>-483500-130545</f>
        <v>-614045</v>
      </c>
      <c r="K865" s="1172"/>
      <c r="L865" s="1173"/>
      <c r="M865" s="1172"/>
      <c r="N865" s="1172"/>
      <c r="O865" s="1172"/>
      <c r="P865" s="1174"/>
      <c r="Q865" s="1175"/>
      <c r="R865" s="1172"/>
      <c r="S865" s="1172"/>
      <c r="T865" s="1172"/>
      <c r="U865" s="1172"/>
      <c r="V865" s="1172"/>
      <c r="W865" s="1172"/>
      <c r="X865" s="1176"/>
    </row>
    <row r="866" spans="1:24" ht="22.5" customHeight="1" x14ac:dyDescent="0.2">
      <c r="A866" s="2053"/>
      <c r="B866" s="2055"/>
      <c r="C866" s="2057"/>
      <c r="D866" s="1170" t="s">
        <v>193</v>
      </c>
      <c r="E866" s="1462" t="s">
        <v>542</v>
      </c>
      <c r="F866" s="1462" t="s">
        <v>447</v>
      </c>
      <c r="G866" s="1311" t="s">
        <v>1829</v>
      </c>
      <c r="H866" s="1172"/>
      <c r="I866" s="1172"/>
      <c r="J866" s="1172"/>
      <c r="K866" s="1172"/>
      <c r="L866" s="1173"/>
      <c r="M866" s="1172">
        <f>483500+130545</f>
        <v>614045</v>
      </c>
      <c r="N866" s="1172"/>
      <c r="O866" s="1172"/>
      <c r="P866" s="1174"/>
      <c r="Q866" s="1175"/>
      <c r="R866" s="1172"/>
      <c r="S866" s="1172"/>
      <c r="T866" s="1172"/>
      <c r="U866" s="1172"/>
      <c r="V866" s="1172"/>
      <c r="W866" s="1172"/>
      <c r="X866" s="1176"/>
    </row>
    <row r="867" spans="1:24" ht="33" customHeight="1" x14ac:dyDescent="0.2">
      <c r="A867" s="1491" t="s">
        <v>2699</v>
      </c>
      <c r="B867" s="1490" t="s">
        <v>2980</v>
      </c>
      <c r="C867" s="1631" t="s">
        <v>2981</v>
      </c>
      <c r="D867" s="1170" t="s">
        <v>188</v>
      </c>
      <c r="E867" s="1462" t="s">
        <v>64</v>
      </c>
      <c r="F867" s="1462" t="s">
        <v>526</v>
      </c>
      <c r="G867" s="1311" t="s">
        <v>1837</v>
      </c>
      <c r="H867" s="1172">
        <f>-200000+200000</f>
        <v>0</v>
      </c>
      <c r="I867" s="1172"/>
      <c r="J867" s="1172"/>
      <c r="K867" s="1172"/>
      <c r="L867" s="1173"/>
      <c r="M867" s="1172"/>
      <c r="N867" s="1172"/>
      <c r="O867" s="1172"/>
      <c r="P867" s="1174"/>
      <c r="Q867" s="1175"/>
      <c r="R867" s="1172"/>
      <c r="S867" s="1172"/>
      <c r="T867" s="1172"/>
      <c r="U867" s="1172"/>
      <c r="V867" s="1172"/>
      <c r="W867" s="1172"/>
      <c r="X867" s="1176"/>
    </row>
    <row r="868" spans="1:24" ht="27.75" customHeight="1" x14ac:dyDescent="0.2">
      <c r="A868" s="2052" t="s">
        <v>2701</v>
      </c>
      <c r="B868" s="2054" t="s">
        <v>2982</v>
      </c>
      <c r="C868" s="2056" t="s">
        <v>2983</v>
      </c>
      <c r="D868" s="1170" t="s">
        <v>195</v>
      </c>
      <c r="E868" s="1462" t="s">
        <v>74</v>
      </c>
      <c r="F868" s="1462" t="s">
        <v>1870</v>
      </c>
      <c r="G868" s="1311" t="s">
        <v>1828</v>
      </c>
      <c r="H868" s="1172"/>
      <c r="I868" s="1172"/>
      <c r="J868" s="1172"/>
      <c r="K868" s="1172"/>
      <c r="L868" s="1173">
        <v>-10160000</v>
      </c>
      <c r="M868" s="1172"/>
      <c r="N868" s="1172"/>
      <c r="O868" s="1172"/>
      <c r="P868" s="1174"/>
      <c r="Q868" s="1175"/>
      <c r="R868" s="1172"/>
      <c r="S868" s="1172"/>
      <c r="T868" s="1172"/>
      <c r="U868" s="1172"/>
      <c r="V868" s="1172"/>
      <c r="W868" s="1172"/>
      <c r="X868" s="1176"/>
    </row>
    <row r="869" spans="1:24" ht="27.75" customHeight="1" x14ac:dyDescent="0.2">
      <c r="A869" s="2053"/>
      <c r="B869" s="2055"/>
      <c r="C869" s="2057"/>
      <c r="D869" s="1170" t="s">
        <v>188</v>
      </c>
      <c r="E869" s="1462" t="s">
        <v>131</v>
      </c>
      <c r="F869" s="1462" t="s">
        <v>1902</v>
      </c>
      <c r="G869" s="1311" t="s">
        <v>1829</v>
      </c>
      <c r="H869" s="1172"/>
      <c r="I869" s="1172"/>
      <c r="J869" s="1172">
        <f>8000000+2160000</f>
        <v>10160000</v>
      </c>
      <c r="K869" s="1172"/>
      <c r="L869" s="1173"/>
      <c r="M869" s="1172"/>
      <c r="N869" s="1172"/>
      <c r="O869" s="1172"/>
      <c r="P869" s="1174"/>
      <c r="Q869" s="1175"/>
      <c r="R869" s="1172"/>
      <c r="S869" s="1172"/>
      <c r="T869" s="1172"/>
      <c r="U869" s="1172"/>
      <c r="V869" s="1172"/>
      <c r="W869" s="1172"/>
      <c r="X869" s="1176"/>
    </row>
    <row r="870" spans="1:24" ht="28.5" customHeight="1" x14ac:dyDescent="0.2">
      <c r="A870" s="2052" t="s">
        <v>2703</v>
      </c>
      <c r="B870" s="2054" t="s">
        <v>2984</v>
      </c>
      <c r="C870" s="2056" t="s">
        <v>2985</v>
      </c>
      <c r="D870" s="1170" t="s">
        <v>195</v>
      </c>
      <c r="E870" s="1462" t="s">
        <v>74</v>
      </c>
      <c r="F870" s="1462" t="s">
        <v>1870</v>
      </c>
      <c r="G870" s="1311" t="s">
        <v>1828</v>
      </c>
      <c r="H870" s="1172"/>
      <c r="I870" s="1172"/>
      <c r="J870" s="1172"/>
      <c r="K870" s="1172"/>
      <c r="L870" s="1173">
        <v>-1150000</v>
      </c>
      <c r="M870" s="1172"/>
      <c r="N870" s="1172"/>
      <c r="O870" s="1172"/>
      <c r="P870" s="1174"/>
      <c r="Q870" s="1175"/>
      <c r="R870" s="1172"/>
      <c r="S870" s="1172"/>
      <c r="T870" s="1172"/>
      <c r="U870" s="1172"/>
      <c r="V870" s="1172"/>
      <c r="W870" s="1172"/>
      <c r="X870" s="1176"/>
    </row>
    <row r="871" spans="1:24" ht="28.5" customHeight="1" x14ac:dyDescent="0.2">
      <c r="A871" s="2053"/>
      <c r="B871" s="2055"/>
      <c r="C871" s="2057"/>
      <c r="D871" s="1170" t="s">
        <v>188</v>
      </c>
      <c r="E871" s="1462" t="s">
        <v>2987</v>
      </c>
      <c r="F871" s="1462" t="s">
        <v>2986</v>
      </c>
      <c r="G871" s="1311" t="s">
        <v>1829</v>
      </c>
      <c r="H871" s="1172"/>
      <c r="I871" s="1172"/>
      <c r="J871" s="1172">
        <v>1150000</v>
      </c>
      <c r="K871" s="1172"/>
      <c r="L871" s="1173"/>
      <c r="M871" s="1172"/>
      <c r="N871" s="1172"/>
      <c r="O871" s="1172"/>
      <c r="P871" s="1174"/>
      <c r="Q871" s="1175"/>
      <c r="R871" s="1172"/>
      <c r="S871" s="1172"/>
      <c r="T871" s="1172"/>
      <c r="U871" s="1172"/>
      <c r="V871" s="1172"/>
      <c r="W871" s="1172"/>
      <c r="X871" s="1176"/>
    </row>
    <row r="872" spans="1:24" ht="27.75" customHeight="1" x14ac:dyDescent="0.2">
      <c r="A872" s="1491"/>
      <c r="B872" s="1490"/>
      <c r="C872" s="1631" t="s">
        <v>2956</v>
      </c>
      <c r="D872" s="1170" t="s">
        <v>197</v>
      </c>
      <c r="E872" s="1462" t="s">
        <v>1288</v>
      </c>
      <c r="F872" s="1462" t="s">
        <v>535</v>
      </c>
      <c r="G872" s="1311" t="s">
        <v>1837</v>
      </c>
      <c r="H872" s="1172"/>
      <c r="I872" s="1172"/>
      <c r="J872" s="1172"/>
      <c r="K872" s="1172"/>
      <c r="L872" s="1173"/>
      <c r="M872" s="1172"/>
      <c r="N872" s="1172"/>
      <c r="O872" s="1172"/>
      <c r="P872" s="1174">
        <f>-25400+25400</f>
        <v>0</v>
      </c>
      <c r="Q872" s="1175"/>
      <c r="R872" s="1172"/>
      <c r="S872" s="1172"/>
      <c r="T872" s="1172"/>
      <c r="U872" s="1172"/>
      <c r="V872" s="1172"/>
      <c r="W872" s="1172"/>
      <c r="X872" s="1176"/>
    </row>
    <row r="873" spans="1:24" ht="63.75" customHeight="1" x14ac:dyDescent="0.2">
      <c r="A873" s="1491" t="s">
        <v>2705</v>
      </c>
      <c r="B873" s="1490" t="s">
        <v>2990</v>
      </c>
      <c r="C873" s="1631" t="s">
        <v>2991</v>
      </c>
      <c r="D873" s="1170" t="s">
        <v>188</v>
      </c>
      <c r="E873" s="1462" t="s">
        <v>2137</v>
      </c>
      <c r="F873" s="1462" t="s">
        <v>2136</v>
      </c>
      <c r="G873" s="1311" t="s">
        <v>1837</v>
      </c>
      <c r="H873" s="1172">
        <v>5400000</v>
      </c>
      <c r="I873" s="1172"/>
      <c r="J873" s="1172">
        <f>-10600000+300000+4000000+900000</f>
        <v>-5400000</v>
      </c>
      <c r="K873" s="1172"/>
      <c r="L873" s="1173"/>
      <c r="M873" s="1172"/>
      <c r="N873" s="1172"/>
      <c r="O873" s="1172"/>
      <c r="P873" s="1174"/>
      <c r="Q873" s="1175"/>
      <c r="R873" s="1172"/>
      <c r="S873" s="1172"/>
      <c r="T873" s="1172"/>
      <c r="U873" s="1172"/>
      <c r="V873" s="1172"/>
      <c r="W873" s="1172"/>
      <c r="X873" s="1176"/>
    </row>
    <row r="874" spans="1:24" ht="50.25" customHeight="1" x14ac:dyDescent="0.2">
      <c r="A874" s="1491" t="s">
        <v>2708</v>
      </c>
      <c r="B874" s="1490" t="s">
        <v>2992</v>
      </c>
      <c r="C874" s="1631" t="s">
        <v>2993</v>
      </c>
      <c r="D874" s="1170" t="s">
        <v>188</v>
      </c>
      <c r="E874" s="1462" t="s">
        <v>1985</v>
      </c>
      <c r="F874" s="1462" t="s">
        <v>1984</v>
      </c>
      <c r="G874" s="1311" t="s">
        <v>1837</v>
      </c>
      <c r="H874" s="1172">
        <v>20000</v>
      </c>
      <c r="I874" s="1172"/>
      <c r="J874" s="1172">
        <f>-220000+200000</f>
        <v>-20000</v>
      </c>
      <c r="K874" s="1172"/>
      <c r="L874" s="1173"/>
      <c r="M874" s="1172"/>
      <c r="N874" s="1172"/>
      <c r="O874" s="1172"/>
      <c r="P874" s="1174"/>
      <c r="Q874" s="1175"/>
      <c r="R874" s="1172"/>
      <c r="S874" s="1172"/>
      <c r="T874" s="1172"/>
      <c r="U874" s="1172"/>
      <c r="V874" s="1172"/>
      <c r="W874" s="1172"/>
      <c r="X874" s="1176"/>
    </row>
    <row r="875" spans="1:24" ht="25.5" customHeight="1" x14ac:dyDescent="0.2">
      <c r="A875" s="2052" t="s">
        <v>2711</v>
      </c>
      <c r="B875" s="2054" t="s">
        <v>2997</v>
      </c>
      <c r="C875" s="2056" t="s">
        <v>2998</v>
      </c>
      <c r="D875" s="1170" t="s">
        <v>195</v>
      </c>
      <c r="E875" s="1462" t="s">
        <v>74</v>
      </c>
      <c r="F875" s="1462" t="s">
        <v>1870</v>
      </c>
      <c r="G875" s="1311" t="s">
        <v>1828</v>
      </c>
      <c r="H875" s="1172"/>
      <c r="I875" s="1172"/>
      <c r="J875" s="1172"/>
      <c r="K875" s="1172"/>
      <c r="L875" s="1173">
        <v>-6639395</v>
      </c>
      <c r="M875" s="1172"/>
      <c r="N875" s="1172"/>
      <c r="O875" s="1172"/>
      <c r="P875" s="1174"/>
      <c r="Q875" s="1175"/>
      <c r="R875" s="1172"/>
      <c r="S875" s="1172"/>
      <c r="T875" s="1172"/>
      <c r="U875" s="1172"/>
      <c r="V875" s="1172"/>
      <c r="W875" s="1172"/>
      <c r="X875" s="1176"/>
    </row>
    <row r="876" spans="1:24" ht="25.5" customHeight="1" x14ac:dyDescent="0.2">
      <c r="A876" s="2053"/>
      <c r="B876" s="2055"/>
      <c r="C876" s="2057"/>
      <c r="D876" s="1170" t="s">
        <v>193</v>
      </c>
      <c r="E876" s="1462" t="s">
        <v>620</v>
      </c>
      <c r="F876" s="1462" t="s">
        <v>134</v>
      </c>
      <c r="G876" s="1311" t="s">
        <v>1829</v>
      </c>
      <c r="H876" s="1172"/>
      <c r="I876" s="1172"/>
      <c r="J876" s="1172"/>
      <c r="K876" s="1172"/>
      <c r="L876" s="1173"/>
      <c r="M876" s="1172">
        <f>5227870+1411525</f>
        <v>6639395</v>
      </c>
      <c r="N876" s="1172"/>
      <c r="O876" s="1172"/>
      <c r="P876" s="1174"/>
      <c r="Q876" s="1175"/>
      <c r="R876" s="1172"/>
      <c r="S876" s="1172"/>
      <c r="T876" s="1172"/>
      <c r="U876" s="1172"/>
      <c r="V876" s="1172"/>
      <c r="W876" s="1172"/>
      <c r="X876" s="1176"/>
    </row>
    <row r="877" spans="1:24" ht="29.25" customHeight="1" x14ac:dyDescent="0.2">
      <c r="A877" s="2052" t="s">
        <v>2713</v>
      </c>
      <c r="B877" s="2054" t="s">
        <v>3000</v>
      </c>
      <c r="C877" s="2056" t="s">
        <v>3001</v>
      </c>
      <c r="D877" s="1170" t="s">
        <v>198</v>
      </c>
      <c r="E877" s="1462" t="s">
        <v>1375</v>
      </c>
      <c r="F877" s="1462" t="s">
        <v>1878</v>
      </c>
      <c r="G877" s="1311" t="s">
        <v>1829</v>
      </c>
      <c r="H877" s="1172"/>
      <c r="I877" s="1172"/>
      <c r="J877" s="1172"/>
      <c r="K877" s="1172"/>
      <c r="L877" s="1173"/>
      <c r="M877" s="1172"/>
      <c r="N877" s="1172"/>
      <c r="O877" s="1172"/>
      <c r="P877" s="1174"/>
      <c r="Q877" s="1175">
        <v>2549064</v>
      </c>
      <c r="R877" s="1172"/>
      <c r="S877" s="1172"/>
      <c r="T877" s="1172"/>
      <c r="U877" s="1172"/>
      <c r="V877" s="1172"/>
      <c r="W877" s="1172"/>
      <c r="X877" s="1176"/>
    </row>
    <row r="878" spans="1:24" ht="29.25" customHeight="1" x14ac:dyDescent="0.2">
      <c r="A878" s="2053"/>
      <c r="B878" s="2055"/>
      <c r="C878" s="2057"/>
      <c r="D878" s="1170" t="s">
        <v>195</v>
      </c>
      <c r="E878" s="1462" t="s">
        <v>74</v>
      </c>
      <c r="F878" s="1462" t="s">
        <v>1870</v>
      </c>
      <c r="G878" s="1311" t="s">
        <v>1829</v>
      </c>
      <c r="H878" s="1172"/>
      <c r="I878" s="1172"/>
      <c r="J878" s="1172"/>
      <c r="K878" s="1172"/>
      <c r="L878" s="1173">
        <v>2549064</v>
      </c>
      <c r="M878" s="1172"/>
      <c r="N878" s="1172"/>
      <c r="O878" s="1172"/>
      <c r="P878" s="1174"/>
      <c r="Q878" s="1175"/>
      <c r="R878" s="1172"/>
      <c r="S878" s="1172"/>
      <c r="T878" s="1172"/>
      <c r="U878" s="1172"/>
      <c r="V878" s="1172"/>
      <c r="W878" s="1172"/>
      <c r="X878" s="1176"/>
    </row>
    <row r="879" spans="1:24" ht="21.75" customHeight="1" x14ac:dyDescent="0.2">
      <c r="A879" s="2052" t="s">
        <v>2718</v>
      </c>
      <c r="B879" s="2054" t="s">
        <v>3002</v>
      </c>
      <c r="C879" s="2056" t="s">
        <v>3004</v>
      </c>
      <c r="D879" s="1170" t="s">
        <v>188</v>
      </c>
      <c r="E879" s="1462" t="s">
        <v>1399</v>
      </c>
      <c r="F879" s="1462" t="s">
        <v>1389</v>
      </c>
      <c r="G879" s="1311" t="s">
        <v>1829</v>
      </c>
      <c r="H879" s="1172"/>
      <c r="I879" s="1172"/>
      <c r="J879" s="1172"/>
      <c r="K879" s="1172"/>
      <c r="L879" s="1173"/>
      <c r="M879" s="1172"/>
      <c r="N879" s="1172"/>
      <c r="O879" s="1172"/>
      <c r="P879" s="1174"/>
      <c r="Q879" s="1175"/>
      <c r="R879" s="1172"/>
      <c r="S879" s="1172">
        <f>135582709+1409809603+5154263</f>
        <v>1550546575</v>
      </c>
      <c r="T879" s="1172"/>
      <c r="U879" s="1172"/>
      <c r="V879" s="1172"/>
      <c r="W879" s="1172"/>
      <c r="X879" s="1176"/>
    </row>
    <row r="880" spans="1:24" ht="21.75" customHeight="1" x14ac:dyDescent="0.2">
      <c r="A880" s="2061"/>
      <c r="B880" s="2060"/>
      <c r="C880" s="2065"/>
      <c r="D880" s="1170" t="s">
        <v>195</v>
      </c>
      <c r="E880" s="1462" t="s">
        <v>74</v>
      </c>
      <c r="F880" s="1462" t="s">
        <v>1870</v>
      </c>
      <c r="G880" s="1311" t="s">
        <v>1829</v>
      </c>
      <c r="H880" s="1172"/>
      <c r="I880" s="1172"/>
      <c r="J880" s="1172"/>
      <c r="K880" s="1172"/>
      <c r="L880" s="1173">
        <v>1330512270</v>
      </c>
      <c r="M880" s="1172"/>
      <c r="N880" s="1172"/>
      <c r="O880" s="1172"/>
      <c r="P880" s="1174"/>
      <c r="Q880" s="1175"/>
      <c r="R880" s="1172"/>
      <c r="S880" s="1172"/>
      <c r="T880" s="1172"/>
      <c r="U880" s="1172"/>
      <c r="V880" s="1172"/>
      <c r="W880" s="1172"/>
      <c r="X880" s="1176"/>
    </row>
    <row r="881" spans="1:24" ht="21.75" customHeight="1" x14ac:dyDescent="0.2">
      <c r="A881" s="2053"/>
      <c r="B881" s="2055"/>
      <c r="C881" s="2057"/>
      <c r="D881" s="1170" t="s">
        <v>195</v>
      </c>
      <c r="E881" s="1462" t="s">
        <v>74</v>
      </c>
      <c r="F881" s="1462" t="s">
        <v>1870</v>
      </c>
      <c r="G881" s="1311" t="s">
        <v>1829</v>
      </c>
      <c r="H881" s="1172"/>
      <c r="I881" s="1172"/>
      <c r="J881" s="1172"/>
      <c r="K881" s="1172"/>
      <c r="L881" s="1173">
        <v>220034305</v>
      </c>
      <c r="M881" s="1172"/>
      <c r="N881" s="1172"/>
      <c r="O881" s="1172"/>
      <c r="P881" s="1174"/>
      <c r="Q881" s="1175"/>
      <c r="R881" s="1172"/>
      <c r="S881" s="1172"/>
      <c r="T881" s="1172"/>
      <c r="U881" s="1172"/>
      <c r="V881" s="1172"/>
      <c r="W881" s="1172"/>
      <c r="X881" s="1176"/>
    </row>
    <row r="882" spans="1:24" ht="56.25" customHeight="1" x14ac:dyDescent="0.2">
      <c r="A882" s="1494" t="s">
        <v>2719</v>
      </c>
      <c r="B882" s="1493" t="s">
        <v>3005</v>
      </c>
      <c r="C882" s="1492" t="s">
        <v>3006</v>
      </c>
      <c r="D882" s="1170" t="s">
        <v>188</v>
      </c>
      <c r="E882" s="1462" t="s">
        <v>131</v>
      </c>
      <c r="F882" s="1462" t="s">
        <v>1883</v>
      </c>
      <c r="G882" s="1311" t="s">
        <v>1837</v>
      </c>
      <c r="H882" s="1172"/>
      <c r="I882" s="1172"/>
      <c r="J882" s="1172">
        <f>-2000000+2000000</f>
        <v>0</v>
      </c>
      <c r="K882" s="1172"/>
      <c r="L882" s="1173"/>
      <c r="M882" s="1172"/>
      <c r="N882" s="1172"/>
      <c r="O882" s="1172"/>
      <c r="P882" s="1174"/>
      <c r="Q882" s="1175"/>
      <c r="R882" s="1172"/>
      <c r="S882" s="1172"/>
      <c r="T882" s="1172"/>
      <c r="U882" s="1172"/>
      <c r="V882" s="1172"/>
      <c r="W882" s="1172"/>
      <c r="X882" s="1176"/>
    </row>
    <row r="883" spans="1:24" ht="24.75" customHeight="1" x14ac:dyDescent="0.2">
      <c r="A883" s="2068" t="s">
        <v>2721</v>
      </c>
      <c r="B883" s="2067" t="s">
        <v>3014</v>
      </c>
      <c r="C883" s="2087" t="s">
        <v>3010</v>
      </c>
      <c r="D883" s="1170" t="s">
        <v>188</v>
      </c>
      <c r="E883" s="1462" t="s">
        <v>813</v>
      </c>
      <c r="F883" s="1462" t="s">
        <v>1897</v>
      </c>
      <c r="G883" s="1311" t="s">
        <v>1828</v>
      </c>
      <c r="H883" s="1172"/>
      <c r="I883" s="1172"/>
      <c r="J883" s="1172">
        <f>-289600-78192</f>
        <v>-367792</v>
      </c>
      <c r="K883" s="1172"/>
      <c r="L883" s="1173"/>
      <c r="M883" s="1172"/>
      <c r="N883" s="1172"/>
      <c r="O883" s="1172"/>
      <c r="P883" s="1174"/>
      <c r="Q883" s="1175"/>
      <c r="R883" s="1172"/>
      <c r="S883" s="1172"/>
      <c r="T883" s="1172"/>
      <c r="U883" s="1172"/>
      <c r="V883" s="1172"/>
      <c r="W883" s="1172"/>
      <c r="X883" s="1176"/>
    </row>
    <row r="884" spans="1:24" ht="24.75" customHeight="1" x14ac:dyDescent="0.2">
      <c r="A884" s="2068"/>
      <c r="B884" s="2067"/>
      <c r="C884" s="2087"/>
      <c r="D884" s="1170" t="s">
        <v>188</v>
      </c>
      <c r="E884" s="1462" t="s">
        <v>1971</v>
      </c>
      <c r="F884" s="1462" t="s">
        <v>3011</v>
      </c>
      <c r="G884" s="1311" t="s">
        <v>1829</v>
      </c>
      <c r="H884" s="1172"/>
      <c r="I884" s="1172"/>
      <c r="J884" s="1172">
        <f>289600+78192</f>
        <v>367792</v>
      </c>
      <c r="K884" s="1172"/>
      <c r="L884" s="1173"/>
      <c r="M884" s="1172"/>
      <c r="N884" s="1172"/>
      <c r="O884" s="1172"/>
      <c r="P884" s="1174"/>
      <c r="Q884" s="1175"/>
      <c r="R884" s="1172"/>
      <c r="S884" s="1172"/>
      <c r="T884" s="1172"/>
      <c r="U884" s="1172"/>
      <c r="V884" s="1172"/>
      <c r="W884" s="1172"/>
      <c r="X884" s="1176"/>
    </row>
    <row r="885" spans="1:24" ht="21.75" customHeight="1" x14ac:dyDescent="0.2">
      <c r="A885" s="1635"/>
      <c r="B885" s="1637"/>
      <c r="C885" s="1563"/>
      <c r="D885" s="1170"/>
      <c r="E885" s="1462"/>
      <c r="F885" s="1462"/>
      <c r="G885" s="1311"/>
      <c r="H885" s="1172"/>
      <c r="I885" s="1172"/>
      <c r="J885" s="1172"/>
      <c r="K885" s="1172"/>
      <c r="L885" s="1173"/>
      <c r="M885" s="1172"/>
      <c r="N885" s="1172"/>
      <c r="O885" s="1172"/>
      <c r="P885" s="1174"/>
      <c r="Q885" s="1175"/>
      <c r="R885" s="1172"/>
      <c r="S885" s="1172"/>
      <c r="T885" s="1172"/>
      <c r="U885" s="1172"/>
      <c r="V885" s="1172"/>
      <c r="W885" s="1172"/>
      <c r="X885" s="1176"/>
    </row>
    <row r="886" spans="1:24" ht="18.75" x14ac:dyDescent="0.3">
      <c r="A886" s="2082" t="s">
        <v>1749</v>
      </c>
      <c r="B886" s="2083"/>
      <c r="C886" s="2084"/>
      <c r="D886" s="1179"/>
      <c r="E886" s="1179"/>
      <c r="F886" s="1179"/>
      <c r="G886" s="1179"/>
      <c r="H886" s="1365">
        <f>SUM(H621:H885)+H604</f>
        <v>42727780</v>
      </c>
      <c r="I886" s="1365">
        <f t="shared" ref="I886:X886" si="2">SUM(I621:I885)+I604</f>
        <v>4863045</v>
      </c>
      <c r="J886" s="1365">
        <f t="shared" si="2"/>
        <v>648056906</v>
      </c>
      <c r="K886" s="1365">
        <f t="shared" si="2"/>
        <v>0</v>
      </c>
      <c r="L886" s="1365">
        <f t="shared" si="2"/>
        <v>1173190149</v>
      </c>
      <c r="M886" s="1365">
        <f t="shared" si="2"/>
        <v>662181607</v>
      </c>
      <c r="N886" s="1365">
        <f t="shared" si="2"/>
        <v>172894594</v>
      </c>
      <c r="O886" s="1365">
        <f t="shared" si="2"/>
        <v>9948750</v>
      </c>
      <c r="P886" s="1366">
        <f t="shared" si="2"/>
        <v>423097199</v>
      </c>
      <c r="Q886" s="1367">
        <f t="shared" si="2"/>
        <v>301014732</v>
      </c>
      <c r="R886" s="1365">
        <f t="shared" si="2"/>
        <v>314960630</v>
      </c>
      <c r="S886" s="1365">
        <f t="shared" si="2"/>
        <v>1571558820</v>
      </c>
      <c r="T886" s="1365">
        <f t="shared" si="2"/>
        <v>266997511</v>
      </c>
      <c r="U886" s="1365">
        <f t="shared" si="2"/>
        <v>720000</v>
      </c>
      <c r="V886" s="1365">
        <f t="shared" si="2"/>
        <v>0</v>
      </c>
      <c r="W886" s="1365">
        <f t="shared" si="2"/>
        <v>968750</v>
      </c>
      <c r="X886" s="1366">
        <f t="shared" si="2"/>
        <v>680739587</v>
      </c>
    </row>
    <row r="887" spans="1:24" ht="17.25" customHeight="1" x14ac:dyDescent="0.2">
      <c r="A887" s="1144"/>
      <c r="B887" s="1144"/>
      <c r="C887" s="1183"/>
      <c r="D887" s="1184"/>
      <c r="E887" s="1184"/>
      <c r="F887" s="1184"/>
      <c r="G887" s="1184"/>
      <c r="H887" s="1185"/>
      <c r="I887" s="1185"/>
      <c r="J887" s="1185"/>
      <c r="K887" s="1185"/>
      <c r="L887" s="1185"/>
      <c r="M887" s="1185"/>
      <c r="N887" s="1185"/>
      <c r="O887" s="1185"/>
      <c r="P887" s="1185"/>
      <c r="Q887" s="1185"/>
      <c r="R887" s="1185"/>
      <c r="S887" s="1185"/>
      <c r="T887" s="1185"/>
      <c r="U887" s="1185"/>
      <c r="V887" s="1185"/>
      <c r="W887" s="1185"/>
      <c r="X887" s="1185"/>
    </row>
    <row r="888" spans="1:24" ht="15" customHeight="1" x14ac:dyDescent="0.2">
      <c r="A888" s="1144"/>
      <c r="B888" s="1144"/>
      <c r="C888" s="1183"/>
      <c r="D888" s="1184"/>
      <c r="E888" s="1184"/>
      <c r="F888" s="1184"/>
      <c r="G888" s="1184"/>
      <c r="H888" s="1185"/>
      <c r="I888" s="1185"/>
      <c r="J888" s="1185"/>
      <c r="K888" s="1185"/>
      <c r="L888" s="1185"/>
      <c r="M888" s="1185"/>
      <c r="N888" s="1185"/>
      <c r="O888" s="1185"/>
      <c r="P888" s="1185"/>
      <c r="Q888" s="1185"/>
      <c r="R888" s="1185"/>
      <c r="S888" s="1185"/>
      <c r="T888" s="1185"/>
      <c r="U888" s="1185"/>
      <c r="V888" s="1185"/>
      <c r="W888" s="1185"/>
      <c r="X888" s="1185"/>
    </row>
    <row r="889" spans="1:24" ht="15" x14ac:dyDescent="0.2">
      <c r="A889" s="1186"/>
      <c r="B889" s="1186"/>
      <c r="C889" s="1187"/>
      <c r="D889" s="1188"/>
      <c r="E889" s="1188"/>
      <c r="F889" s="1188"/>
      <c r="G889" s="1188"/>
      <c r="H889" s="1189"/>
      <c r="I889" s="1189"/>
      <c r="J889" s="1189"/>
      <c r="K889" s="1189"/>
      <c r="L889" s="1189"/>
      <c r="M889" s="1189"/>
      <c r="N889" s="1189"/>
      <c r="O889" s="1189"/>
      <c r="P889" s="1189"/>
      <c r="Q889" s="1189"/>
      <c r="R889" s="1189"/>
      <c r="S889" s="1189"/>
      <c r="T889" s="1189"/>
      <c r="U889" s="1189"/>
      <c r="V889" s="1189"/>
      <c r="W889" s="1189"/>
      <c r="X889" s="1189"/>
    </row>
    <row r="890" spans="1:24" ht="15" x14ac:dyDescent="0.2">
      <c r="A890" s="1186"/>
      <c r="B890" s="1186"/>
      <c r="C890" s="1187"/>
      <c r="D890" s="1188"/>
      <c r="E890" s="1188"/>
      <c r="F890" s="1188"/>
      <c r="G890" s="1188"/>
      <c r="H890" s="1189"/>
      <c r="I890" s="1189"/>
      <c r="J890" s="1189"/>
      <c r="K890" s="1189"/>
      <c r="L890" s="1189"/>
      <c r="M890" s="1189"/>
      <c r="N890" s="1189"/>
      <c r="O890" s="1189"/>
      <c r="P890" s="1189"/>
      <c r="Q890" s="1189"/>
      <c r="R890" s="1189"/>
      <c r="S890" s="1189"/>
      <c r="T890" s="1189"/>
      <c r="U890" s="1189"/>
      <c r="V890" s="1189"/>
      <c r="W890" s="1189"/>
      <c r="X890" s="1189"/>
    </row>
    <row r="891" spans="1:24" ht="24" customHeight="1" x14ac:dyDescent="0.25">
      <c r="A891" s="1190"/>
      <c r="B891" s="1190"/>
      <c r="C891" s="1191"/>
      <c r="D891" s="1192"/>
      <c r="E891" s="1192"/>
      <c r="F891" s="1192"/>
      <c r="G891" s="1192"/>
      <c r="H891" s="1193"/>
      <c r="I891" s="2066" t="s">
        <v>1750</v>
      </c>
      <c r="J891" s="2066"/>
      <c r="K891" s="2066"/>
      <c r="L891" s="2066">
        <v>10895463186</v>
      </c>
      <c r="M891" s="2066"/>
      <c r="N891" s="1193"/>
      <c r="O891" s="1193"/>
      <c r="P891" s="1193"/>
      <c r="Q891" s="1193"/>
      <c r="R891" s="2066" t="s">
        <v>1751</v>
      </c>
      <c r="S891" s="2066"/>
      <c r="T891" s="2066"/>
      <c r="U891" s="2066">
        <v>10895463186</v>
      </c>
      <c r="V891" s="2066"/>
      <c r="W891" s="1193"/>
      <c r="X891" s="1193"/>
    </row>
    <row r="892" spans="1:24" ht="23.25" customHeight="1" x14ac:dyDescent="0.25">
      <c r="A892" s="1190"/>
      <c r="B892" s="1190"/>
      <c r="C892" s="1191"/>
      <c r="D892" s="1192"/>
      <c r="E892" s="1192"/>
      <c r="F892" s="1192"/>
      <c r="G892" s="1192"/>
      <c r="H892" s="1193"/>
      <c r="I892" s="2066" t="s">
        <v>3474</v>
      </c>
      <c r="J892" s="2066"/>
      <c r="K892" s="2066"/>
      <c r="L892" s="2066">
        <f>SUM(H887:P887)</f>
        <v>0</v>
      </c>
      <c r="M892" s="2066"/>
      <c r="N892" s="1193"/>
      <c r="O892" s="1193"/>
      <c r="P892" s="1193"/>
      <c r="Q892" s="1193"/>
      <c r="R892" s="2066" t="s">
        <v>3474</v>
      </c>
      <c r="S892" s="2066"/>
      <c r="T892" s="2066"/>
      <c r="U892" s="2066">
        <f>SUM(Q887:X887)</f>
        <v>0</v>
      </c>
      <c r="V892" s="2066"/>
      <c r="W892" s="1193"/>
      <c r="X892" s="1193"/>
    </row>
    <row r="893" spans="1:24" ht="24" customHeight="1" x14ac:dyDescent="0.25">
      <c r="A893" s="1190"/>
      <c r="B893" s="1190"/>
      <c r="C893" s="1191"/>
      <c r="D893" s="1192"/>
      <c r="E893" s="1192"/>
      <c r="F893" s="1192"/>
      <c r="G893" s="1192"/>
      <c r="H893" s="1193"/>
      <c r="I893" s="2066" t="s">
        <v>1561</v>
      </c>
      <c r="J893" s="2066"/>
      <c r="K893" s="2066"/>
      <c r="L893" s="2066">
        <f>+L891+L892</f>
        <v>10895463186</v>
      </c>
      <c r="M893" s="2066"/>
      <c r="N893" s="1193"/>
      <c r="O893" s="1193"/>
      <c r="P893" s="1193"/>
      <c r="Q893" s="1193"/>
      <c r="R893" s="2066" t="s">
        <v>1561</v>
      </c>
      <c r="S893" s="2066"/>
      <c r="T893" s="2066"/>
      <c r="U893" s="2066">
        <f>+U891+U892</f>
        <v>10895463186</v>
      </c>
      <c r="V893" s="2066"/>
      <c r="W893" s="1193"/>
      <c r="X893" s="1193"/>
    </row>
    <row r="894" spans="1:24" x14ac:dyDescent="0.2">
      <c r="A894" s="348"/>
      <c r="B894" s="348"/>
      <c r="C894" s="348"/>
      <c r="D894" s="348"/>
      <c r="E894" s="348"/>
      <c r="F894" s="348"/>
      <c r="G894" s="348"/>
      <c r="H894" s="348"/>
      <c r="I894" s="348"/>
      <c r="J894" s="348"/>
      <c r="K894" s="348"/>
      <c r="L894" s="348"/>
      <c r="M894" s="348"/>
      <c r="N894" s="348"/>
      <c r="O894" s="348"/>
      <c r="P894" s="348"/>
      <c r="Q894" s="348"/>
      <c r="R894" s="348"/>
      <c r="S894" s="348"/>
      <c r="T894" s="348"/>
      <c r="U894" s="348"/>
      <c r="V894" s="348"/>
      <c r="W894" s="348"/>
      <c r="X894" s="348"/>
    </row>
    <row r="895" spans="1:24" x14ac:dyDescent="0.2">
      <c r="A895" s="348"/>
      <c r="B895" s="348"/>
      <c r="C895" s="348"/>
      <c r="D895" s="348"/>
      <c r="E895" s="348"/>
      <c r="F895" s="348"/>
      <c r="G895" s="348"/>
      <c r="H895" s="348"/>
      <c r="I895" s="348"/>
      <c r="J895" s="348"/>
      <c r="K895" s="348"/>
      <c r="L895" s="348"/>
      <c r="M895" s="348"/>
      <c r="N895" s="348"/>
      <c r="O895" s="348"/>
      <c r="P895" s="348"/>
      <c r="Q895" s="348"/>
      <c r="R895" s="348"/>
      <c r="S895" s="348"/>
      <c r="T895" s="348"/>
      <c r="U895" s="348"/>
      <c r="V895" s="348"/>
      <c r="W895" s="348"/>
      <c r="X895" s="348"/>
    </row>
    <row r="896" spans="1:24" x14ac:dyDescent="0.2">
      <c r="A896" s="348"/>
      <c r="B896" s="348"/>
      <c r="C896" s="348"/>
      <c r="D896" s="348"/>
      <c r="E896" s="348"/>
      <c r="F896" s="348"/>
      <c r="G896" s="348"/>
      <c r="H896" s="348"/>
      <c r="I896" s="348"/>
      <c r="J896" s="348"/>
      <c r="K896" s="348"/>
      <c r="L896" s="348"/>
      <c r="M896" s="348"/>
      <c r="N896" s="348"/>
      <c r="O896" s="348"/>
      <c r="P896" s="348"/>
      <c r="Q896" s="348"/>
      <c r="R896" s="348"/>
      <c r="S896" s="348"/>
      <c r="T896" s="348"/>
      <c r="U896" s="348"/>
      <c r="V896" s="348"/>
      <c r="W896" s="348"/>
      <c r="X896" s="348"/>
    </row>
    <row r="897" spans="1:24" x14ac:dyDescent="0.2">
      <c r="A897" s="348"/>
      <c r="B897" s="348"/>
      <c r="C897" s="348"/>
      <c r="D897" s="348"/>
      <c r="E897" s="348"/>
      <c r="F897" s="348"/>
      <c r="G897" s="348"/>
      <c r="H897" s="348"/>
      <c r="I897" s="348"/>
      <c r="J897" s="348"/>
      <c r="K897" s="348"/>
      <c r="L897" s="348"/>
      <c r="M897" s="348"/>
      <c r="N897" s="348"/>
      <c r="O897" s="348"/>
      <c r="P897" s="348"/>
      <c r="Q897" s="348"/>
      <c r="R897" s="348"/>
      <c r="S897" s="348"/>
      <c r="T897" s="348"/>
      <c r="U897" s="348"/>
      <c r="V897" s="348"/>
      <c r="W897" s="348"/>
      <c r="X897" s="348"/>
    </row>
    <row r="898" spans="1:24" ht="15.75" x14ac:dyDescent="0.25">
      <c r="A898" s="2069" t="s">
        <v>3354</v>
      </c>
      <c r="B898" s="2069"/>
      <c r="C898" s="2069"/>
      <c r="D898" s="2069"/>
      <c r="E898" s="2069"/>
      <c r="F898" s="2069"/>
      <c r="G898" s="2069"/>
      <c r="H898" s="2069"/>
      <c r="I898" s="2069"/>
      <c r="J898" s="2069"/>
      <c r="K898" s="2069"/>
      <c r="L898" s="2069"/>
      <c r="M898" s="2069"/>
      <c r="N898" s="2069"/>
      <c r="O898" s="2069"/>
      <c r="P898" s="2069"/>
      <c r="Q898" s="2069"/>
      <c r="R898" s="2069"/>
      <c r="S898" s="2069"/>
      <c r="T898" s="2069"/>
      <c r="U898" s="2069"/>
      <c r="V898" s="2069"/>
      <c r="W898" s="2069"/>
      <c r="X898" s="2069"/>
    </row>
    <row r="899" spans="1:24" ht="15.75" x14ac:dyDescent="0.25">
      <c r="A899" s="1561"/>
      <c r="B899" s="1561"/>
      <c r="C899" s="1561"/>
      <c r="D899" s="1561"/>
      <c r="E899" s="1561"/>
      <c r="F899" s="1561"/>
      <c r="G899" s="1561"/>
      <c r="H899" s="1561"/>
      <c r="I899" s="1561"/>
      <c r="J899" s="1561"/>
      <c r="K899" s="1561"/>
      <c r="L899" s="1561"/>
      <c r="M899" s="1561"/>
      <c r="N899" s="1561"/>
      <c r="O899" s="1561"/>
      <c r="P899" s="1561"/>
      <c r="Q899" s="1561"/>
      <c r="R899" s="1561"/>
      <c r="S899" s="1561"/>
      <c r="T899" s="1561"/>
      <c r="U899" s="1561"/>
      <c r="V899" s="1561"/>
      <c r="W899" s="1561"/>
      <c r="X899" s="1561"/>
    </row>
    <row r="900" spans="1:24" x14ac:dyDescent="0.2">
      <c r="A900" s="1151"/>
      <c r="B900" s="1144"/>
      <c r="C900" s="1145"/>
      <c r="D900" s="1146"/>
      <c r="E900" s="1147"/>
      <c r="F900" s="1148"/>
      <c r="G900" s="1147"/>
      <c r="H900" s="1149"/>
      <c r="I900" s="1149"/>
      <c r="J900" s="1149"/>
      <c r="K900" s="1149"/>
      <c r="L900" s="1150"/>
      <c r="M900" s="1149"/>
      <c r="N900" s="1149"/>
      <c r="O900" s="1149"/>
      <c r="P900" s="1150"/>
      <c r="Q900" s="1149"/>
      <c r="R900" s="1149"/>
      <c r="S900" s="1149"/>
      <c r="T900" s="1149"/>
      <c r="U900" s="1149"/>
      <c r="V900" s="1149"/>
      <c r="W900" s="1149"/>
      <c r="X900" s="1152"/>
    </row>
    <row r="901" spans="1:24" ht="15" customHeight="1" x14ac:dyDescent="0.25">
      <c r="A901" s="2070" t="s">
        <v>37</v>
      </c>
      <c r="B901" s="2072" t="s">
        <v>1726</v>
      </c>
      <c r="C901" s="2074" t="s">
        <v>2</v>
      </c>
      <c r="D901" s="2076" t="s">
        <v>1727</v>
      </c>
      <c r="E901" s="2076" t="s">
        <v>117</v>
      </c>
      <c r="F901" s="2076" t="s">
        <v>1728</v>
      </c>
      <c r="G901" s="2076" t="s">
        <v>2643</v>
      </c>
      <c r="H901" s="2078" t="s">
        <v>1730</v>
      </c>
      <c r="I901" s="2078"/>
      <c r="J901" s="2078"/>
      <c r="K901" s="2078"/>
      <c r="L901" s="2078"/>
      <c r="M901" s="2078"/>
      <c r="N901" s="2078"/>
      <c r="O901" s="2079"/>
      <c r="P901" s="1464"/>
      <c r="Q901" s="2080" t="s">
        <v>1731</v>
      </c>
      <c r="R901" s="2078"/>
      <c r="S901" s="2078"/>
      <c r="T901" s="2078"/>
      <c r="U901" s="2078"/>
      <c r="V901" s="2078"/>
      <c r="W901" s="2078"/>
      <c r="X901" s="2081"/>
    </row>
    <row r="902" spans="1:24" ht="94.5" customHeight="1" x14ac:dyDescent="0.2">
      <c r="A902" s="2071"/>
      <c r="B902" s="2073"/>
      <c r="C902" s="2075"/>
      <c r="D902" s="2077"/>
      <c r="E902" s="2077"/>
      <c r="F902" s="2077"/>
      <c r="G902" s="2077"/>
      <c r="H902" s="1154" t="s">
        <v>1732</v>
      </c>
      <c r="I902" s="1155" t="s">
        <v>1733</v>
      </c>
      <c r="J902" s="1154" t="s">
        <v>1734</v>
      </c>
      <c r="K902" s="1154" t="s">
        <v>1735</v>
      </c>
      <c r="L902" s="1154" t="s">
        <v>1736</v>
      </c>
      <c r="M902" s="1154" t="s">
        <v>1737</v>
      </c>
      <c r="N902" s="1154" t="s">
        <v>1738</v>
      </c>
      <c r="O902" s="1156" t="s">
        <v>1739</v>
      </c>
      <c r="P902" s="1159" t="s">
        <v>1740</v>
      </c>
      <c r="Q902" s="1227" t="s">
        <v>1741</v>
      </c>
      <c r="R902" s="1155" t="s">
        <v>1742</v>
      </c>
      <c r="S902" s="1154" t="s">
        <v>1743</v>
      </c>
      <c r="T902" s="1154" t="s">
        <v>1744</v>
      </c>
      <c r="U902" s="1155" t="s">
        <v>1745</v>
      </c>
      <c r="V902" s="1155" t="s">
        <v>1746</v>
      </c>
      <c r="W902" s="1155" t="s">
        <v>1747</v>
      </c>
      <c r="X902" s="1159" t="s">
        <v>1748</v>
      </c>
    </row>
    <row r="903" spans="1:24" ht="34.5" customHeight="1" x14ac:dyDescent="0.2">
      <c r="A903" s="2086" t="s">
        <v>2724</v>
      </c>
      <c r="B903" s="2085" t="s">
        <v>3013</v>
      </c>
      <c r="C903" s="2056" t="s">
        <v>3015</v>
      </c>
      <c r="D903" s="1162" t="s">
        <v>195</v>
      </c>
      <c r="E903" s="1373" t="s">
        <v>74</v>
      </c>
      <c r="F903" s="1373" t="s">
        <v>1870</v>
      </c>
      <c r="G903" s="1163" t="s">
        <v>1828</v>
      </c>
      <c r="H903" s="1164"/>
      <c r="I903" s="1164"/>
      <c r="J903" s="1164"/>
      <c r="K903" s="1164"/>
      <c r="L903" s="1165">
        <v>-1943100</v>
      </c>
      <c r="M903" s="1164"/>
      <c r="N903" s="1164"/>
      <c r="O903" s="1164"/>
      <c r="P903" s="1203"/>
      <c r="Q903" s="1463"/>
      <c r="R903" s="1164"/>
      <c r="S903" s="1164"/>
      <c r="T903" s="1164"/>
      <c r="U903" s="1164"/>
      <c r="V903" s="1164"/>
      <c r="W903" s="1164"/>
      <c r="X903" s="1168"/>
    </row>
    <row r="904" spans="1:24" ht="34.5" customHeight="1" x14ac:dyDescent="0.2">
      <c r="A904" s="2053"/>
      <c r="B904" s="2055"/>
      <c r="C904" s="2057"/>
      <c r="D904" s="1170" t="s">
        <v>193</v>
      </c>
      <c r="E904" s="1462" t="s">
        <v>545</v>
      </c>
      <c r="F904" s="1462" t="s">
        <v>830</v>
      </c>
      <c r="G904" s="1311" t="s">
        <v>1829</v>
      </c>
      <c r="H904" s="1172"/>
      <c r="I904" s="1172"/>
      <c r="J904" s="1172"/>
      <c r="K904" s="1172"/>
      <c r="L904" s="1173"/>
      <c r="M904" s="1172">
        <f>1530000+413100</f>
        <v>1943100</v>
      </c>
      <c r="N904" s="1172"/>
      <c r="O904" s="1172"/>
      <c r="P904" s="1174"/>
      <c r="Q904" s="1175"/>
      <c r="R904" s="1172"/>
      <c r="S904" s="1172"/>
      <c r="T904" s="1172"/>
      <c r="U904" s="1172"/>
      <c r="V904" s="1172"/>
      <c r="W904" s="1172"/>
      <c r="X904" s="1176"/>
    </row>
    <row r="905" spans="1:24" ht="26.25" customHeight="1" x14ac:dyDescent="0.2">
      <c r="A905" s="2052" t="s">
        <v>2727</v>
      </c>
      <c r="B905" s="2054" t="s">
        <v>3016</v>
      </c>
      <c r="C905" s="2056" t="s">
        <v>3017</v>
      </c>
      <c r="D905" s="1170" t="s">
        <v>195</v>
      </c>
      <c r="E905" s="1462" t="s">
        <v>74</v>
      </c>
      <c r="F905" s="1462" t="s">
        <v>1870</v>
      </c>
      <c r="G905" s="1311" t="s">
        <v>1828</v>
      </c>
      <c r="H905" s="1172"/>
      <c r="I905" s="1172"/>
      <c r="J905" s="1172"/>
      <c r="K905" s="1172"/>
      <c r="L905" s="1173">
        <v>-1727200</v>
      </c>
      <c r="M905" s="1172"/>
      <c r="N905" s="1172"/>
      <c r="O905" s="1172"/>
      <c r="P905" s="1174"/>
      <c r="Q905" s="1175"/>
      <c r="R905" s="1172"/>
      <c r="S905" s="1172"/>
      <c r="T905" s="1172"/>
      <c r="U905" s="1172"/>
      <c r="V905" s="1172"/>
      <c r="W905" s="1172"/>
      <c r="X905" s="1176"/>
    </row>
    <row r="906" spans="1:24" ht="26.25" customHeight="1" x14ac:dyDescent="0.2">
      <c r="A906" s="2053"/>
      <c r="B906" s="2055"/>
      <c r="C906" s="2057"/>
      <c r="D906" s="1170" t="s">
        <v>193</v>
      </c>
      <c r="E906" s="1462" t="s">
        <v>620</v>
      </c>
      <c r="F906" s="1462" t="s">
        <v>3018</v>
      </c>
      <c r="G906" s="1311" t="s">
        <v>1829</v>
      </c>
      <c r="H906" s="1172"/>
      <c r="I906" s="1172"/>
      <c r="J906" s="1172"/>
      <c r="K906" s="1172"/>
      <c r="L906" s="1173"/>
      <c r="M906" s="1172">
        <f>1360000+367200</f>
        <v>1727200</v>
      </c>
      <c r="N906" s="1172"/>
      <c r="O906" s="1172"/>
      <c r="P906" s="1174"/>
      <c r="Q906" s="1175"/>
      <c r="R906" s="1172"/>
      <c r="S906" s="1172"/>
      <c r="T906" s="1172"/>
      <c r="U906" s="1172"/>
      <c r="V906" s="1172"/>
      <c r="W906" s="1172"/>
      <c r="X906" s="1176"/>
    </row>
    <row r="907" spans="1:24" ht="26.25" customHeight="1" x14ac:dyDescent="0.2">
      <c r="A907" s="2052" t="s">
        <v>2729</v>
      </c>
      <c r="B907" s="2054" t="s">
        <v>3019</v>
      </c>
      <c r="C907" s="2056" t="s">
        <v>3020</v>
      </c>
      <c r="D907" s="1170" t="s">
        <v>195</v>
      </c>
      <c r="E907" s="1462" t="s">
        <v>74</v>
      </c>
      <c r="F907" s="1462" t="s">
        <v>1870</v>
      </c>
      <c r="G907" s="1311" t="s">
        <v>1828</v>
      </c>
      <c r="H907" s="1172"/>
      <c r="I907" s="1172"/>
      <c r="J907" s="1172"/>
      <c r="K907" s="1172"/>
      <c r="L907" s="1173">
        <v>-58230</v>
      </c>
      <c r="M907" s="1172"/>
      <c r="N907" s="1172"/>
      <c r="O907" s="1172"/>
      <c r="P907" s="1174"/>
      <c r="Q907" s="1175"/>
      <c r="R907" s="1172"/>
      <c r="S907" s="1172"/>
      <c r="T907" s="1172"/>
      <c r="U907" s="1172"/>
      <c r="V907" s="1172"/>
      <c r="W907" s="1172"/>
      <c r="X907" s="1176"/>
    </row>
    <row r="908" spans="1:24" ht="26.25" customHeight="1" x14ac:dyDescent="0.2">
      <c r="A908" s="2053"/>
      <c r="B908" s="2055"/>
      <c r="C908" s="2057"/>
      <c r="D908" s="1170" t="s">
        <v>188</v>
      </c>
      <c r="E908" s="1462" t="s">
        <v>813</v>
      </c>
      <c r="F908" s="1462" t="s">
        <v>812</v>
      </c>
      <c r="G908" s="1311" t="s">
        <v>1829</v>
      </c>
      <c r="H908" s="1172"/>
      <c r="I908" s="1172"/>
      <c r="J908" s="1172">
        <f>45850+12380</f>
        <v>58230</v>
      </c>
      <c r="K908" s="1172"/>
      <c r="L908" s="1173"/>
      <c r="M908" s="1172"/>
      <c r="N908" s="1172"/>
      <c r="O908" s="1172"/>
      <c r="P908" s="1174"/>
      <c r="Q908" s="1175"/>
      <c r="R908" s="1172"/>
      <c r="S908" s="1172"/>
      <c r="T908" s="1172"/>
      <c r="U908" s="1172"/>
      <c r="V908" s="1172"/>
      <c r="W908" s="1172"/>
      <c r="X908" s="1176"/>
    </row>
    <row r="909" spans="1:24" ht="24" customHeight="1" x14ac:dyDescent="0.2">
      <c r="A909" s="2052" t="s">
        <v>2733</v>
      </c>
      <c r="B909" s="2054" t="s">
        <v>3021</v>
      </c>
      <c r="C909" s="2056" t="s">
        <v>3022</v>
      </c>
      <c r="D909" s="1170" t="s">
        <v>195</v>
      </c>
      <c r="E909" s="1462" t="s">
        <v>74</v>
      </c>
      <c r="F909" s="1462" t="s">
        <v>1870</v>
      </c>
      <c r="G909" s="1311" t="s">
        <v>1828</v>
      </c>
      <c r="H909" s="1172"/>
      <c r="I909" s="1172"/>
      <c r="J909" s="1172"/>
      <c r="K909" s="1172"/>
      <c r="L909" s="1173">
        <v>-1742440</v>
      </c>
      <c r="M909" s="1172"/>
      <c r="N909" s="1172"/>
      <c r="O909" s="1172"/>
      <c r="P909" s="1174"/>
      <c r="Q909" s="1175"/>
      <c r="R909" s="1172"/>
      <c r="S909" s="1172"/>
      <c r="T909" s="1172"/>
      <c r="U909" s="1172"/>
      <c r="V909" s="1172"/>
      <c r="W909" s="1172"/>
      <c r="X909" s="1176"/>
    </row>
    <row r="910" spans="1:24" ht="24" customHeight="1" x14ac:dyDescent="0.2">
      <c r="A910" s="2053"/>
      <c r="B910" s="2055"/>
      <c r="C910" s="2057"/>
      <c r="D910" s="1170" t="s">
        <v>188</v>
      </c>
      <c r="E910" s="1462" t="s">
        <v>620</v>
      </c>
      <c r="F910" s="1462" t="s">
        <v>1857</v>
      </c>
      <c r="G910" s="1311" t="s">
        <v>1829</v>
      </c>
      <c r="H910" s="1172"/>
      <c r="I910" s="1172"/>
      <c r="J910" s="1172">
        <f>1372000+370440</f>
        <v>1742440</v>
      </c>
      <c r="K910" s="1172"/>
      <c r="L910" s="1173"/>
      <c r="M910" s="1172"/>
      <c r="N910" s="1172"/>
      <c r="O910" s="1172"/>
      <c r="P910" s="1174"/>
      <c r="Q910" s="1175"/>
      <c r="R910" s="1172"/>
      <c r="S910" s="1172"/>
      <c r="T910" s="1172"/>
      <c r="U910" s="1172"/>
      <c r="V910" s="1172"/>
      <c r="W910" s="1172"/>
      <c r="X910" s="1176"/>
    </row>
    <row r="911" spans="1:24" ht="23.25" customHeight="1" x14ac:dyDescent="0.2">
      <c r="A911" s="2052" t="s">
        <v>2735</v>
      </c>
      <c r="B911" s="2054" t="s">
        <v>3023</v>
      </c>
      <c r="C911" s="2056" t="s">
        <v>3024</v>
      </c>
      <c r="D911" s="1170" t="s">
        <v>195</v>
      </c>
      <c r="E911" s="1462" t="s">
        <v>74</v>
      </c>
      <c r="F911" s="1462" t="s">
        <v>1870</v>
      </c>
      <c r="G911" s="1311" t="s">
        <v>1828</v>
      </c>
      <c r="H911" s="1172"/>
      <c r="I911" s="1172"/>
      <c r="J911" s="1172"/>
      <c r="K911" s="1172"/>
      <c r="L911" s="1173">
        <v>-7514590</v>
      </c>
      <c r="M911" s="1172"/>
      <c r="N911" s="1172"/>
      <c r="O911" s="1172"/>
      <c r="P911" s="1174"/>
      <c r="Q911" s="1175"/>
      <c r="R911" s="1172"/>
      <c r="S911" s="1172"/>
      <c r="T911" s="1172"/>
      <c r="U911" s="1172"/>
      <c r="V911" s="1172"/>
      <c r="W911" s="1172"/>
      <c r="X911" s="1176"/>
    </row>
    <row r="912" spans="1:24" ht="23.25" customHeight="1" x14ac:dyDescent="0.2">
      <c r="A912" s="2053"/>
      <c r="B912" s="2055"/>
      <c r="C912" s="2057"/>
      <c r="D912" s="1170" t="s">
        <v>188</v>
      </c>
      <c r="E912" s="1462" t="s">
        <v>620</v>
      </c>
      <c r="F912" s="1462" t="s">
        <v>1857</v>
      </c>
      <c r="G912" s="1311" t="s">
        <v>1829</v>
      </c>
      <c r="H912" s="1172"/>
      <c r="I912" s="1172"/>
      <c r="J912" s="1172">
        <f>5917000+1597590</f>
        <v>7514590</v>
      </c>
      <c r="K912" s="1172"/>
      <c r="L912" s="1173"/>
      <c r="M912" s="1172"/>
      <c r="N912" s="1172"/>
      <c r="O912" s="1172"/>
      <c r="P912" s="1174"/>
      <c r="Q912" s="1175"/>
      <c r="R912" s="1172"/>
      <c r="S912" s="1172"/>
      <c r="T912" s="1172"/>
      <c r="U912" s="1172"/>
      <c r="V912" s="1172"/>
      <c r="W912" s="1172"/>
      <c r="X912" s="1176"/>
    </row>
    <row r="913" spans="1:24" ht="22.5" customHeight="1" x14ac:dyDescent="0.2">
      <c r="A913" s="2052" t="s">
        <v>2737</v>
      </c>
      <c r="B913" s="2054" t="s">
        <v>3025</v>
      </c>
      <c r="C913" s="2056" t="s">
        <v>3026</v>
      </c>
      <c r="D913" s="1170" t="s">
        <v>188</v>
      </c>
      <c r="E913" s="1462" t="s">
        <v>1980</v>
      </c>
      <c r="F913" s="1462" t="s">
        <v>1979</v>
      </c>
      <c r="G913" s="1311" t="s">
        <v>1828</v>
      </c>
      <c r="H913" s="1172"/>
      <c r="I913" s="1172"/>
      <c r="J913" s="1172">
        <v>-600000</v>
      </c>
      <c r="K913" s="1172"/>
      <c r="L913" s="1173"/>
      <c r="M913" s="1172"/>
      <c r="N913" s="1172"/>
      <c r="O913" s="1172"/>
      <c r="P913" s="1174"/>
      <c r="Q913" s="1175"/>
      <c r="R913" s="1172"/>
      <c r="S913" s="1172"/>
      <c r="T913" s="1172"/>
      <c r="U913" s="1172"/>
      <c r="V913" s="1172"/>
      <c r="W913" s="1172"/>
      <c r="X913" s="1176"/>
    </row>
    <row r="914" spans="1:24" ht="22.5" customHeight="1" x14ac:dyDescent="0.2">
      <c r="A914" s="2053"/>
      <c r="B914" s="2055"/>
      <c r="C914" s="2057"/>
      <c r="D914" s="1170" t="s">
        <v>188</v>
      </c>
      <c r="E914" s="1462" t="s">
        <v>2129</v>
      </c>
      <c r="F914" s="1462" t="s">
        <v>2128</v>
      </c>
      <c r="G914" s="1311" t="s">
        <v>1829</v>
      </c>
      <c r="H914" s="1172"/>
      <c r="I914" s="1172"/>
      <c r="J914" s="1172">
        <v>600000</v>
      </c>
      <c r="K914" s="1172"/>
      <c r="L914" s="1173"/>
      <c r="M914" s="1172"/>
      <c r="N914" s="1172"/>
      <c r="O914" s="1172"/>
      <c r="P914" s="1174"/>
      <c r="Q914" s="1175"/>
      <c r="R914" s="1172"/>
      <c r="S914" s="1172"/>
      <c r="T914" s="1172"/>
      <c r="U914" s="1172"/>
      <c r="V914" s="1172"/>
      <c r="W914" s="1172"/>
      <c r="X914" s="1176"/>
    </row>
    <row r="915" spans="1:24" ht="29.25" customHeight="1" x14ac:dyDescent="0.2">
      <c r="A915" s="2052" t="s">
        <v>2739</v>
      </c>
      <c r="B915" s="2054" t="s">
        <v>3027</v>
      </c>
      <c r="C915" s="2056" t="s">
        <v>3028</v>
      </c>
      <c r="D915" s="1170" t="s">
        <v>195</v>
      </c>
      <c r="E915" s="1462" t="s">
        <v>74</v>
      </c>
      <c r="F915" s="1462" t="s">
        <v>1870</v>
      </c>
      <c r="G915" s="1311" t="s">
        <v>1828</v>
      </c>
      <c r="H915" s="1172"/>
      <c r="I915" s="1172"/>
      <c r="J915" s="1172"/>
      <c r="K915" s="1172"/>
      <c r="L915" s="1173">
        <v>-250000</v>
      </c>
      <c r="M915" s="1172"/>
      <c r="N915" s="1172"/>
      <c r="O915" s="1172"/>
      <c r="P915" s="1174"/>
      <c r="Q915" s="1175"/>
      <c r="R915" s="1172"/>
      <c r="S915" s="1172"/>
      <c r="T915" s="1172"/>
      <c r="U915" s="1172"/>
      <c r="V915" s="1172"/>
      <c r="W915" s="1172"/>
      <c r="X915" s="1176"/>
    </row>
    <row r="916" spans="1:24" ht="29.25" customHeight="1" x14ac:dyDescent="0.2">
      <c r="A916" s="2053"/>
      <c r="B916" s="2055"/>
      <c r="C916" s="2057"/>
      <c r="D916" s="1170" t="s">
        <v>192</v>
      </c>
      <c r="E916" s="1462" t="s">
        <v>602</v>
      </c>
      <c r="F916" s="1462" t="s">
        <v>1875</v>
      </c>
      <c r="G916" s="1311" t="s">
        <v>1829</v>
      </c>
      <c r="H916" s="1172"/>
      <c r="I916" s="1172"/>
      <c r="J916" s="1172"/>
      <c r="K916" s="1172"/>
      <c r="L916" s="1173">
        <v>250000</v>
      </c>
      <c r="M916" s="1172"/>
      <c r="N916" s="1172"/>
      <c r="O916" s="1172"/>
      <c r="P916" s="1174"/>
      <c r="Q916" s="1175"/>
      <c r="R916" s="1172"/>
      <c r="S916" s="1172"/>
      <c r="T916" s="1172"/>
      <c r="U916" s="1172"/>
      <c r="V916" s="1172"/>
      <c r="W916" s="1172"/>
      <c r="X916" s="1176"/>
    </row>
    <row r="917" spans="1:24" ht="22.5" customHeight="1" x14ac:dyDescent="0.2">
      <c r="A917" s="2052" t="s">
        <v>2741</v>
      </c>
      <c r="B917" s="2054" t="s">
        <v>3038</v>
      </c>
      <c r="C917" s="2056" t="s">
        <v>3030</v>
      </c>
      <c r="D917" s="1170" t="s">
        <v>188</v>
      </c>
      <c r="E917" s="1462" t="s">
        <v>74</v>
      </c>
      <c r="F917" s="1462" t="s">
        <v>440</v>
      </c>
      <c r="G917" s="1311" t="s">
        <v>1828</v>
      </c>
      <c r="H917" s="1172"/>
      <c r="I917" s="1172">
        <v>-1999921</v>
      </c>
      <c r="J917" s="1172"/>
      <c r="K917" s="1172"/>
      <c r="L917" s="1173"/>
      <c r="M917" s="1172"/>
      <c r="N917" s="1172"/>
      <c r="O917" s="1172"/>
      <c r="P917" s="1174"/>
      <c r="Q917" s="1175"/>
      <c r="R917" s="1172"/>
      <c r="S917" s="1172"/>
      <c r="T917" s="1172"/>
      <c r="U917" s="1172"/>
      <c r="V917" s="1172"/>
      <c r="W917" s="1172"/>
      <c r="X917" s="1176"/>
    </row>
    <row r="918" spans="1:24" ht="22.5" customHeight="1" x14ac:dyDescent="0.2">
      <c r="A918" s="2061"/>
      <c r="B918" s="2060"/>
      <c r="C918" s="2065"/>
      <c r="D918" s="1170" t="s">
        <v>188</v>
      </c>
      <c r="E918" s="1462" t="s">
        <v>590</v>
      </c>
      <c r="F918" s="1462" t="s">
        <v>442</v>
      </c>
      <c r="G918" s="1311" t="s">
        <v>1837</v>
      </c>
      <c r="H918" s="1172">
        <f>-90000+90000</f>
        <v>0</v>
      </c>
      <c r="I918" s="1172"/>
      <c r="J918" s="1172"/>
      <c r="K918" s="1172"/>
      <c r="L918" s="1173"/>
      <c r="M918" s="1172"/>
      <c r="N918" s="1172"/>
      <c r="O918" s="1172"/>
      <c r="P918" s="1174"/>
      <c r="Q918" s="1175"/>
      <c r="R918" s="1172"/>
      <c r="S918" s="1172"/>
      <c r="T918" s="1172"/>
      <c r="U918" s="1172"/>
      <c r="V918" s="1172"/>
      <c r="W918" s="1172"/>
      <c r="X918" s="1176"/>
    </row>
    <row r="919" spans="1:24" ht="22.5" customHeight="1" x14ac:dyDescent="0.2">
      <c r="A919" s="2061"/>
      <c r="B919" s="2060"/>
      <c r="C919" s="2065"/>
      <c r="D919" s="1170" t="s">
        <v>188</v>
      </c>
      <c r="E919" s="1462" t="s">
        <v>542</v>
      </c>
      <c r="F919" s="1462" t="s">
        <v>447</v>
      </c>
      <c r="G919" s="1311" t="s">
        <v>1837</v>
      </c>
      <c r="H919" s="1172">
        <f>-9000+9000</f>
        <v>0</v>
      </c>
      <c r="I919" s="1172"/>
      <c r="J919" s="1172"/>
      <c r="K919" s="1172"/>
      <c r="L919" s="1173"/>
      <c r="M919" s="1172"/>
      <c r="N919" s="1172"/>
      <c r="O919" s="1172"/>
      <c r="P919" s="1174"/>
      <c r="Q919" s="1175"/>
      <c r="R919" s="1172"/>
      <c r="S919" s="1172"/>
      <c r="T919" s="1172"/>
      <c r="U919" s="1172"/>
      <c r="V919" s="1172"/>
      <c r="W919" s="1172"/>
      <c r="X919" s="1176"/>
    </row>
    <row r="920" spans="1:24" ht="22.5" customHeight="1" x14ac:dyDescent="0.2">
      <c r="A920" s="2061"/>
      <c r="B920" s="2060"/>
      <c r="C920" s="2065"/>
      <c r="D920" s="1170" t="s">
        <v>188</v>
      </c>
      <c r="E920" s="1462" t="s">
        <v>542</v>
      </c>
      <c r="F920" s="1462" t="s">
        <v>449</v>
      </c>
      <c r="G920" s="1311" t="s">
        <v>1837</v>
      </c>
      <c r="H920" s="1172">
        <f>-49000+9000+40000</f>
        <v>0</v>
      </c>
      <c r="I920" s="1172"/>
      <c r="J920" s="1172"/>
      <c r="K920" s="1172"/>
      <c r="L920" s="1173"/>
      <c r="M920" s="1172"/>
      <c r="N920" s="1172"/>
      <c r="O920" s="1172"/>
      <c r="P920" s="1174"/>
      <c r="Q920" s="1175"/>
      <c r="R920" s="1172"/>
      <c r="S920" s="1172"/>
      <c r="T920" s="1172"/>
      <c r="U920" s="1172"/>
      <c r="V920" s="1172"/>
      <c r="W920" s="1172"/>
      <c r="X920" s="1176"/>
    </row>
    <row r="921" spans="1:24" ht="22.5" customHeight="1" x14ac:dyDescent="0.2">
      <c r="A921" s="2053"/>
      <c r="B921" s="2055"/>
      <c r="C921" s="2057"/>
      <c r="D921" s="1170" t="s">
        <v>188</v>
      </c>
      <c r="E921" s="1462" t="s">
        <v>2137</v>
      </c>
      <c r="F921" s="1462" t="s">
        <v>2136</v>
      </c>
      <c r="G921" s="1311" t="s">
        <v>1837</v>
      </c>
      <c r="H921" s="1172">
        <f>-75000+75000</f>
        <v>0</v>
      </c>
      <c r="I921" s="1172">
        <v>1999921</v>
      </c>
      <c r="J921" s="1172">
        <f>-126755+126755</f>
        <v>0</v>
      </c>
      <c r="K921" s="1172"/>
      <c r="L921" s="1173"/>
      <c r="M921" s="1172"/>
      <c r="N921" s="1172"/>
      <c r="O921" s="1172"/>
      <c r="P921" s="1174"/>
      <c r="Q921" s="1175"/>
      <c r="R921" s="1172"/>
      <c r="S921" s="1172"/>
      <c r="T921" s="1172"/>
      <c r="U921" s="1172"/>
      <c r="V921" s="1172"/>
      <c r="W921" s="1172"/>
      <c r="X921" s="1176"/>
    </row>
    <row r="922" spans="1:24" ht="31.5" customHeight="1" x14ac:dyDescent="0.2">
      <c r="A922" s="1491" t="s">
        <v>2743</v>
      </c>
      <c r="B922" s="1490" t="s">
        <v>3041</v>
      </c>
      <c r="C922" s="1631" t="s">
        <v>3042</v>
      </c>
      <c r="D922" s="1170" t="s">
        <v>188</v>
      </c>
      <c r="E922" s="1462" t="s">
        <v>1375</v>
      </c>
      <c r="F922" s="1462" t="s">
        <v>1878</v>
      </c>
      <c r="G922" s="1311" t="s">
        <v>1829</v>
      </c>
      <c r="H922" s="1172"/>
      <c r="I922" s="1172"/>
      <c r="J922" s="1172"/>
      <c r="K922" s="1172"/>
      <c r="L922" s="1173"/>
      <c r="M922" s="1172"/>
      <c r="N922" s="1172"/>
      <c r="O922" s="1172"/>
      <c r="P922" s="1174">
        <v>19968338</v>
      </c>
      <c r="Q922" s="1175"/>
      <c r="R922" s="1172"/>
      <c r="S922" s="1172"/>
      <c r="T922" s="1172"/>
      <c r="U922" s="1172"/>
      <c r="V922" s="1172"/>
      <c r="W922" s="1172"/>
      <c r="X922" s="1176">
        <v>19968338</v>
      </c>
    </row>
    <row r="923" spans="1:24" ht="35.25" customHeight="1" x14ac:dyDescent="0.2">
      <c r="A923" s="1491" t="s">
        <v>2755</v>
      </c>
      <c r="B923" s="1490" t="s">
        <v>3043</v>
      </c>
      <c r="C923" s="1631" t="s">
        <v>3044</v>
      </c>
      <c r="D923" s="1170" t="s">
        <v>188</v>
      </c>
      <c r="E923" s="1462" t="s">
        <v>590</v>
      </c>
      <c r="F923" s="1462" t="s">
        <v>442</v>
      </c>
      <c r="G923" s="1311" t="s">
        <v>1829</v>
      </c>
      <c r="H923" s="1172"/>
      <c r="I923" s="1172"/>
      <c r="J923" s="1172">
        <f>3000000+810000</f>
        <v>3810000</v>
      </c>
      <c r="K923" s="1172"/>
      <c r="L923" s="1173"/>
      <c r="M923" s="1172"/>
      <c r="N923" s="1172"/>
      <c r="O923" s="1172"/>
      <c r="P923" s="1174"/>
      <c r="Q923" s="1175"/>
      <c r="R923" s="1172"/>
      <c r="S923" s="1172"/>
      <c r="T923" s="1172">
        <f>3000000+810000</f>
        <v>3810000</v>
      </c>
      <c r="U923" s="1172"/>
      <c r="V923" s="1172"/>
      <c r="W923" s="1172"/>
      <c r="X923" s="1176"/>
    </row>
    <row r="924" spans="1:24" ht="44.25" customHeight="1" x14ac:dyDescent="0.2">
      <c r="A924" s="1491" t="s">
        <v>2757</v>
      </c>
      <c r="B924" s="1490" t="s">
        <v>3045</v>
      </c>
      <c r="C924" s="1631" t="s">
        <v>3046</v>
      </c>
      <c r="D924" s="1170" t="s">
        <v>188</v>
      </c>
      <c r="E924" s="1462" t="s">
        <v>1861</v>
      </c>
      <c r="F924" s="1462" t="s">
        <v>1859</v>
      </c>
      <c r="G924" s="1311" t="s">
        <v>1829</v>
      </c>
      <c r="H924" s="1172"/>
      <c r="I924" s="1172"/>
      <c r="J924" s="1172">
        <f>1000000+270000</f>
        <v>1270000</v>
      </c>
      <c r="K924" s="1172"/>
      <c r="L924" s="1173"/>
      <c r="M924" s="1172"/>
      <c r="N924" s="1172"/>
      <c r="O924" s="1172"/>
      <c r="P924" s="1174"/>
      <c r="Q924" s="1175"/>
      <c r="R924" s="1172"/>
      <c r="S924" s="1172"/>
      <c r="T924" s="1172">
        <f>1000000+270000</f>
        <v>1270000</v>
      </c>
      <c r="U924" s="1172"/>
      <c r="V924" s="1172"/>
      <c r="W924" s="1172"/>
      <c r="X924" s="1176"/>
    </row>
    <row r="925" spans="1:24" ht="39" customHeight="1" x14ac:dyDescent="0.2">
      <c r="A925" s="1491" t="s">
        <v>2759</v>
      </c>
      <c r="B925" s="1490" t="s">
        <v>3047</v>
      </c>
      <c r="C925" s="1631" t="s">
        <v>3048</v>
      </c>
      <c r="D925" s="1170" t="s">
        <v>188</v>
      </c>
      <c r="E925" s="1462" t="s">
        <v>64</v>
      </c>
      <c r="F925" s="1462" t="s">
        <v>526</v>
      </c>
      <c r="G925" s="1311" t="s">
        <v>1829</v>
      </c>
      <c r="H925" s="1172"/>
      <c r="I925" s="1172"/>
      <c r="J925" s="1172">
        <v>2000000</v>
      </c>
      <c r="K925" s="1172"/>
      <c r="L925" s="1173"/>
      <c r="M925" s="1172"/>
      <c r="N925" s="1172"/>
      <c r="O925" s="1172"/>
      <c r="P925" s="1174"/>
      <c r="Q925" s="1175"/>
      <c r="R925" s="1172"/>
      <c r="S925" s="1172"/>
      <c r="T925" s="1172">
        <v>2000000</v>
      </c>
      <c r="U925" s="1172"/>
      <c r="V925" s="1172"/>
      <c r="W925" s="1172"/>
      <c r="X925" s="1176"/>
    </row>
    <row r="926" spans="1:24" ht="40.5" customHeight="1" x14ac:dyDescent="0.2">
      <c r="A926" s="2052" t="s">
        <v>2761</v>
      </c>
      <c r="B926" s="2054" t="s">
        <v>3049</v>
      </c>
      <c r="C926" s="2056" t="s">
        <v>3050</v>
      </c>
      <c r="D926" s="1170" t="s">
        <v>192</v>
      </c>
      <c r="E926" s="1462" t="s">
        <v>71</v>
      </c>
      <c r="F926" s="1462" t="s">
        <v>1875</v>
      </c>
      <c r="G926" s="1311" t="s">
        <v>1828</v>
      </c>
      <c r="H926" s="1172"/>
      <c r="I926" s="1172"/>
      <c r="J926" s="1172"/>
      <c r="K926" s="1172"/>
      <c r="L926" s="1173">
        <v>-150000</v>
      </c>
      <c r="M926" s="1172"/>
      <c r="N926" s="1172"/>
      <c r="O926" s="1172"/>
      <c r="P926" s="1174"/>
      <c r="Q926" s="1175"/>
      <c r="R926" s="1172"/>
      <c r="S926" s="1172"/>
      <c r="T926" s="1172"/>
      <c r="U926" s="1172"/>
      <c r="V926" s="1172"/>
      <c r="W926" s="1172"/>
      <c r="X926" s="1176"/>
    </row>
    <row r="927" spans="1:24" ht="40.5" customHeight="1" x14ac:dyDescent="0.2">
      <c r="A927" s="2061"/>
      <c r="B927" s="2060"/>
      <c r="C927" s="2065"/>
      <c r="D927" s="1170" t="s">
        <v>192</v>
      </c>
      <c r="E927" s="1462" t="s">
        <v>602</v>
      </c>
      <c r="F927" s="1462" t="s">
        <v>1875</v>
      </c>
      <c r="G927" s="1311" t="s">
        <v>1837</v>
      </c>
      <c r="H927" s="1172"/>
      <c r="I927" s="1172"/>
      <c r="J927" s="1172"/>
      <c r="K927" s="1172"/>
      <c r="L927" s="1173">
        <f>150000-254000</f>
        <v>-104000</v>
      </c>
      <c r="M927" s="1172"/>
      <c r="N927" s="1172"/>
      <c r="O927" s="1172"/>
      <c r="P927" s="1174"/>
      <c r="Q927" s="1175"/>
      <c r="R927" s="1172"/>
      <c r="S927" s="1172"/>
      <c r="T927" s="1172"/>
      <c r="U927" s="1172"/>
      <c r="V927" s="1172"/>
      <c r="W927" s="1172"/>
      <c r="X927" s="1176"/>
    </row>
    <row r="928" spans="1:24" ht="40.5" customHeight="1" x14ac:dyDescent="0.2">
      <c r="A928" s="2053"/>
      <c r="B928" s="2055"/>
      <c r="C928" s="2057"/>
      <c r="D928" s="1170" t="s">
        <v>191</v>
      </c>
      <c r="E928" s="1462" t="s">
        <v>71</v>
      </c>
      <c r="F928" s="1462" t="s">
        <v>1875</v>
      </c>
      <c r="G928" s="1311" t="s">
        <v>1829</v>
      </c>
      <c r="H928" s="1172"/>
      <c r="I928" s="1172"/>
      <c r="J928" s="1172"/>
      <c r="K928" s="1172"/>
      <c r="L928" s="1173"/>
      <c r="M928" s="1172"/>
      <c r="N928" s="1172"/>
      <c r="O928" s="1172">
        <v>254000</v>
      </c>
      <c r="P928" s="1174"/>
      <c r="Q928" s="1175"/>
      <c r="R928" s="1172"/>
      <c r="S928" s="1172"/>
      <c r="T928" s="1172"/>
      <c r="U928" s="1172"/>
      <c r="V928" s="1172"/>
      <c r="W928" s="1172"/>
      <c r="X928" s="1176"/>
    </row>
    <row r="929" spans="1:24" ht="28.5" customHeight="1" x14ac:dyDescent="0.2">
      <c r="A929" s="2052" t="s">
        <v>2763</v>
      </c>
      <c r="B929" s="2054" t="s">
        <v>3052</v>
      </c>
      <c r="C929" s="2056" t="s">
        <v>3053</v>
      </c>
      <c r="D929" s="1170" t="s">
        <v>188</v>
      </c>
      <c r="E929" s="1462" t="s">
        <v>813</v>
      </c>
      <c r="F929" s="1462" t="s">
        <v>1897</v>
      </c>
      <c r="G929" s="1311" t="s">
        <v>1828</v>
      </c>
      <c r="H929" s="1172"/>
      <c r="I929" s="1172"/>
      <c r="J929" s="1172">
        <f>-398700-107649</f>
        <v>-506349</v>
      </c>
      <c r="K929" s="1172"/>
      <c r="L929" s="1173"/>
      <c r="M929" s="1172"/>
      <c r="N929" s="1172"/>
      <c r="O929" s="1172"/>
      <c r="P929" s="1174"/>
      <c r="Q929" s="1175"/>
      <c r="R929" s="1172"/>
      <c r="S929" s="1172"/>
      <c r="T929" s="1172"/>
      <c r="U929" s="1172"/>
      <c r="V929" s="1172"/>
      <c r="W929" s="1172"/>
      <c r="X929" s="1176"/>
    </row>
    <row r="930" spans="1:24" ht="28.5" customHeight="1" x14ac:dyDescent="0.2">
      <c r="A930" s="2053"/>
      <c r="B930" s="2055"/>
      <c r="C930" s="2057"/>
      <c r="D930" s="1170" t="s">
        <v>193</v>
      </c>
      <c r="E930" s="1462" t="s">
        <v>584</v>
      </c>
      <c r="F930" s="1462" t="s">
        <v>135</v>
      </c>
      <c r="G930" s="1311" t="s">
        <v>1829</v>
      </c>
      <c r="H930" s="1172"/>
      <c r="I930" s="1172"/>
      <c r="J930" s="1172"/>
      <c r="K930" s="1172"/>
      <c r="L930" s="1173"/>
      <c r="M930" s="1172">
        <f>398700+107649</f>
        <v>506349</v>
      </c>
      <c r="N930" s="1172"/>
      <c r="O930" s="1172"/>
      <c r="P930" s="1174"/>
      <c r="Q930" s="1175"/>
      <c r="R930" s="1172"/>
      <c r="S930" s="1172"/>
      <c r="T930" s="1172"/>
      <c r="U930" s="1172"/>
      <c r="V930" s="1172"/>
      <c r="W930" s="1172"/>
      <c r="X930" s="1176"/>
    </row>
    <row r="931" spans="1:24" ht="27" customHeight="1" x14ac:dyDescent="0.2">
      <c r="A931" s="2052" t="s">
        <v>2765</v>
      </c>
      <c r="B931" s="2054" t="s">
        <v>3056</v>
      </c>
      <c r="C931" s="2056" t="s">
        <v>3057</v>
      </c>
      <c r="D931" s="1170" t="s">
        <v>195</v>
      </c>
      <c r="E931" s="1462" t="s">
        <v>74</v>
      </c>
      <c r="F931" s="1462" t="s">
        <v>1870</v>
      </c>
      <c r="G931" s="1311" t="s">
        <v>1828</v>
      </c>
      <c r="H931" s="1172"/>
      <c r="I931" s="1172"/>
      <c r="J931" s="1172"/>
      <c r="K931" s="1172"/>
      <c r="L931" s="1173">
        <v>-627888</v>
      </c>
      <c r="M931" s="1172"/>
      <c r="N931" s="1172"/>
      <c r="O931" s="1172"/>
      <c r="P931" s="1174"/>
      <c r="Q931" s="1175"/>
      <c r="R931" s="1172"/>
      <c r="S931" s="1172"/>
      <c r="T931" s="1172"/>
      <c r="U931" s="1172"/>
      <c r="V931" s="1172"/>
      <c r="W931" s="1172"/>
      <c r="X931" s="1176"/>
    </row>
    <row r="932" spans="1:24" ht="27" customHeight="1" x14ac:dyDescent="0.2">
      <c r="A932" s="2053"/>
      <c r="B932" s="2055"/>
      <c r="C932" s="2057"/>
      <c r="D932" s="1170" t="s">
        <v>197</v>
      </c>
      <c r="E932" s="1462" t="s">
        <v>1288</v>
      </c>
      <c r="F932" s="1462" t="s">
        <v>535</v>
      </c>
      <c r="G932" s="1311" t="s">
        <v>1829</v>
      </c>
      <c r="H932" s="1172"/>
      <c r="I932" s="1172"/>
      <c r="J932" s="1172"/>
      <c r="K932" s="1172"/>
      <c r="L932" s="1173"/>
      <c r="M932" s="1172"/>
      <c r="N932" s="1172"/>
      <c r="O932" s="1172"/>
      <c r="P932" s="1174">
        <v>627888</v>
      </c>
      <c r="Q932" s="1175"/>
      <c r="R932" s="1172"/>
      <c r="S932" s="1172"/>
      <c r="T932" s="1172"/>
      <c r="U932" s="1172"/>
      <c r="V932" s="1172"/>
      <c r="W932" s="1172"/>
      <c r="X932" s="1176"/>
    </row>
    <row r="933" spans="1:24" ht="30" customHeight="1" x14ac:dyDescent="0.2">
      <c r="A933" s="2052" t="s">
        <v>2767</v>
      </c>
      <c r="B933" s="2054" t="s">
        <v>3059</v>
      </c>
      <c r="C933" s="2056" t="s">
        <v>3060</v>
      </c>
      <c r="D933" s="1170" t="s">
        <v>195</v>
      </c>
      <c r="E933" s="1462" t="s">
        <v>74</v>
      </c>
      <c r="F933" s="1462" t="s">
        <v>1870</v>
      </c>
      <c r="G933" s="1311" t="s">
        <v>1828</v>
      </c>
      <c r="H933" s="1172"/>
      <c r="I933" s="1172"/>
      <c r="J933" s="1172"/>
      <c r="K933" s="1172"/>
      <c r="L933" s="1173">
        <v>-6286500</v>
      </c>
      <c r="M933" s="1172"/>
      <c r="N933" s="1172"/>
      <c r="O933" s="1172"/>
      <c r="P933" s="1174"/>
      <c r="Q933" s="1175"/>
      <c r="R933" s="1172"/>
      <c r="S933" s="1172"/>
      <c r="T933" s="1172"/>
      <c r="U933" s="1172"/>
      <c r="V933" s="1172"/>
      <c r="W933" s="1172"/>
      <c r="X933" s="1176"/>
    </row>
    <row r="934" spans="1:24" ht="30" customHeight="1" x14ac:dyDescent="0.2">
      <c r="A934" s="2053"/>
      <c r="B934" s="2055"/>
      <c r="C934" s="2057"/>
      <c r="D934" s="1170" t="s">
        <v>193</v>
      </c>
      <c r="E934" s="1462" t="s">
        <v>130</v>
      </c>
      <c r="F934" s="1462" t="s">
        <v>91</v>
      </c>
      <c r="G934" s="1311" t="s">
        <v>1829</v>
      </c>
      <c r="H934" s="1172"/>
      <c r="I934" s="1172"/>
      <c r="J934" s="1172"/>
      <c r="K934" s="1172"/>
      <c r="L934" s="1173"/>
      <c r="M934" s="1172">
        <f>4950000+1336500</f>
        <v>6286500</v>
      </c>
      <c r="N934" s="1172"/>
      <c r="O934" s="1172"/>
      <c r="P934" s="1174"/>
      <c r="Q934" s="1175"/>
      <c r="R934" s="1172"/>
      <c r="S934" s="1172"/>
      <c r="T934" s="1172"/>
      <c r="U934" s="1172"/>
      <c r="V934" s="1172"/>
      <c r="W934" s="1172"/>
      <c r="X934" s="1176"/>
    </row>
    <row r="935" spans="1:24" ht="33.75" customHeight="1" x14ac:dyDescent="0.2">
      <c r="A935" s="2052" t="s">
        <v>2769</v>
      </c>
      <c r="B935" s="2054" t="s">
        <v>3062</v>
      </c>
      <c r="C935" s="2056" t="s">
        <v>3063</v>
      </c>
      <c r="D935" s="1170" t="s">
        <v>195</v>
      </c>
      <c r="E935" s="1462" t="s">
        <v>74</v>
      </c>
      <c r="F935" s="1462" t="s">
        <v>1870</v>
      </c>
      <c r="G935" s="1311" t="s">
        <v>1828</v>
      </c>
      <c r="H935" s="1172"/>
      <c r="I935" s="1172"/>
      <c r="J935" s="1172"/>
      <c r="K935" s="1172"/>
      <c r="L935" s="1173">
        <v>-340741</v>
      </c>
      <c r="M935" s="1172"/>
      <c r="N935" s="1172"/>
      <c r="O935" s="1172"/>
      <c r="P935" s="1174"/>
      <c r="Q935" s="1175"/>
      <c r="R935" s="1172"/>
      <c r="S935" s="1172"/>
      <c r="T935" s="1172"/>
      <c r="U935" s="1172"/>
      <c r="V935" s="1172"/>
      <c r="W935" s="1172"/>
      <c r="X935" s="1176"/>
    </row>
    <row r="936" spans="1:24" ht="33.75" customHeight="1" x14ac:dyDescent="0.2">
      <c r="A936" s="2053"/>
      <c r="B936" s="2055"/>
      <c r="C936" s="2057"/>
      <c r="D936" s="1170" t="s">
        <v>188</v>
      </c>
      <c r="E936" s="1462" t="s">
        <v>545</v>
      </c>
      <c r="F936" s="1462" t="s">
        <v>831</v>
      </c>
      <c r="G936" s="1311" t="s">
        <v>1829</v>
      </c>
      <c r="H936" s="1172"/>
      <c r="I936" s="1172"/>
      <c r="J936" s="1172">
        <f>268300+72441</f>
        <v>340741</v>
      </c>
      <c r="K936" s="1172"/>
      <c r="L936" s="1173"/>
      <c r="M936" s="1172"/>
      <c r="N936" s="1172"/>
      <c r="O936" s="1172"/>
      <c r="P936" s="1174"/>
      <c r="Q936" s="1175"/>
      <c r="R936" s="1172"/>
      <c r="S936" s="1172"/>
      <c r="T936" s="1172"/>
      <c r="U936" s="1172"/>
      <c r="V936" s="1172"/>
      <c r="W936" s="1172"/>
      <c r="X936" s="1176"/>
    </row>
    <row r="937" spans="1:24" ht="32.25" customHeight="1" x14ac:dyDescent="0.2">
      <c r="A937" s="1633" t="s">
        <v>2771</v>
      </c>
      <c r="B937" s="1632" t="s">
        <v>3064</v>
      </c>
      <c r="C937" s="1630" t="s">
        <v>2906</v>
      </c>
      <c r="D937" s="1170" t="s">
        <v>188</v>
      </c>
      <c r="E937" s="1462" t="s">
        <v>620</v>
      </c>
      <c r="F937" s="1462" t="s">
        <v>1857</v>
      </c>
      <c r="G937" s="1311" t="s">
        <v>1829</v>
      </c>
      <c r="H937" s="1172"/>
      <c r="I937" s="1172"/>
      <c r="J937" s="1172">
        <v>2000000</v>
      </c>
      <c r="K937" s="1172"/>
      <c r="L937" s="1173"/>
      <c r="M937" s="1172"/>
      <c r="N937" s="1172"/>
      <c r="O937" s="1172"/>
      <c r="P937" s="1174"/>
      <c r="Q937" s="1175"/>
      <c r="R937" s="1172"/>
      <c r="S937" s="1172"/>
      <c r="T937" s="1172">
        <v>2000000</v>
      </c>
      <c r="U937" s="1172"/>
      <c r="V937" s="1172"/>
      <c r="W937" s="1172"/>
      <c r="X937" s="1176"/>
    </row>
    <row r="938" spans="1:24" ht="26.25" customHeight="1" x14ac:dyDescent="0.2">
      <c r="A938" s="2052" t="s">
        <v>2778</v>
      </c>
      <c r="B938" s="2054" t="s">
        <v>3065</v>
      </c>
      <c r="C938" s="2056" t="s">
        <v>3066</v>
      </c>
      <c r="D938" s="1170" t="s">
        <v>195</v>
      </c>
      <c r="E938" s="1462" t="s">
        <v>74</v>
      </c>
      <c r="F938" s="1462" t="s">
        <v>1870</v>
      </c>
      <c r="G938" s="1311" t="s">
        <v>1828</v>
      </c>
      <c r="H938" s="1172"/>
      <c r="I938" s="1172"/>
      <c r="J938" s="1172"/>
      <c r="K938" s="1172"/>
      <c r="L938" s="1173">
        <v>-1370100</v>
      </c>
      <c r="M938" s="1172"/>
      <c r="N938" s="1172"/>
      <c r="O938" s="1172"/>
      <c r="P938" s="1174"/>
      <c r="Q938" s="1175"/>
      <c r="R938" s="1172"/>
      <c r="S938" s="1172"/>
      <c r="T938" s="1172"/>
      <c r="U938" s="1172"/>
      <c r="V938" s="1172"/>
      <c r="W938" s="1172"/>
      <c r="X938" s="1176"/>
    </row>
    <row r="939" spans="1:24" ht="26.25" customHeight="1" x14ac:dyDescent="0.2">
      <c r="A939" s="2053"/>
      <c r="B939" s="2055"/>
      <c r="C939" s="2057"/>
      <c r="D939" s="1170" t="s">
        <v>188</v>
      </c>
      <c r="E939" s="1462" t="s">
        <v>1980</v>
      </c>
      <c r="F939" s="1462" t="s">
        <v>1979</v>
      </c>
      <c r="G939" s="1311" t="s">
        <v>1829</v>
      </c>
      <c r="H939" s="1172"/>
      <c r="I939" s="1172"/>
      <c r="J939" s="1172">
        <f>1194600+175500</f>
        <v>1370100</v>
      </c>
      <c r="K939" s="1172"/>
      <c r="L939" s="1173"/>
      <c r="M939" s="1172"/>
      <c r="N939" s="1172"/>
      <c r="O939" s="1172"/>
      <c r="P939" s="1174"/>
      <c r="Q939" s="1175"/>
      <c r="R939" s="1172"/>
      <c r="S939" s="1172"/>
      <c r="T939" s="1172"/>
      <c r="U939" s="1172"/>
      <c r="V939" s="1172"/>
      <c r="W939" s="1172"/>
      <c r="X939" s="1176"/>
    </row>
    <row r="940" spans="1:24" ht="26.25" customHeight="1" x14ac:dyDescent="0.2">
      <c r="A940" s="2052" t="s">
        <v>3067</v>
      </c>
      <c r="B940" s="2054" t="s">
        <v>3068</v>
      </c>
      <c r="C940" s="2056" t="s">
        <v>3069</v>
      </c>
      <c r="D940" s="1170" t="s">
        <v>195</v>
      </c>
      <c r="E940" s="1462" t="s">
        <v>74</v>
      </c>
      <c r="F940" s="1462" t="s">
        <v>1870</v>
      </c>
      <c r="G940" s="1311" t="s">
        <v>1828</v>
      </c>
      <c r="H940" s="1172"/>
      <c r="I940" s="1172"/>
      <c r="J940" s="1172"/>
      <c r="K940" s="1172"/>
      <c r="L940" s="1173">
        <v>-10000000</v>
      </c>
      <c r="M940" s="1172"/>
      <c r="N940" s="1172"/>
      <c r="O940" s="1172"/>
      <c r="P940" s="1174"/>
      <c r="Q940" s="1175"/>
      <c r="R940" s="1172"/>
      <c r="S940" s="1172"/>
      <c r="T940" s="1172"/>
      <c r="U940" s="1172"/>
      <c r="V940" s="1172"/>
      <c r="W940" s="1172"/>
      <c r="X940" s="1176"/>
    </row>
    <row r="941" spans="1:24" ht="26.25" customHeight="1" x14ac:dyDescent="0.2">
      <c r="A941" s="2053"/>
      <c r="B941" s="2055"/>
      <c r="C941" s="2057"/>
      <c r="D941" s="1170" t="s">
        <v>193</v>
      </c>
      <c r="E941" s="1462" t="s">
        <v>854</v>
      </c>
      <c r="F941" s="1462" t="s">
        <v>853</v>
      </c>
      <c r="G941" s="1311" t="s">
        <v>1829</v>
      </c>
      <c r="H941" s="1172"/>
      <c r="I941" s="1172"/>
      <c r="J941" s="1172"/>
      <c r="K941" s="1172"/>
      <c r="L941" s="1173"/>
      <c r="M941" s="1172">
        <f>7874016+2125984</f>
        <v>10000000</v>
      </c>
      <c r="N941" s="1172"/>
      <c r="O941" s="1172"/>
      <c r="P941" s="1174"/>
      <c r="Q941" s="1175"/>
      <c r="R941" s="1172"/>
      <c r="S941" s="1172"/>
      <c r="T941" s="1172"/>
      <c r="U941" s="1172"/>
      <c r="V941" s="1172"/>
      <c r="W941" s="1172"/>
      <c r="X941" s="1176"/>
    </row>
    <row r="942" spans="1:24" ht="23.25" customHeight="1" x14ac:dyDescent="0.2">
      <c r="A942" s="2052" t="s">
        <v>3070</v>
      </c>
      <c r="B942" s="2054" t="s">
        <v>3071</v>
      </c>
      <c r="C942" s="2056" t="s">
        <v>3072</v>
      </c>
      <c r="D942" s="1170" t="s">
        <v>195</v>
      </c>
      <c r="E942" s="1462" t="s">
        <v>74</v>
      </c>
      <c r="F942" s="1462" t="s">
        <v>1870</v>
      </c>
      <c r="G942" s="1311" t="s">
        <v>1828</v>
      </c>
      <c r="H942" s="1172"/>
      <c r="I942" s="1172"/>
      <c r="J942" s="1172"/>
      <c r="K942" s="1172"/>
      <c r="L942" s="1173">
        <v>-10000000</v>
      </c>
      <c r="M942" s="1172"/>
      <c r="N942" s="1172"/>
      <c r="O942" s="1172"/>
      <c r="P942" s="1174"/>
      <c r="Q942" s="1175"/>
      <c r="R942" s="1172"/>
      <c r="S942" s="1172"/>
      <c r="T942" s="1172"/>
      <c r="U942" s="1172"/>
      <c r="V942" s="1172"/>
      <c r="W942" s="1172"/>
      <c r="X942" s="1176"/>
    </row>
    <row r="943" spans="1:24" ht="23.25" customHeight="1" x14ac:dyDescent="0.2">
      <c r="A943" s="2053"/>
      <c r="B943" s="2055"/>
      <c r="C943" s="2057"/>
      <c r="D943" s="1170" t="s">
        <v>188</v>
      </c>
      <c r="E943" s="1462" t="s">
        <v>854</v>
      </c>
      <c r="F943" s="1462" t="s">
        <v>853</v>
      </c>
      <c r="G943" s="1311" t="s">
        <v>1829</v>
      </c>
      <c r="H943" s="1172"/>
      <c r="I943" s="1172"/>
      <c r="J943" s="1172">
        <f>7874016+2125984</f>
        <v>10000000</v>
      </c>
      <c r="K943" s="1172"/>
      <c r="L943" s="1173"/>
      <c r="M943" s="1172"/>
      <c r="N943" s="1172"/>
      <c r="O943" s="1172"/>
      <c r="P943" s="1174"/>
      <c r="Q943" s="1175"/>
      <c r="R943" s="1172"/>
      <c r="S943" s="1172"/>
      <c r="T943" s="1172"/>
      <c r="U943" s="1172"/>
      <c r="V943" s="1172"/>
      <c r="W943" s="1172"/>
      <c r="X943" s="1176"/>
    </row>
    <row r="944" spans="1:24" ht="26.25" customHeight="1" x14ac:dyDescent="0.2">
      <c r="A944" s="2052" t="s">
        <v>2785</v>
      </c>
      <c r="B944" s="2054" t="s">
        <v>3073</v>
      </c>
      <c r="C944" s="2056" t="s">
        <v>3074</v>
      </c>
      <c r="D944" s="1170" t="s">
        <v>195</v>
      </c>
      <c r="E944" s="1462" t="s">
        <v>74</v>
      </c>
      <c r="F944" s="1462" t="s">
        <v>1870</v>
      </c>
      <c r="G944" s="1311" t="s">
        <v>1828</v>
      </c>
      <c r="H944" s="1172"/>
      <c r="I944" s="1172"/>
      <c r="J944" s="1172"/>
      <c r="K944" s="1172"/>
      <c r="L944" s="1173">
        <v>-2000000</v>
      </c>
      <c r="M944" s="1172"/>
      <c r="N944" s="1172"/>
      <c r="O944" s="1172"/>
      <c r="P944" s="1174"/>
      <c r="Q944" s="1175"/>
      <c r="R944" s="1172"/>
      <c r="S944" s="1172"/>
      <c r="T944" s="1172"/>
      <c r="U944" s="1172"/>
      <c r="V944" s="1172"/>
      <c r="W944" s="1172"/>
      <c r="X944" s="1176"/>
    </row>
    <row r="945" spans="1:24" ht="26.25" customHeight="1" x14ac:dyDescent="0.2">
      <c r="A945" s="2053"/>
      <c r="B945" s="2055"/>
      <c r="C945" s="2057"/>
      <c r="D945" s="1170" t="s">
        <v>188</v>
      </c>
      <c r="E945" s="1462" t="s">
        <v>3076</v>
      </c>
      <c r="F945" s="1462" t="s">
        <v>3075</v>
      </c>
      <c r="G945" s="1311" t="s">
        <v>1829</v>
      </c>
      <c r="H945" s="1172"/>
      <c r="I945" s="1172"/>
      <c r="J945" s="1172">
        <f>1574803+425197</f>
        <v>2000000</v>
      </c>
      <c r="K945" s="1172"/>
      <c r="L945" s="1173"/>
      <c r="M945" s="1172"/>
      <c r="N945" s="1172"/>
      <c r="O945" s="1172"/>
      <c r="P945" s="1174"/>
      <c r="Q945" s="1175"/>
      <c r="R945" s="1172"/>
      <c r="S945" s="1172"/>
      <c r="T945" s="1172"/>
      <c r="U945" s="1172"/>
      <c r="V945" s="1172"/>
      <c r="W945" s="1172"/>
      <c r="X945" s="1176"/>
    </row>
    <row r="946" spans="1:24" ht="28.5" customHeight="1" x14ac:dyDescent="0.2">
      <c r="A946" s="1494"/>
      <c r="B946" s="1493"/>
      <c r="C946" s="1492" t="s">
        <v>2302</v>
      </c>
      <c r="D946" s="1170" t="s">
        <v>197</v>
      </c>
      <c r="E946" s="1462" t="s">
        <v>1288</v>
      </c>
      <c r="F946" s="1462" t="s">
        <v>535</v>
      </c>
      <c r="G946" s="1311" t="s">
        <v>1837</v>
      </c>
      <c r="H946" s="1172"/>
      <c r="I946" s="1172"/>
      <c r="J946" s="1172"/>
      <c r="K946" s="1172"/>
      <c r="L946" s="1173"/>
      <c r="M946" s="1172"/>
      <c r="N946" s="1172"/>
      <c r="O946" s="1172"/>
      <c r="P946" s="1174">
        <f>-289900+289900</f>
        <v>0</v>
      </c>
      <c r="Q946" s="1175"/>
      <c r="R946" s="1172"/>
      <c r="S946" s="1172"/>
      <c r="T946" s="1172"/>
      <c r="U946" s="1172"/>
      <c r="V946" s="1172"/>
      <c r="W946" s="1172"/>
      <c r="X946" s="1176"/>
    </row>
    <row r="947" spans="1:24" ht="27" customHeight="1" x14ac:dyDescent="0.2">
      <c r="A947" s="2052" t="s">
        <v>2787</v>
      </c>
      <c r="B947" s="2054" t="s">
        <v>3081</v>
      </c>
      <c r="C947" s="2056" t="s">
        <v>3082</v>
      </c>
      <c r="D947" s="1170" t="s">
        <v>195</v>
      </c>
      <c r="E947" s="1462" t="s">
        <v>74</v>
      </c>
      <c r="F947" s="1462" t="s">
        <v>1870</v>
      </c>
      <c r="G947" s="1311" t="s">
        <v>1828</v>
      </c>
      <c r="H947" s="1172"/>
      <c r="I947" s="1172"/>
      <c r="J947" s="1172"/>
      <c r="K947" s="1172"/>
      <c r="L947" s="1173">
        <v>-1555750</v>
      </c>
      <c r="M947" s="1172"/>
      <c r="N947" s="1172"/>
      <c r="O947" s="1172"/>
      <c r="P947" s="1174"/>
      <c r="Q947" s="1175"/>
      <c r="R947" s="1172"/>
      <c r="S947" s="1172"/>
      <c r="T947" s="1172"/>
      <c r="U947" s="1172"/>
      <c r="V947" s="1172"/>
      <c r="W947" s="1172"/>
      <c r="X947" s="1176"/>
    </row>
    <row r="948" spans="1:24" ht="27" customHeight="1" x14ac:dyDescent="0.2">
      <c r="A948" s="2053"/>
      <c r="B948" s="2055"/>
      <c r="C948" s="2057"/>
      <c r="D948" s="1170" t="s">
        <v>197</v>
      </c>
      <c r="E948" s="1462" t="s">
        <v>1288</v>
      </c>
      <c r="F948" s="1462" t="s">
        <v>535</v>
      </c>
      <c r="G948" s="1311" t="s">
        <v>1829</v>
      </c>
      <c r="H948" s="1172"/>
      <c r="I948" s="1172"/>
      <c r="J948" s="1172"/>
      <c r="K948" s="1172"/>
      <c r="L948" s="1173"/>
      <c r="M948" s="1172"/>
      <c r="N948" s="1172"/>
      <c r="O948" s="1172"/>
      <c r="P948" s="1174">
        <v>1555750</v>
      </c>
      <c r="Q948" s="1175"/>
      <c r="R948" s="1172"/>
      <c r="S948" s="1172"/>
      <c r="T948" s="1172"/>
      <c r="U948" s="1172"/>
      <c r="V948" s="1172"/>
      <c r="W948" s="1172"/>
      <c r="X948" s="1176"/>
    </row>
    <row r="949" spans="1:24" ht="21" customHeight="1" x14ac:dyDescent="0.2">
      <c r="A949" s="2052" t="s">
        <v>2790</v>
      </c>
      <c r="B949" s="2054" t="s">
        <v>3084</v>
      </c>
      <c r="C949" s="2056" t="s">
        <v>3085</v>
      </c>
      <c r="D949" s="1170" t="s">
        <v>195</v>
      </c>
      <c r="E949" s="1462" t="s">
        <v>74</v>
      </c>
      <c r="F949" s="1462" t="s">
        <v>1870</v>
      </c>
      <c r="G949" s="1311" t="s">
        <v>1828</v>
      </c>
      <c r="H949" s="1172"/>
      <c r="I949" s="1172"/>
      <c r="J949" s="1172"/>
      <c r="K949" s="1172"/>
      <c r="L949" s="1173">
        <v>-12885420</v>
      </c>
      <c r="M949" s="1172"/>
      <c r="N949" s="1172"/>
      <c r="O949" s="1172"/>
      <c r="P949" s="1174"/>
      <c r="Q949" s="1175"/>
      <c r="R949" s="1172"/>
      <c r="S949" s="1172"/>
      <c r="T949" s="1172"/>
      <c r="U949" s="1172"/>
      <c r="V949" s="1172"/>
      <c r="W949" s="1172"/>
      <c r="X949" s="1176"/>
    </row>
    <row r="950" spans="1:24" ht="21" customHeight="1" x14ac:dyDescent="0.2">
      <c r="A950" s="2061"/>
      <c r="B950" s="2060"/>
      <c r="C950" s="2065"/>
      <c r="D950" s="1170" t="s">
        <v>193</v>
      </c>
      <c r="E950" s="1462" t="s">
        <v>547</v>
      </c>
      <c r="F950" s="1462" t="s">
        <v>133</v>
      </c>
      <c r="G950" s="1311" t="s">
        <v>1829</v>
      </c>
      <c r="H950" s="1172"/>
      <c r="I950" s="1172"/>
      <c r="J950" s="1172"/>
      <c r="K950" s="1172"/>
      <c r="L950" s="1173"/>
      <c r="M950" s="1172">
        <v>10146000</v>
      </c>
      <c r="N950" s="1172"/>
      <c r="O950" s="1172"/>
      <c r="P950" s="1174"/>
      <c r="Q950" s="1175"/>
      <c r="R950" s="1172"/>
      <c r="S950" s="1172"/>
      <c r="T950" s="1172"/>
      <c r="U950" s="1172"/>
      <c r="V950" s="1172"/>
      <c r="W950" s="1172"/>
      <c r="X950" s="1176"/>
    </row>
    <row r="951" spans="1:24" ht="21" customHeight="1" x14ac:dyDescent="0.2">
      <c r="A951" s="2053"/>
      <c r="B951" s="2055"/>
      <c r="C951" s="2057"/>
      <c r="D951" s="1170" t="s">
        <v>188</v>
      </c>
      <c r="E951" s="1462" t="s">
        <v>74</v>
      </c>
      <c r="F951" s="1462" t="s">
        <v>2241</v>
      </c>
      <c r="G951" s="1311" t="s">
        <v>1829</v>
      </c>
      <c r="H951" s="1172"/>
      <c r="I951" s="1172"/>
      <c r="J951" s="1172">
        <v>2739420</v>
      </c>
      <c r="K951" s="1172"/>
      <c r="L951" s="1173"/>
      <c r="M951" s="1172"/>
      <c r="N951" s="1172"/>
      <c r="O951" s="1172"/>
      <c r="P951" s="1174"/>
      <c r="Q951" s="1175"/>
      <c r="R951" s="1172"/>
      <c r="S951" s="1172"/>
      <c r="T951" s="1172"/>
      <c r="U951" s="1172"/>
      <c r="V951" s="1172"/>
      <c r="W951" s="1172"/>
      <c r="X951" s="1176"/>
    </row>
    <row r="952" spans="1:24" ht="24.75" customHeight="1" x14ac:dyDescent="0.2">
      <c r="A952" s="2052" t="s">
        <v>2792</v>
      </c>
      <c r="B952" s="2054" t="s">
        <v>3087</v>
      </c>
      <c r="C952" s="2056" t="s">
        <v>3088</v>
      </c>
      <c r="D952" s="1170" t="s">
        <v>193</v>
      </c>
      <c r="E952" s="1462" t="s">
        <v>583</v>
      </c>
      <c r="F952" s="1462" t="s">
        <v>1457</v>
      </c>
      <c r="G952" s="1311" t="s">
        <v>1828</v>
      </c>
      <c r="H952" s="1172"/>
      <c r="I952" s="1172"/>
      <c r="J952" s="1172"/>
      <c r="K952" s="1172"/>
      <c r="L952" s="1173"/>
      <c r="M952" s="1172">
        <f>-7875000-2126250</f>
        <v>-10001250</v>
      </c>
      <c r="N952" s="1172"/>
      <c r="O952" s="1172"/>
      <c r="P952" s="1174"/>
      <c r="Q952" s="1175"/>
      <c r="R952" s="1172"/>
      <c r="S952" s="1172"/>
      <c r="T952" s="1172"/>
      <c r="U952" s="1172"/>
      <c r="V952" s="1172"/>
      <c r="W952" s="1172"/>
      <c r="X952" s="1176"/>
    </row>
    <row r="953" spans="1:24" ht="27.75" customHeight="1" x14ac:dyDescent="0.2">
      <c r="A953" s="2053"/>
      <c r="B953" s="2055"/>
      <c r="C953" s="2057"/>
      <c r="D953" s="1170" t="s">
        <v>193</v>
      </c>
      <c r="E953" s="1462" t="s">
        <v>583</v>
      </c>
      <c r="F953" s="1462" t="s">
        <v>2103</v>
      </c>
      <c r="G953" s="1311" t="s">
        <v>1829</v>
      </c>
      <c r="H953" s="1172"/>
      <c r="I953" s="1172"/>
      <c r="J953" s="1172"/>
      <c r="K953" s="1172"/>
      <c r="L953" s="1173"/>
      <c r="M953" s="1172">
        <f>7875000+2126250</f>
        <v>10001250</v>
      </c>
      <c r="N953" s="1172"/>
      <c r="O953" s="1172"/>
      <c r="P953" s="1174"/>
      <c r="Q953" s="1175"/>
      <c r="R953" s="1172"/>
      <c r="S953" s="1172"/>
      <c r="T953" s="1172"/>
      <c r="U953" s="1172"/>
      <c r="V953" s="1172"/>
      <c r="W953" s="1172"/>
      <c r="X953" s="1176"/>
    </row>
    <row r="954" spans="1:24" ht="25.5" customHeight="1" x14ac:dyDescent="0.2">
      <c r="A954" s="2068" t="s">
        <v>2796</v>
      </c>
      <c r="B954" s="2067" t="s">
        <v>3092</v>
      </c>
      <c r="C954" s="2056" t="s">
        <v>3093</v>
      </c>
      <c r="D954" s="1170" t="s">
        <v>195</v>
      </c>
      <c r="E954" s="1462" t="s">
        <v>74</v>
      </c>
      <c r="F954" s="1462" t="s">
        <v>1870</v>
      </c>
      <c r="G954" s="1311" t="s">
        <v>1828</v>
      </c>
      <c r="H954" s="1172"/>
      <c r="I954" s="1172"/>
      <c r="J954" s="1172"/>
      <c r="K954" s="1172"/>
      <c r="L954" s="1173">
        <v>-12062800</v>
      </c>
      <c r="M954" s="1172"/>
      <c r="N954" s="1172"/>
      <c r="O954" s="1172"/>
      <c r="P954" s="1174"/>
      <c r="Q954" s="1175"/>
      <c r="R954" s="1172"/>
      <c r="S954" s="1172"/>
      <c r="T954" s="1172"/>
      <c r="U954" s="1172"/>
      <c r="V954" s="1172"/>
      <c r="W954" s="1172"/>
      <c r="X954" s="1176"/>
    </row>
    <row r="955" spans="1:24" ht="25.5" customHeight="1" x14ac:dyDescent="0.2">
      <c r="A955" s="2068"/>
      <c r="B955" s="2067"/>
      <c r="C955" s="2057"/>
      <c r="D955" s="1170" t="s">
        <v>193</v>
      </c>
      <c r="E955" s="1462" t="s">
        <v>584</v>
      </c>
      <c r="F955" s="1462" t="s">
        <v>825</v>
      </c>
      <c r="G955" s="1311" t="s">
        <v>1829</v>
      </c>
      <c r="H955" s="1172"/>
      <c r="I955" s="1172"/>
      <c r="J955" s="1172"/>
      <c r="K955" s="1172"/>
      <c r="L955" s="1173"/>
      <c r="M955" s="1172">
        <v>12062800</v>
      </c>
      <c r="N955" s="1172"/>
      <c r="O955" s="1172"/>
      <c r="P955" s="1174"/>
      <c r="Q955" s="1175"/>
      <c r="R955" s="1172"/>
      <c r="S955" s="1172"/>
      <c r="T955" s="1172"/>
      <c r="U955" s="1172"/>
      <c r="V955" s="1172"/>
      <c r="W955" s="1172"/>
      <c r="X955" s="1176"/>
    </row>
    <row r="956" spans="1:24" ht="27" customHeight="1" x14ac:dyDescent="0.2">
      <c r="A956" s="2052" t="s">
        <v>2798</v>
      </c>
      <c r="B956" s="2054" t="s">
        <v>3095</v>
      </c>
      <c r="C956" s="2056" t="s">
        <v>3096</v>
      </c>
      <c r="D956" s="1170" t="s">
        <v>195</v>
      </c>
      <c r="E956" s="1462" t="s">
        <v>74</v>
      </c>
      <c r="F956" s="1462" t="s">
        <v>1870</v>
      </c>
      <c r="G956" s="1311" t="s">
        <v>1828</v>
      </c>
      <c r="H956" s="1172"/>
      <c r="I956" s="1172"/>
      <c r="J956" s="1172"/>
      <c r="K956" s="1172"/>
      <c r="L956" s="1173">
        <v>-150000</v>
      </c>
      <c r="M956" s="1172"/>
      <c r="N956" s="1172"/>
      <c r="O956" s="1172"/>
      <c r="P956" s="1174"/>
      <c r="Q956" s="1175"/>
      <c r="R956" s="1172"/>
      <c r="S956" s="1172"/>
      <c r="T956" s="1172"/>
      <c r="U956" s="1172"/>
      <c r="V956" s="1172"/>
      <c r="W956" s="1172"/>
      <c r="X956" s="1176"/>
    </row>
    <row r="957" spans="1:24" ht="27" customHeight="1" x14ac:dyDescent="0.2">
      <c r="A957" s="2053"/>
      <c r="B957" s="2055"/>
      <c r="C957" s="2057"/>
      <c r="D957" s="1170" t="s">
        <v>192</v>
      </c>
      <c r="E957" s="1462" t="s">
        <v>71</v>
      </c>
      <c r="F957" s="1462" t="s">
        <v>1875</v>
      </c>
      <c r="G957" s="1311" t="s">
        <v>1829</v>
      </c>
      <c r="H957" s="1172"/>
      <c r="I957" s="1172"/>
      <c r="J957" s="1172"/>
      <c r="K957" s="1172"/>
      <c r="L957" s="1173">
        <v>150000</v>
      </c>
      <c r="M957" s="1172"/>
      <c r="N957" s="1172"/>
      <c r="O957" s="1172"/>
      <c r="P957" s="1174"/>
      <c r="Q957" s="1175"/>
      <c r="R957" s="1172"/>
      <c r="S957" s="1172"/>
      <c r="T957" s="1172"/>
      <c r="U957" s="1172"/>
      <c r="V957" s="1172"/>
      <c r="W957" s="1172"/>
      <c r="X957" s="1176"/>
    </row>
    <row r="958" spans="1:24" ht="28.5" customHeight="1" x14ac:dyDescent="0.2">
      <c r="A958" s="1491" t="s">
        <v>2800</v>
      </c>
      <c r="B958" s="1490" t="s">
        <v>3098</v>
      </c>
      <c r="C958" s="1631" t="s">
        <v>3099</v>
      </c>
      <c r="D958" s="1170" t="s">
        <v>188</v>
      </c>
      <c r="E958" s="1462" t="s">
        <v>542</v>
      </c>
      <c r="F958" s="1462" t="s">
        <v>449</v>
      </c>
      <c r="G958" s="1311" t="s">
        <v>1837</v>
      </c>
      <c r="H958" s="1172"/>
      <c r="I958" s="1172"/>
      <c r="J958" s="1172">
        <f>-800000+800000</f>
        <v>0</v>
      </c>
      <c r="K958" s="1172"/>
      <c r="L958" s="1173"/>
      <c r="M958" s="1172"/>
      <c r="N958" s="1172"/>
      <c r="O958" s="1172"/>
      <c r="P958" s="1174"/>
      <c r="Q958" s="1175"/>
      <c r="R958" s="1172"/>
      <c r="S958" s="1172"/>
      <c r="T958" s="1172"/>
      <c r="U958" s="1172"/>
      <c r="V958" s="1172"/>
      <c r="W958" s="1172"/>
      <c r="X958" s="1176"/>
    </row>
    <row r="959" spans="1:24" ht="34.5" customHeight="1" x14ac:dyDescent="0.2">
      <c r="A959" s="2052" t="s">
        <v>2802</v>
      </c>
      <c r="B959" s="2054" t="s">
        <v>3100</v>
      </c>
      <c r="C959" s="2056" t="s">
        <v>3160</v>
      </c>
      <c r="D959" s="1170" t="s">
        <v>195</v>
      </c>
      <c r="E959" s="1462" t="s">
        <v>74</v>
      </c>
      <c r="F959" s="1462" t="s">
        <v>1870</v>
      </c>
      <c r="G959" s="1311" t="s">
        <v>1828</v>
      </c>
      <c r="H959" s="1172"/>
      <c r="I959" s="1172"/>
      <c r="J959" s="1172"/>
      <c r="K959" s="1172"/>
      <c r="L959" s="1173">
        <v>-13000000</v>
      </c>
      <c r="M959" s="1172"/>
      <c r="N959" s="1172"/>
      <c r="O959" s="1172"/>
      <c r="P959" s="1174"/>
      <c r="Q959" s="1175"/>
      <c r="R959" s="1172"/>
      <c r="S959" s="1172"/>
      <c r="T959" s="1172"/>
      <c r="U959" s="1172"/>
      <c r="V959" s="1172"/>
      <c r="W959" s="1172"/>
      <c r="X959" s="1176"/>
    </row>
    <row r="960" spans="1:24" ht="34.5" customHeight="1" x14ac:dyDescent="0.2">
      <c r="A960" s="2053"/>
      <c r="B960" s="2055"/>
      <c r="C960" s="2057"/>
      <c r="D960" s="1170" t="s">
        <v>193</v>
      </c>
      <c r="E960" s="1462" t="s">
        <v>131</v>
      </c>
      <c r="F960" s="1462" t="s">
        <v>1883</v>
      </c>
      <c r="G960" s="1311" t="s">
        <v>1829</v>
      </c>
      <c r="H960" s="1172"/>
      <c r="I960" s="1172"/>
      <c r="J960" s="1172"/>
      <c r="K960" s="1172"/>
      <c r="L960" s="1173"/>
      <c r="M960" s="1172">
        <f>10236220+2763780</f>
        <v>13000000</v>
      </c>
      <c r="N960" s="1172"/>
      <c r="O960" s="1172"/>
      <c r="P960" s="1174"/>
      <c r="Q960" s="1175"/>
      <c r="R960" s="1172"/>
      <c r="S960" s="1172"/>
      <c r="T960" s="1172"/>
      <c r="U960" s="1172"/>
      <c r="V960" s="1172"/>
      <c r="W960" s="1172"/>
      <c r="X960" s="1176"/>
    </row>
    <row r="961" spans="1:24" ht="24" customHeight="1" x14ac:dyDescent="0.2">
      <c r="A961" s="2052" t="s">
        <v>2806</v>
      </c>
      <c r="B961" s="2054" t="s">
        <v>3102</v>
      </c>
      <c r="C961" s="2056" t="s">
        <v>3103</v>
      </c>
      <c r="D961" s="1170" t="s">
        <v>188</v>
      </c>
      <c r="E961" s="1462" t="s">
        <v>131</v>
      </c>
      <c r="F961" s="1462" t="s">
        <v>154</v>
      </c>
      <c r="G961" s="1311" t="s">
        <v>1829</v>
      </c>
      <c r="H961" s="1172"/>
      <c r="I961" s="1172"/>
      <c r="J961" s="1172"/>
      <c r="K961" s="1172"/>
      <c r="L961" s="1173"/>
      <c r="M961" s="1172"/>
      <c r="N961" s="1172"/>
      <c r="O961" s="1172"/>
      <c r="P961" s="1174"/>
      <c r="Q961" s="1175"/>
      <c r="R961" s="1172"/>
      <c r="S961" s="1172"/>
      <c r="T961" s="1172">
        <v>419341</v>
      </c>
      <c r="U961" s="1172"/>
      <c r="V961" s="1172"/>
      <c r="W961" s="1172"/>
      <c r="X961" s="1176"/>
    </row>
    <row r="962" spans="1:24" ht="24" customHeight="1" x14ac:dyDescent="0.2">
      <c r="A962" s="2053"/>
      <c r="B962" s="2055"/>
      <c r="C962" s="2057"/>
      <c r="D962" s="1170" t="s">
        <v>195</v>
      </c>
      <c r="E962" s="1462" t="s">
        <v>74</v>
      </c>
      <c r="F962" s="1462" t="s">
        <v>1870</v>
      </c>
      <c r="G962" s="1311" t="s">
        <v>1829</v>
      </c>
      <c r="H962" s="1172"/>
      <c r="I962" s="1172"/>
      <c r="J962" s="1172"/>
      <c r="K962" s="1172"/>
      <c r="L962" s="1173">
        <v>419341</v>
      </c>
      <c r="M962" s="1172"/>
      <c r="N962" s="1172"/>
      <c r="O962" s="1172"/>
      <c r="P962" s="1174"/>
      <c r="Q962" s="1175"/>
      <c r="R962" s="1172"/>
      <c r="S962" s="1172"/>
      <c r="T962" s="1172"/>
      <c r="U962" s="1172"/>
      <c r="V962" s="1172"/>
      <c r="W962" s="1172"/>
      <c r="X962" s="1176"/>
    </row>
    <row r="963" spans="1:24" ht="33" customHeight="1" x14ac:dyDescent="0.2">
      <c r="A963" s="1491" t="s">
        <v>2808</v>
      </c>
      <c r="B963" s="1490" t="s">
        <v>3104</v>
      </c>
      <c r="C963" s="1631" t="s">
        <v>3105</v>
      </c>
      <c r="D963" s="1170" t="s">
        <v>188</v>
      </c>
      <c r="E963" s="1462" t="s">
        <v>542</v>
      </c>
      <c r="F963" s="1462" t="s">
        <v>447</v>
      </c>
      <c r="G963" s="1311" t="s">
        <v>1829</v>
      </c>
      <c r="H963" s="1172"/>
      <c r="I963" s="1172"/>
      <c r="J963" s="1172">
        <f>900000+250000</f>
        <v>1150000</v>
      </c>
      <c r="K963" s="1172"/>
      <c r="L963" s="1173"/>
      <c r="M963" s="1172"/>
      <c r="N963" s="1172"/>
      <c r="O963" s="1172"/>
      <c r="P963" s="1174"/>
      <c r="Q963" s="1175"/>
      <c r="R963" s="1172"/>
      <c r="S963" s="1172"/>
      <c r="T963" s="1172">
        <f>800000+250000+100000</f>
        <v>1150000</v>
      </c>
      <c r="U963" s="1172"/>
      <c r="V963" s="1172"/>
      <c r="W963" s="1172"/>
      <c r="X963" s="1176"/>
    </row>
    <row r="964" spans="1:24" ht="34.5" customHeight="1" x14ac:dyDescent="0.2">
      <c r="A964" s="2052" t="s">
        <v>2810</v>
      </c>
      <c r="B964" s="2054" t="s">
        <v>3111</v>
      </c>
      <c r="C964" s="2056" t="s">
        <v>3112</v>
      </c>
      <c r="D964" s="1170" t="s">
        <v>195</v>
      </c>
      <c r="E964" s="1462" t="s">
        <v>74</v>
      </c>
      <c r="F964" s="1462" t="s">
        <v>1870</v>
      </c>
      <c r="G964" s="1311" t="s">
        <v>1828</v>
      </c>
      <c r="H964" s="1172"/>
      <c r="I964" s="1172"/>
      <c r="J964" s="1172"/>
      <c r="K964" s="1172"/>
      <c r="L964" s="1173">
        <v>-1143000</v>
      </c>
      <c r="M964" s="1172"/>
      <c r="N964" s="1172"/>
      <c r="O964" s="1172"/>
      <c r="P964" s="1174"/>
      <c r="Q964" s="1175"/>
      <c r="R964" s="1172"/>
      <c r="S964" s="1172"/>
      <c r="T964" s="1172"/>
      <c r="U964" s="1172"/>
      <c r="V964" s="1172"/>
      <c r="W964" s="1172"/>
      <c r="X964" s="1176"/>
    </row>
    <row r="965" spans="1:24" ht="34.5" customHeight="1" x14ac:dyDescent="0.2">
      <c r="A965" s="2053"/>
      <c r="B965" s="2055"/>
      <c r="C965" s="2057"/>
      <c r="D965" s="1170" t="s">
        <v>197</v>
      </c>
      <c r="E965" s="1462" t="s">
        <v>1288</v>
      </c>
      <c r="F965" s="1462" t="s">
        <v>535</v>
      </c>
      <c r="G965" s="1311" t="s">
        <v>1829</v>
      </c>
      <c r="H965" s="1172"/>
      <c r="I965" s="1172"/>
      <c r="J965" s="1172"/>
      <c r="K965" s="1172"/>
      <c r="L965" s="1173"/>
      <c r="M965" s="1172"/>
      <c r="N965" s="1172"/>
      <c r="O965" s="1172"/>
      <c r="P965" s="1174">
        <v>1143000</v>
      </c>
      <c r="Q965" s="1175"/>
      <c r="R965" s="1172"/>
      <c r="S965" s="1172"/>
      <c r="T965" s="1172"/>
      <c r="U965" s="1172"/>
      <c r="V965" s="1172"/>
      <c r="W965" s="1172"/>
      <c r="X965" s="1176"/>
    </row>
    <row r="966" spans="1:24" ht="33.75" customHeight="1" x14ac:dyDescent="0.2">
      <c r="A966" s="2052" t="s">
        <v>2812</v>
      </c>
      <c r="B966" s="2054" t="s">
        <v>3113</v>
      </c>
      <c r="C966" s="2056" t="s">
        <v>3114</v>
      </c>
      <c r="D966" s="1170" t="s">
        <v>195</v>
      </c>
      <c r="E966" s="1462" t="s">
        <v>74</v>
      </c>
      <c r="F966" s="1462" t="s">
        <v>1870</v>
      </c>
      <c r="G966" s="1311" t="s">
        <v>1828</v>
      </c>
      <c r="H966" s="1172"/>
      <c r="I966" s="1172"/>
      <c r="J966" s="1172"/>
      <c r="K966" s="1172"/>
      <c r="L966" s="1173">
        <v>-442595</v>
      </c>
      <c r="M966" s="1172"/>
      <c r="N966" s="1172"/>
      <c r="O966" s="1172"/>
      <c r="P966" s="1174"/>
      <c r="Q966" s="1175"/>
      <c r="R966" s="1172"/>
      <c r="S966" s="1172"/>
      <c r="T966" s="1172"/>
      <c r="U966" s="1172"/>
      <c r="V966" s="1172"/>
      <c r="W966" s="1172"/>
      <c r="X966" s="1176"/>
    </row>
    <row r="967" spans="1:24" ht="33.75" customHeight="1" x14ac:dyDescent="0.2">
      <c r="A967" s="2053"/>
      <c r="B967" s="2055"/>
      <c r="C967" s="2057"/>
      <c r="D967" s="1170" t="s">
        <v>188</v>
      </c>
      <c r="E967" s="1462" t="s">
        <v>545</v>
      </c>
      <c r="F967" s="1462" t="s">
        <v>831</v>
      </c>
      <c r="G967" s="1311" t="s">
        <v>1829</v>
      </c>
      <c r="H967" s="1172"/>
      <c r="I967" s="1172"/>
      <c r="J967" s="1172">
        <f>348500+94095</f>
        <v>442595</v>
      </c>
      <c r="K967" s="1172"/>
      <c r="L967" s="1173"/>
      <c r="M967" s="1172"/>
      <c r="N967" s="1172"/>
      <c r="O967" s="1172"/>
      <c r="P967" s="1174"/>
      <c r="Q967" s="1175"/>
      <c r="R967" s="1172"/>
      <c r="S967" s="1172"/>
      <c r="T967" s="1172"/>
      <c r="U967" s="1172"/>
      <c r="V967" s="1172"/>
      <c r="W967" s="1172"/>
      <c r="X967" s="1176"/>
    </row>
    <row r="968" spans="1:24" ht="25.5" customHeight="1" x14ac:dyDescent="0.2">
      <c r="A968" s="2052" t="s">
        <v>2816</v>
      </c>
      <c r="B968" s="2054" t="s">
        <v>3115</v>
      </c>
      <c r="C968" s="2056" t="s">
        <v>3116</v>
      </c>
      <c r="D968" s="1170" t="s">
        <v>188</v>
      </c>
      <c r="E968" s="1462" t="s">
        <v>813</v>
      </c>
      <c r="F968" s="1462" t="s">
        <v>1897</v>
      </c>
      <c r="G968" s="1311" t="s">
        <v>1828</v>
      </c>
      <c r="H968" s="1172"/>
      <c r="I968" s="1172"/>
      <c r="J968" s="1172">
        <f>-157000-42390</f>
        <v>-199390</v>
      </c>
      <c r="K968" s="1172"/>
      <c r="L968" s="1173"/>
      <c r="M968" s="1172"/>
      <c r="N968" s="1172"/>
      <c r="O968" s="1172"/>
      <c r="P968" s="1174"/>
      <c r="Q968" s="1175"/>
      <c r="R968" s="1172"/>
      <c r="S968" s="1172"/>
      <c r="T968" s="1172"/>
      <c r="U968" s="1172"/>
      <c r="V968" s="1172"/>
      <c r="W968" s="1172"/>
      <c r="X968" s="1176"/>
    </row>
    <row r="969" spans="1:24" ht="25.5" customHeight="1" x14ac:dyDescent="0.2">
      <c r="A969" s="2053"/>
      <c r="B969" s="2055"/>
      <c r="C969" s="2057"/>
      <c r="D969" s="1170" t="s">
        <v>193</v>
      </c>
      <c r="E969" s="1462" t="s">
        <v>584</v>
      </c>
      <c r="F969" s="1462" t="s">
        <v>135</v>
      </c>
      <c r="G969" s="1311" t="s">
        <v>1829</v>
      </c>
      <c r="H969" s="1172"/>
      <c r="I969" s="1172"/>
      <c r="J969" s="1172"/>
      <c r="K969" s="1172"/>
      <c r="L969" s="1173"/>
      <c r="M969" s="1172">
        <f>157000+42390</f>
        <v>199390</v>
      </c>
      <c r="N969" s="1172"/>
      <c r="O969" s="1172"/>
      <c r="P969" s="1174"/>
      <c r="Q969" s="1175"/>
      <c r="R969" s="1172"/>
      <c r="S969" s="1172"/>
      <c r="T969" s="1172"/>
      <c r="U969" s="1172"/>
      <c r="V969" s="1172"/>
      <c r="W969" s="1172"/>
      <c r="X969" s="1176"/>
    </row>
    <row r="970" spans="1:24" ht="27" customHeight="1" x14ac:dyDescent="0.2">
      <c r="A970" s="2052" t="s">
        <v>2821</v>
      </c>
      <c r="B970" s="2054" t="s">
        <v>3127</v>
      </c>
      <c r="C970" s="2056" t="s">
        <v>3128</v>
      </c>
      <c r="D970" s="1170" t="s">
        <v>195</v>
      </c>
      <c r="E970" s="1462" t="s">
        <v>74</v>
      </c>
      <c r="F970" s="1462" t="s">
        <v>1870</v>
      </c>
      <c r="G970" s="1311" t="s">
        <v>1828</v>
      </c>
      <c r="H970" s="1172"/>
      <c r="I970" s="1172"/>
      <c r="J970" s="1172"/>
      <c r="K970" s="1172"/>
      <c r="L970" s="1173">
        <v>-1016000</v>
      </c>
      <c r="M970" s="1172"/>
      <c r="N970" s="1172"/>
      <c r="O970" s="1172"/>
      <c r="P970" s="1174"/>
      <c r="Q970" s="1175"/>
      <c r="R970" s="1172"/>
      <c r="S970" s="1172"/>
      <c r="T970" s="1172"/>
      <c r="U970" s="1172"/>
      <c r="V970" s="1172"/>
      <c r="W970" s="1172"/>
      <c r="X970" s="1176"/>
    </row>
    <row r="971" spans="1:24" ht="27" customHeight="1" x14ac:dyDescent="0.2">
      <c r="A971" s="2053"/>
      <c r="B971" s="2055"/>
      <c r="C971" s="2057"/>
      <c r="D971" s="1170" t="s">
        <v>188</v>
      </c>
      <c r="E971" s="1462" t="s">
        <v>545</v>
      </c>
      <c r="F971" s="1462" t="s">
        <v>831</v>
      </c>
      <c r="G971" s="1311" t="s">
        <v>1829</v>
      </c>
      <c r="H971" s="1172"/>
      <c r="I971" s="1172"/>
      <c r="J971" s="1172">
        <f>800000+216000</f>
        <v>1016000</v>
      </c>
      <c r="K971" s="1172"/>
      <c r="L971" s="1173"/>
      <c r="M971" s="1172"/>
      <c r="N971" s="1172"/>
      <c r="O971" s="1172"/>
      <c r="P971" s="1174"/>
      <c r="Q971" s="1175"/>
      <c r="R971" s="1172"/>
      <c r="S971" s="1172"/>
      <c r="T971" s="1172"/>
      <c r="U971" s="1172"/>
      <c r="V971" s="1172"/>
      <c r="W971" s="1172"/>
      <c r="X971" s="1176"/>
    </row>
    <row r="972" spans="1:24" ht="27.75" customHeight="1" x14ac:dyDescent="0.2">
      <c r="A972" s="1491"/>
      <c r="B972" s="1490"/>
      <c r="C972" s="1631" t="s">
        <v>2157</v>
      </c>
      <c r="D972" s="1170" t="s">
        <v>197</v>
      </c>
      <c r="E972" s="1462" t="s">
        <v>1288</v>
      </c>
      <c r="F972" s="1462" t="s">
        <v>535</v>
      </c>
      <c r="G972" s="1311" t="s">
        <v>1837</v>
      </c>
      <c r="H972" s="1172"/>
      <c r="I972" s="1172"/>
      <c r="J972" s="1172"/>
      <c r="K972" s="1172"/>
      <c r="L972" s="1173"/>
      <c r="M972" s="1172"/>
      <c r="N972" s="1172"/>
      <c r="O972" s="1172"/>
      <c r="P972" s="1174">
        <f>-381000+381000</f>
        <v>0</v>
      </c>
      <c r="Q972" s="1175"/>
      <c r="R972" s="1172"/>
      <c r="S972" s="1172"/>
      <c r="T972" s="1172"/>
      <c r="U972" s="1172"/>
      <c r="V972" s="1172"/>
      <c r="W972" s="1172"/>
      <c r="X972" s="1176"/>
    </row>
    <row r="973" spans="1:24" ht="52.5" customHeight="1" x14ac:dyDescent="0.2">
      <c r="A973" s="1491" t="s">
        <v>2825</v>
      </c>
      <c r="B973" s="1490" t="s">
        <v>3132</v>
      </c>
      <c r="C973" s="1631" t="s">
        <v>3133</v>
      </c>
      <c r="D973" s="1170" t="s">
        <v>188</v>
      </c>
      <c r="E973" s="1462" t="s">
        <v>620</v>
      </c>
      <c r="F973" s="1462" t="s">
        <v>68</v>
      </c>
      <c r="G973" s="1311" t="s">
        <v>1837</v>
      </c>
      <c r="H973" s="1172"/>
      <c r="I973" s="1172"/>
      <c r="J973" s="1172"/>
      <c r="K973" s="1172"/>
      <c r="L973" s="1173"/>
      <c r="M973" s="1172"/>
      <c r="N973" s="1172"/>
      <c r="O973" s="1172"/>
      <c r="P973" s="1174"/>
      <c r="Q973" s="1175"/>
      <c r="R973" s="1172"/>
      <c r="S973" s="1172"/>
      <c r="T973" s="1172">
        <v>127559</v>
      </c>
      <c r="U973" s="1172">
        <v>-127559</v>
      </c>
      <c r="V973" s="1172"/>
      <c r="W973" s="1172"/>
      <c r="X973" s="1176"/>
    </row>
    <row r="974" spans="1:24" ht="36.75" customHeight="1" x14ac:dyDescent="0.2">
      <c r="A974" s="2052" t="s">
        <v>2828</v>
      </c>
      <c r="B974" s="2054" t="s">
        <v>3134</v>
      </c>
      <c r="C974" s="2056" t="s">
        <v>3135</v>
      </c>
      <c r="D974" s="1170" t="s">
        <v>193</v>
      </c>
      <c r="E974" s="1462" t="s">
        <v>73</v>
      </c>
      <c r="F974" s="1462" t="s">
        <v>2334</v>
      </c>
      <c r="G974" s="1311" t="s">
        <v>1828</v>
      </c>
      <c r="H974" s="1172"/>
      <c r="I974" s="1172"/>
      <c r="J974" s="1172"/>
      <c r="K974" s="1172"/>
      <c r="L974" s="1173"/>
      <c r="M974" s="1172">
        <f>-5511811-1488189</f>
        <v>-7000000</v>
      </c>
      <c r="N974" s="1172"/>
      <c r="O974" s="1172"/>
      <c r="P974" s="1174"/>
      <c r="Q974" s="1175"/>
      <c r="R974" s="1172"/>
      <c r="S974" s="1172"/>
      <c r="T974" s="1172"/>
      <c r="U974" s="1172"/>
      <c r="V974" s="1172"/>
      <c r="W974" s="1172"/>
      <c r="X974" s="1176"/>
    </row>
    <row r="975" spans="1:24" ht="36.75" customHeight="1" x14ac:dyDescent="0.2">
      <c r="A975" s="2053"/>
      <c r="B975" s="2055"/>
      <c r="C975" s="2057"/>
      <c r="D975" s="1170" t="s">
        <v>193</v>
      </c>
      <c r="E975" s="1462" t="s">
        <v>626</v>
      </c>
      <c r="F975" s="1462" t="s">
        <v>136</v>
      </c>
      <c r="G975" s="1311" t="s">
        <v>1829</v>
      </c>
      <c r="H975" s="1172"/>
      <c r="I975" s="1172"/>
      <c r="J975" s="1172"/>
      <c r="K975" s="1172"/>
      <c r="L975" s="1173"/>
      <c r="M975" s="1172">
        <f>5511811+1488189</f>
        <v>7000000</v>
      </c>
      <c r="N975" s="1172"/>
      <c r="O975" s="1172"/>
      <c r="P975" s="1174"/>
      <c r="Q975" s="1175"/>
      <c r="R975" s="1172"/>
      <c r="S975" s="1172"/>
      <c r="T975" s="1172"/>
      <c r="U975" s="1172"/>
      <c r="V975" s="1172"/>
      <c r="W975" s="1172"/>
      <c r="X975" s="1176"/>
    </row>
    <row r="976" spans="1:24" ht="42.75" customHeight="1" x14ac:dyDescent="0.2">
      <c r="A976" s="1491" t="s">
        <v>2833</v>
      </c>
      <c r="B976" s="1490" t="s">
        <v>3136</v>
      </c>
      <c r="C976" s="1631" t="s">
        <v>3137</v>
      </c>
      <c r="D976" s="1170" t="s">
        <v>188</v>
      </c>
      <c r="E976" s="1462" t="s">
        <v>584</v>
      </c>
      <c r="F976" s="1462" t="s">
        <v>825</v>
      </c>
      <c r="G976" s="1311" t="s">
        <v>1837</v>
      </c>
      <c r="H976" s="1172"/>
      <c r="I976" s="1172"/>
      <c r="J976" s="1172">
        <f>-189600+189600</f>
        <v>0</v>
      </c>
      <c r="K976" s="1172"/>
      <c r="L976" s="1173"/>
      <c r="M976" s="1172"/>
      <c r="N976" s="1172"/>
      <c r="O976" s="1172"/>
      <c r="P976" s="1174"/>
      <c r="Q976" s="1175"/>
      <c r="R976" s="1172"/>
      <c r="S976" s="1172"/>
      <c r="T976" s="1172"/>
      <c r="U976" s="1172"/>
      <c r="V976" s="1172"/>
      <c r="W976" s="1172"/>
      <c r="X976" s="1176"/>
    </row>
    <row r="977" spans="1:24" ht="22.5" customHeight="1" x14ac:dyDescent="0.2">
      <c r="A977" s="2052" t="s">
        <v>2835</v>
      </c>
      <c r="B977" s="2054" t="s">
        <v>3138</v>
      </c>
      <c r="C977" s="2056" t="s">
        <v>3139</v>
      </c>
      <c r="D977" s="1170" t="s">
        <v>188</v>
      </c>
      <c r="E977" s="1462" t="s">
        <v>1399</v>
      </c>
      <c r="F977" s="1462" t="s">
        <v>1389</v>
      </c>
      <c r="G977" s="1311" t="s">
        <v>1829</v>
      </c>
      <c r="H977" s="1172"/>
      <c r="I977" s="1172"/>
      <c r="J977" s="1172"/>
      <c r="K977" s="1172"/>
      <c r="L977" s="1173"/>
      <c r="M977" s="1172"/>
      <c r="N977" s="1172"/>
      <c r="O977" s="1172"/>
      <c r="P977" s="1174"/>
      <c r="Q977" s="1175"/>
      <c r="R977" s="1172"/>
      <c r="S977" s="1172">
        <f>15000000+120000000</f>
        <v>135000000</v>
      </c>
      <c r="T977" s="1172"/>
      <c r="U977" s="1172"/>
      <c r="V977" s="1172"/>
      <c r="W977" s="1172"/>
      <c r="X977" s="1176"/>
    </row>
    <row r="978" spans="1:24" ht="22.5" customHeight="1" x14ac:dyDescent="0.2">
      <c r="A978" s="2061"/>
      <c r="B978" s="2060"/>
      <c r="C978" s="2065"/>
      <c r="D978" s="1170" t="s">
        <v>195</v>
      </c>
      <c r="E978" s="1462" t="s">
        <v>74</v>
      </c>
      <c r="F978" s="1462" t="s">
        <v>1870</v>
      </c>
      <c r="G978" s="1311" t="s">
        <v>1829</v>
      </c>
      <c r="H978" s="1172"/>
      <c r="I978" s="1172"/>
      <c r="J978" s="1172"/>
      <c r="K978" s="1172"/>
      <c r="L978" s="1173">
        <v>46000000</v>
      </c>
      <c r="M978" s="1172"/>
      <c r="N978" s="1172"/>
      <c r="O978" s="1172"/>
      <c r="P978" s="1174"/>
      <c r="Q978" s="1175"/>
      <c r="R978" s="1172"/>
      <c r="S978" s="1172"/>
      <c r="T978" s="1172"/>
      <c r="U978" s="1172"/>
      <c r="V978" s="1172"/>
      <c r="W978" s="1172"/>
      <c r="X978" s="1176"/>
    </row>
    <row r="979" spans="1:24" ht="22.5" customHeight="1" x14ac:dyDescent="0.2">
      <c r="A979" s="2053"/>
      <c r="B979" s="2055"/>
      <c r="C979" s="2057"/>
      <c r="D979" s="1170" t="s">
        <v>195</v>
      </c>
      <c r="E979" s="1462" t="s">
        <v>74</v>
      </c>
      <c r="F979" s="1462" t="s">
        <v>1870</v>
      </c>
      <c r="G979" s="1311" t="s">
        <v>1829</v>
      </c>
      <c r="H979" s="1172"/>
      <c r="I979" s="1172"/>
      <c r="J979" s="1172"/>
      <c r="K979" s="1172"/>
      <c r="L979" s="1173">
        <v>89000000</v>
      </c>
      <c r="M979" s="1172"/>
      <c r="N979" s="1172"/>
      <c r="O979" s="1172"/>
      <c r="P979" s="1174"/>
      <c r="Q979" s="1175"/>
      <c r="R979" s="1172"/>
      <c r="S979" s="1172"/>
      <c r="T979" s="1172"/>
      <c r="U979" s="1172"/>
      <c r="V979" s="1172"/>
      <c r="W979" s="1172"/>
      <c r="X979" s="1176"/>
    </row>
    <row r="980" spans="1:24" ht="27" customHeight="1" x14ac:dyDescent="0.2">
      <c r="A980" s="2068" t="s">
        <v>2836</v>
      </c>
      <c r="B980" s="2067" t="s">
        <v>3140</v>
      </c>
      <c r="C980" s="2087" t="s">
        <v>3141</v>
      </c>
      <c r="D980" s="1170" t="s">
        <v>188</v>
      </c>
      <c r="E980" s="1462" t="s">
        <v>130</v>
      </c>
      <c r="F980" s="1462" t="s">
        <v>152</v>
      </c>
      <c r="G980" s="1311" t="s">
        <v>1828</v>
      </c>
      <c r="H980" s="1172"/>
      <c r="I980" s="1172"/>
      <c r="J980" s="1172">
        <f>-597600-161352</f>
        <v>-758952</v>
      </c>
      <c r="K980" s="1172"/>
      <c r="L980" s="1173"/>
      <c r="M980" s="1172"/>
      <c r="N980" s="1172"/>
      <c r="O980" s="1172"/>
      <c r="P980" s="1174"/>
      <c r="Q980" s="1175"/>
      <c r="R980" s="1172"/>
      <c r="S980" s="1172"/>
      <c r="T980" s="1172"/>
      <c r="U980" s="1172"/>
      <c r="V980" s="1172"/>
      <c r="W980" s="1172"/>
      <c r="X980" s="1176"/>
    </row>
    <row r="981" spans="1:24" ht="27" customHeight="1" x14ac:dyDescent="0.2">
      <c r="A981" s="2068"/>
      <c r="B981" s="2067"/>
      <c r="C981" s="2087"/>
      <c r="D981" s="1170" t="s">
        <v>188</v>
      </c>
      <c r="E981" s="1462" t="s">
        <v>2102</v>
      </c>
      <c r="F981" s="1462" t="s">
        <v>2101</v>
      </c>
      <c r="G981" s="1311" t="s">
        <v>1829</v>
      </c>
      <c r="H981" s="1172"/>
      <c r="I981" s="1172"/>
      <c r="J981" s="1172">
        <f>597600+161352</f>
        <v>758952</v>
      </c>
      <c r="K981" s="1172"/>
      <c r="L981" s="1173"/>
      <c r="M981" s="1172"/>
      <c r="N981" s="1172"/>
      <c r="O981" s="1172"/>
      <c r="P981" s="1174"/>
      <c r="Q981" s="1175"/>
      <c r="R981" s="1172"/>
      <c r="S981" s="1172"/>
      <c r="T981" s="1172"/>
      <c r="U981" s="1172"/>
      <c r="V981" s="1172"/>
      <c r="W981" s="1172"/>
      <c r="X981" s="1176"/>
    </row>
    <row r="982" spans="1:24" ht="29.25" customHeight="1" x14ac:dyDescent="0.2">
      <c r="A982" s="2052" t="s">
        <v>2838</v>
      </c>
      <c r="B982" s="2054" t="s">
        <v>3142</v>
      </c>
      <c r="C982" s="2056" t="s">
        <v>3266</v>
      </c>
      <c r="D982" s="1170" t="s">
        <v>188</v>
      </c>
      <c r="E982" s="1462" t="s">
        <v>131</v>
      </c>
      <c r="F982" s="1462" t="s">
        <v>1883</v>
      </c>
      <c r="G982" s="1311" t="s">
        <v>1828</v>
      </c>
      <c r="H982" s="1172"/>
      <c r="I982" s="1172"/>
      <c r="J982" s="1172">
        <f>-50000-13500</f>
        <v>-63500</v>
      </c>
      <c r="K982" s="1172"/>
      <c r="L982" s="1173"/>
      <c r="M982" s="1172"/>
      <c r="N982" s="1172"/>
      <c r="O982" s="1172"/>
      <c r="P982" s="1174"/>
      <c r="Q982" s="1175"/>
      <c r="R982" s="1172"/>
      <c r="S982" s="1172"/>
      <c r="T982" s="1172"/>
      <c r="U982" s="1172"/>
      <c r="V982" s="1172"/>
      <c r="W982" s="1172"/>
      <c r="X982" s="1176"/>
    </row>
    <row r="983" spans="1:24" ht="29.25" customHeight="1" x14ac:dyDescent="0.2">
      <c r="A983" s="2053"/>
      <c r="B983" s="2055"/>
      <c r="C983" s="2057"/>
      <c r="D983" s="1170" t="s">
        <v>188</v>
      </c>
      <c r="E983" s="1462" t="s">
        <v>130</v>
      </c>
      <c r="F983" s="1462" t="s">
        <v>152</v>
      </c>
      <c r="G983" s="1311" t="s">
        <v>1829</v>
      </c>
      <c r="H983" s="1172"/>
      <c r="I983" s="1172"/>
      <c r="J983" s="1172">
        <f>50000+13500</f>
        <v>63500</v>
      </c>
      <c r="K983" s="1172"/>
      <c r="L983" s="1173"/>
      <c r="M983" s="1172"/>
      <c r="N983" s="1172"/>
      <c r="O983" s="1172"/>
      <c r="P983" s="1174"/>
      <c r="Q983" s="1175"/>
      <c r="R983" s="1172"/>
      <c r="S983" s="1172"/>
      <c r="T983" s="1172"/>
      <c r="U983" s="1172"/>
      <c r="V983" s="1172"/>
      <c r="W983" s="1172"/>
      <c r="X983" s="1176"/>
    </row>
    <row r="984" spans="1:24" ht="32.25" customHeight="1" x14ac:dyDescent="0.2">
      <c r="A984" s="2052" t="s">
        <v>2840</v>
      </c>
      <c r="B984" s="2054" t="s">
        <v>3143</v>
      </c>
      <c r="C984" s="2056" t="s">
        <v>2975</v>
      </c>
      <c r="D984" s="1170" t="s">
        <v>188</v>
      </c>
      <c r="E984" s="1462" t="s">
        <v>2458</v>
      </c>
      <c r="F984" s="1462" t="s">
        <v>2457</v>
      </c>
      <c r="G984" s="1311" t="s">
        <v>1829</v>
      </c>
      <c r="H984" s="1172"/>
      <c r="I984" s="1172"/>
      <c r="J984" s="1172"/>
      <c r="K984" s="1172"/>
      <c r="L984" s="1173"/>
      <c r="M984" s="1172"/>
      <c r="N984" s="1172"/>
      <c r="O984" s="1172"/>
      <c r="P984" s="1174"/>
      <c r="Q984" s="1175"/>
      <c r="R984" s="1172"/>
      <c r="S984" s="1172"/>
      <c r="T984" s="1172">
        <v>13820138</v>
      </c>
      <c r="U984" s="1172"/>
      <c r="V984" s="1172"/>
      <c r="W984" s="1172"/>
      <c r="X984" s="1176"/>
    </row>
    <row r="985" spans="1:24" ht="32.25" customHeight="1" x14ac:dyDescent="0.2">
      <c r="A985" s="2053"/>
      <c r="B985" s="2055"/>
      <c r="C985" s="2057"/>
      <c r="D985" s="1170" t="s">
        <v>195</v>
      </c>
      <c r="E985" s="1462" t="s">
        <v>74</v>
      </c>
      <c r="F985" s="1462" t="s">
        <v>1870</v>
      </c>
      <c r="G985" s="1311" t="s">
        <v>1829</v>
      </c>
      <c r="H985" s="1172"/>
      <c r="I985" s="1172"/>
      <c r="J985" s="1172"/>
      <c r="K985" s="1172"/>
      <c r="L985" s="1173">
        <v>13820138</v>
      </c>
      <c r="M985" s="1172"/>
      <c r="N985" s="1172"/>
      <c r="O985" s="1172"/>
      <c r="P985" s="1174"/>
      <c r="Q985" s="1175"/>
      <c r="R985" s="1172"/>
      <c r="S985" s="1172"/>
      <c r="T985" s="1172"/>
      <c r="U985" s="1172"/>
      <c r="V985" s="1172"/>
      <c r="W985" s="1172"/>
      <c r="X985" s="1176"/>
    </row>
    <row r="986" spans="1:24" ht="22.5" customHeight="1" x14ac:dyDescent="0.2">
      <c r="A986" s="2052" t="s">
        <v>2842</v>
      </c>
      <c r="B986" s="2054" t="s">
        <v>3150</v>
      </c>
      <c r="C986" s="2056" t="s">
        <v>3151</v>
      </c>
      <c r="D986" s="1170" t="s">
        <v>188</v>
      </c>
      <c r="E986" s="1462" t="s">
        <v>131</v>
      </c>
      <c r="F986" s="1462" t="s">
        <v>154</v>
      </c>
      <c r="G986" s="1311" t="s">
        <v>1829</v>
      </c>
      <c r="H986" s="1172"/>
      <c r="I986" s="1172"/>
      <c r="J986" s="1172"/>
      <c r="K986" s="1172"/>
      <c r="L986" s="1173"/>
      <c r="M986" s="1172"/>
      <c r="N986" s="1172"/>
      <c r="O986" s="1172"/>
      <c r="P986" s="1174"/>
      <c r="Q986" s="1175"/>
      <c r="R986" s="1172"/>
      <c r="S986" s="1172"/>
      <c r="T986" s="1172">
        <v>35000</v>
      </c>
      <c r="U986" s="1172"/>
      <c r="V986" s="1172"/>
      <c r="W986" s="1172"/>
      <c r="X986" s="1176"/>
    </row>
    <row r="987" spans="1:24" ht="22.5" customHeight="1" x14ac:dyDescent="0.2">
      <c r="A987" s="2053"/>
      <c r="B987" s="2055"/>
      <c r="C987" s="2057"/>
      <c r="D987" s="1170" t="s">
        <v>195</v>
      </c>
      <c r="E987" s="1462" t="s">
        <v>74</v>
      </c>
      <c r="F987" s="1462" t="s">
        <v>1870</v>
      </c>
      <c r="G987" s="1311" t="s">
        <v>1829</v>
      </c>
      <c r="H987" s="1172"/>
      <c r="I987" s="1172"/>
      <c r="J987" s="1172"/>
      <c r="K987" s="1172"/>
      <c r="L987" s="1173">
        <v>35000</v>
      </c>
      <c r="M987" s="1172"/>
      <c r="N987" s="1172"/>
      <c r="O987" s="1172"/>
      <c r="P987" s="1174"/>
      <c r="Q987" s="1175"/>
      <c r="R987" s="1172"/>
      <c r="S987" s="1172"/>
      <c r="T987" s="1172"/>
      <c r="U987" s="1172"/>
      <c r="V987" s="1172"/>
      <c r="W987" s="1172"/>
      <c r="X987" s="1176"/>
    </row>
    <row r="988" spans="1:24" ht="27.75" customHeight="1" x14ac:dyDescent="0.2">
      <c r="A988" s="2052" t="s">
        <v>2843</v>
      </c>
      <c r="B988" s="2054" t="s">
        <v>3152</v>
      </c>
      <c r="C988" s="2056" t="s">
        <v>3153</v>
      </c>
      <c r="D988" s="1170" t="s">
        <v>195</v>
      </c>
      <c r="E988" s="1462" t="s">
        <v>74</v>
      </c>
      <c r="F988" s="1462" t="s">
        <v>1870</v>
      </c>
      <c r="G988" s="1311" t="s">
        <v>1828</v>
      </c>
      <c r="H988" s="1172"/>
      <c r="I988" s="1172"/>
      <c r="J988" s="1172"/>
      <c r="K988" s="1172"/>
      <c r="L988" s="1173">
        <v>-1270000</v>
      </c>
      <c r="M988" s="1172"/>
      <c r="N988" s="1172"/>
      <c r="O988" s="1172"/>
      <c r="P988" s="1174"/>
      <c r="Q988" s="1175"/>
      <c r="R988" s="1172"/>
      <c r="S988" s="1172"/>
      <c r="T988" s="1172"/>
      <c r="U988" s="1172"/>
      <c r="V988" s="1172"/>
      <c r="W988" s="1172"/>
      <c r="X988" s="1176"/>
    </row>
    <row r="989" spans="1:24" ht="27.75" customHeight="1" x14ac:dyDescent="0.2">
      <c r="A989" s="2053"/>
      <c r="B989" s="2055"/>
      <c r="C989" s="2057"/>
      <c r="D989" s="1170" t="s">
        <v>188</v>
      </c>
      <c r="E989" s="1462" t="s">
        <v>1980</v>
      </c>
      <c r="F989" s="1462" t="s">
        <v>1979</v>
      </c>
      <c r="G989" s="1311" t="s">
        <v>1829</v>
      </c>
      <c r="H989" s="1172"/>
      <c r="I989" s="1172"/>
      <c r="J989" s="1172">
        <f>1000000+270000</f>
        <v>1270000</v>
      </c>
      <c r="K989" s="1172"/>
      <c r="L989" s="1173"/>
      <c r="M989" s="1172"/>
      <c r="N989" s="1172"/>
      <c r="O989" s="1172"/>
      <c r="P989" s="1174"/>
      <c r="Q989" s="1175"/>
      <c r="R989" s="1172"/>
      <c r="S989" s="1172"/>
      <c r="T989" s="1172"/>
      <c r="U989" s="1172"/>
      <c r="V989" s="1172"/>
      <c r="W989" s="1172"/>
      <c r="X989" s="1176"/>
    </row>
    <row r="990" spans="1:24" ht="28.5" customHeight="1" x14ac:dyDescent="0.2">
      <c r="A990" s="2052" t="s">
        <v>2845</v>
      </c>
      <c r="B990" s="2054" t="s">
        <v>3154</v>
      </c>
      <c r="C990" s="2056" t="s">
        <v>3155</v>
      </c>
      <c r="D990" s="1170" t="s">
        <v>195</v>
      </c>
      <c r="E990" s="1462" t="s">
        <v>74</v>
      </c>
      <c r="F990" s="1462" t="s">
        <v>1870</v>
      </c>
      <c r="G990" s="1311" t="s">
        <v>1828</v>
      </c>
      <c r="H990" s="1172"/>
      <c r="I990" s="1172"/>
      <c r="J990" s="1172"/>
      <c r="K990" s="1172"/>
      <c r="L990" s="1173">
        <v>-1016000</v>
      </c>
      <c r="M990" s="1172"/>
      <c r="N990" s="1172"/>
      <c r="O990" s="1172"/>
      <c r="P990" s="1174"/>
      <c r="Q990" s="1175"/>
      <c r="R990" s="1172"/>
      <c r="S990" s="1172"/>
      <c r="T990" s="1172"/>
      <c r="U990" s="1172"/>
      <c r="V990" s="1172"/>
      <c r="W990" s="1172"/>
      <c r="X990" s="1176"/>
    </row>
    <row r="991" spans="1:24" ht="28.5" customHeight="1" x14ac:dyDescent="0.2">
      <c r="A991" s="2053"/>
      <c r="B991" s="2055"/>
      <c r="C991" s="2057"/>
      <c r="D991" s="1170" t="s">
        <v>193</v>
      </c>
      <c r="E991" s="1462" t="s">
        <v>547</v>
      </c>
      <c r="F991" s="1462" t="s">
        <v>133</v>
      </c>
      <c r="G991" s="1311" t="s">
        <v>1829</v>
      </c>
      <c r="H991" s="1172"/>
      <c r="I991" s="1172"/>
      <c r="J991" s="1172"/>
      <c r="K991" s="1172"/>
      <c r="L991" s="1173"/>
      <c r="M991" s="1172">
        <f>800000+216000</f>
        <v>1016000</v>
      </c>
      <c r="N991" s="1172"/>
      <c r="O991" s="1172"/>
      <c r="P991" s="1174"/>
      <c r="Q991" s="1175"/>
      <c r="R991" s="1172"/>
      <c r="S991" s="1172"/>
      <c r="T991" s="1172"/>
      <c r="U991" s="1172"/>
      <c r="V991" s="1172"/>
      <c r="W991" s="1172"/>
      <c r="X991" s="1176"/>
    </row>
    <row r="992" spans="1:24" ht="39.75" customHeight="1" x14ac:dyDescent="0.2">
      <c r="A992" s="2052" t="s">
        <v>2848</v>
      </c>
      <c r="B992" s="2054" t="s">
        <v>3156</v>
      </c>
      <c r="C992" s="2062" t="s">
        <v>3161</v>
      </c>
      <c r="D992" s="1170" t="s">
        <v>195</v>
      </c>
      <c r="E992" s="1462" t="s">
        <v>74</v>
      </c>
      <c r="F992" s="1462" t="s">
        <v>1870</v>
      </c>
      <c r="G992" s="1311" t="s">
        <v>1828</v>
      </c>
      <c r="H992" s="1172"/>
      <c r="I992" s="1172"/>
      <c r="J992" s="1172"/>
      <c r="K992" s="1172"/>
      <c r="L992" s="1173">
        <v>-1524000</v>
      </c>
      <c r="M992" s="1172"/>
      <c r="N992" s="1172"/>
      <c r="O992" s="1172"/>
      <c r="P992" s="1174"/>
      <c r="Q992" s="1175"/>
      <c r="R992" s="1172"/>
      <c r="S992" s="1172"/>
      <c r="T992" s="1172"/>
      <c r="U992" s="1172"/>
      <c r="V992" s="1172"/>
      <c r="W992" s="1172"/>
      <c r="X992" s="1176"/>
    </row>
    <row r="993" spans="1:24" ht="39.75" customHeight="1" x14ac:dyDescent="0.2">
      <c r="A993" s="2053"/>
      <c r="B993" s="2055"/>
      <c r="C993" s="2064"/>
      <c r="D993" s="1170" t="s">
        <v>188</v>
      </c>
      <c r="E993" s="1462" t="s">
        <v>583</v>
      </c>
      <c r="F993" s="1462" t="s">
        <v>1457</v>
      </c>
      <c r="G993" s="1311" t="s">
        <v>1829</v>
      </c>
      <c r="H993" s="1172"/>
      <c r="I993" s="1172"/>
      <c r="J993" s="1172">
        <f>1200000+324000</f>
        <v>1524000</v>
      </c>
      <c r="K993" s="1172"/>
      <c r="L993" s="1173"/>
      <c r="M993" s="1172"/>
      <c r="N993" s="1172"/>
      <c r="O993" s="1172"/>
      <c r="P993" s="1174"/>
      <c r="Q993" s="1175"/>
      <c r="R993" s="1172"/>
      <c r="S993" s="1172"/>
      <c r="T993" s="1172"/>
      <c r="U993" s="1172"/>
      <c r="V993" s="1172"/>
      <c r="W993" s="1172"/>
      <c r="X993" s="1176"/>
    </row>
    <row r="994" spans="1:24" ht="28.5" customHeight="1" x14ac:dyDescent="0.2">
      <c r="A994" s="2052" t="s">
        <v>2851</v>
      </c>
      <c r="B994" s="2054" t="s">
        <v>3158</v>
      </c>
      <c r="C994" s="2062" t="s">
        <v>3159</v>
      </c>
      <c r="D994" s="1170" t="s">
        <v>198</v>
      </c>
      <c r="E994" s="1462" t="s">
        <v>1375</v>
      </c>
      <c r="F994" s="1462" t="s">
        <v>1878</v>
      </c>
      <c r="G994" s="1311" t="s">
        <v>1829</v>
      </c>
      <c r="H994" s="1172"/>
      <c r="I994" s="1172"/>
      <c r="J994" s="1172"/>
      <c r="K994" s="1172"/>
      <c r="L994" s="1173"/>
      <c r="M994" s="1172"/>
      <c r="N994" s="1172"/>
      <c r="O994" s="1172"/>
      <c r="P994" s="1174"/>
      <c r="Q994" s="1175">
        <v>2450535</v>
      </c>
      <c r="R994" s="1172"/>
      <c r="S994" s="1172"/>
      <c r="T994" s="1172"/>
      <c r="U994" s="1172"/>
      <c r="V994" s="1172"/>
      <c r="W994" s="1172"/>
      <c r="X994" s="1176"/>
    </row>
    <row r="995" spans="1:24" ht="28.5" customHeight="1" x14ac:dyDescent="0.2">
      <c r="A995" s="2053"/>
      <c r="B995" s="2055"/>
      <c r="C995" s="2064"/>
      <c r="D995" s="1170" t="s">
        <v>195</v>
      </c>
      <c r="E995" s="1462" t="s">
        <v>74</v>
      </c>
      <c r="F995" s="1462" t="s">
        <v>1870</v>
      </c>
      <c r="G995" s="1311" t="s">
        <v>1829</v>
      </c>
      <c r="H995" s="1172"/>
      <c r="I995" s="1172"/>
      <c r="J995" s="1172"/>
      <c r="K995" s="1172"/>
      <c r="L995" s="1173">
        <v>2450535</v>
      </c>
      <c r="M995" s="1172"/>
      <c r="N995" s="1172"/>
      <c r="O995" s="1172"/>
      <c r="P995" s="1174"/>
      <c r="Q995" s="1175"/>
      <c r="R995" s="1172"/>
      <c r="S995" s="1172"/>
      <c r="T995" s="1172"/>
      <c r="U995" s="1172"/>
      <c r="V995" s="1172"/>
      <c r="W995" s="1172"/>
      <c r="X995" s="1176"/>
    </row>
    <row r="996" spans="1:24" ht="33.75" customHeight="1" x14ac:dyDescent="0.2">
      <c r="A996" s="2052" t="s">
        <v>3162</v>
      </c>
      <c r="B996" s="2054" t="s">
        <v>3163</v>
      </c>
      <c r="C996" s="2062" t="s">
        <v>3164</v>
      </c>
      <c r="D996" s="1170" t="s">
        <v>188</v>
      </c>
      <c r="E996" s="1462" t="s">
        <v>545</v>
      </c>
      <c r="F996" s="1462" t="s">
        <v>831</v>
      </c>
      <c r="G996" s="1311" t="s">
        <v>1828</v>
      </c>
      <c r="H996" s="1172"/>
      <c r="I996" s="1172"/>
      <c r="J996" s="1172">
        <f>-348500-94095</f>
        <v>-442595</v>
      </c>
      <c r="K996" s="1172"/>
      <c r="L996" s="1173"/>
      <c r="M996" s="1172"/>
      <c r="N996" s="1172"/>
      <c r="O996" s="1172"/>
      <c r="P996" s="1174"/>
      <c r="Q996" s="1175"/>
      <c r="R996" s="1172"/>
      <c r="S996" s="1172"/>
      <c r="T996" s="1172"/>
      <c r="U996" s="1172"/>
      <c r="V996" s="1172"/>
      <c r="W996" s="1172"/>
      <c r="X996" s="1176"/>
    </row>
    <row r="997" spans="1:24" ht="33.75" customHeight="1" x14ac:dyDescent="0.2">
      <c r="A997" s="2053"/>
      <c r="B997" s="2055"/>
      <c r="C997" s="2064"/>
      <c r="D997" s="1170" t="s">
        <v>193</v>
      </c>
      <c r="E997" s="1462" t="s">
        <v>545</v>
      </c>
      <c r="F997" s="1462" t="s">
        <v>831</v>
      </c>
      <c r="G997" s="1311" t="s">
        <v>1829</v>
      </c>
      <c r="H997" s="1172"/>
      <c r="I997" s="1172"/>
      <c r="J997" s="1172"/>
      <c r="K997" s="1172"/>
      <c r="L997" s="1173"/>
      <c r="M997" s="1172">
        <f>348500+94095</f>
        <v>442595</v>
      </c>
      <c r="N997" s="1172"/>
      <c r="O997" s="1172"/>
      <c r="P997" s="1174"/>
      <c r="Q997" s="1175"/>
      <c r="R997" s="1172"/>
      <c r="S997" s="1172"/>
      <c r="T997" s="1172"/>
      <c r="U997" s="1172"/>
      <c r="V997" s="1172"/>
      <c r="W997" s="1172"/>
      <c r="X997" s="1176"/>
    </row>
    <row r="998" spans="1:24" ht="28.5" customHeight="1" x14ac:dyDescent="0.2">
      <c r="A998" s="2052" t="s">
        <v>2854</v>
      </c>
      <c r="B998" s="2054" t="s">
        <v>3165</v>
      </c>
      <c r="C998" s="2056" t="s">
        <v>3166</v>
      </c>
      <c r="D998" s="1170" t="s">
        <v>195</v>
      </c>
      <c r="E998" s="1462" t="s">
        <v>74</v>
      </c>
      <c r="F998" s="1462" t="s">
        <v>1870</v>
      </c>
      <c r="G998" s="1311" t="s">
        <v>1828</v>
      </c>
      <c r="H998" s="1172"/>
      <c r="I998" s="1172"/>
      <c r="J998" s="1172"/>
      <c r="K998" s="1172"/>
      <c r="L998" s="1173">
        <v>-76200</v>
      </c>
      <c r="M998" s="1172"/>
      <c r="N998" s="1172"/>
      <c r="O998" s="1172"/>
      <c r="P998" s="1174"/>
      <c r="Q998" s="1175"/>
      <c r="R998" s="1172"/>
      <c r="S998" s="1172"/>
      <c r="T998" s="1172"/>
      <c r="U998" s="1172"/>
      <c r="V998" s="1172"/>
      <c r="W998" s="1172"/>
      <c r="X998" s="1176"/>
    </row>
    <row r="999" spans="1:24" ht="28.5" customHeight="1" x14ac:dyDescent="0.2">
      <c r="A999" s="2053"/>
      <c r="B999" s="2055"/>
      <c r="C999" s="2057"/>
      <c r="D999" s="1170" t="s">
        <v>188</v>
      </c>
      <c r="E999" s="1462" t="s">
        <v>1502</v>
      </c>
      <c r="F999" s="1462" t="s">
        <v>1501</v>
      </c>
      <c r="G999" s="1311" t="s">
        <v>1829</v>
      </c>
      <c r="H999" s="1172"/>
      <c r="I999" s="1172"/>
      <c r="J999" s="1172">
        <f>60000+16200</f>
        <v>76200</v>
      </c>
      <c r="K999" s="1172"/>
      <c r="L999" s="1173"/>
      <c r="M999" s="1172"/>
      <c r="N999" s="1172"/>
      <c r="O999" s="1172"/>
      <c r="P999" s="1174"/>
      <c r="Q999" s="1175"/>
      <c r="R999" s="1172"/>
      <c r="S999" s="1172"/>
      <c r="T999" s="1172"/>
      <c r="U999" s="1172"/>
      <c r="V999" s="1172"/>
      <c r="W999" s="1172"/>
      <c r="X999" s="1176"/>
    </row>
    <row r="1000" spans="1:24" ht="31.5" customHeight="1" x14ac:dyDescent="0.2">
      <c r="A1000" s="2052" t="s">
        <v>2857</v>
      </c>
      <c r="B1000" s="2054" t="s">
        <v>3167</v>
      </c>
      <c r="C1000" s="2056" t="s">
        <v>3168</v>
      </c>
      <c r="D1000" s="1170" t="s">
        <v>195</v>
      </c>
      <c r="E1000" s="1462" t="s">
        <v>74</v>
      </c>
      <c r="F1000" s="1462" t="s">
        <v>1870</v>
      </c>
      <c r="G1000" s="1311" t="s">
        <v>1828</v>
      </c>
      <c r="H1000" s="1172"/>
      <c r="I1000" s="1172"/>
      <c r="J1000" s="1172"/>
      <c r="K1000" s="1172"/>
      <c r="L1000" s="1173">
        <v>-1257300</v>
      </c>
      <c r="M1000" s="1172"/>
      <c r="N1000" s="1172"/>
      <c r="O1000" s="1172"/>
      <c r="P1000" s="1174"/>
      <c r="Q1000" s="1175"/>
      <c r="R1000" s="1172"/>
      <c r="S1000" s="1172"/>
      <c r="T1000" s="1172"/>
      <c r="U1000" s="1172"/>
      <c r="V1000" s="1172"/>
      <c r="W1000" s="1172"/>
      <c r="X1000" s="1176"/>
    </row>
    <row r="1001" spans="1:24" ht="31.5" customHeight="1" x14ac:dyDescent="0.2">
      <c r="A1001" s="2053"/>
      <c r="B1001" s="2055"/>
      <c r="C1001" s="2057"/>
      <c r="D1001" s="1170" t="s">
        <v>197</v>
      </c>
      <c r="E1001" s="1462" t="s">
        <v>1288</v>
      </c>
      <c r="F1001" s="1462" t="s">
        <v>535</v>
      </c>
      <c r="G1001" s="1311" t="s">
        <v>1829</v>
      </c>
      <c r="H1001" s="1172"/>
      <c r="I1001" s="1172"/>
      <c r="J1001" s="1172"/>
      <c r="K1001" s="1172"/>
      <c r="L1001" s="1173"/>
      <c r="M1001" s="1172"/>
      <c r="N1001" s="1172"/>
      <c r="O1001" s="1172"/>
      <c r="P1001" s="1174">
        <v>1257300</v>
      </c>
      <c r="Q1001" s="1175"/>
      <c r="R1001" s="1172"/>
      <c r="S1001" s="1172"/>
      <c r="T1001" s="1172"/>
      <c r="U1001" s="1172"/>
      <c r="V1001" s="1172"/>
      <c r="W1001" s="1172"/>
      <c r="X1001" s="1176"/>
    </row>
    <row r="1002" spans="1:24" ht="24.75" customHeight="1" x14ac:dyDescent="0.2">
      <c r="A1002" s="2052" t="s">
        <v>2858</v>
      </c>
      <c r="B1002" s="2054" t="s">
        <v>3170</v>
      </c>
      <c r="C1002" s="2056" t="s">
        <v>3171</v>
      </c>
      <c r="D1002" s="1170" t="s">
        <v>195</v>
      </c>
      <c r="E1002" s="1462" t="s">
        <v>74</v>
      </c>
      <c r="F1002" s="1462" t="s">
        <v>1870</v>
      </c>
      <c r="G1002" s="1311" t="s">
        <v>1828</v>
      </c>
      <c r="H1002" s="1172"/>
      <c r="I1002" s="1172"/>
      <c r="J1002" s="1172"/>
      <c r="K1002" s="1172"/>
      <c r="L1002" s="1173">
        <v>-500000</v>
      </c>
      <c r="M1002" s="1172"/>
      <c r="N1002" s="1172"/>
      <c r="O1002" s="1172"/>
      <c r="P1002" s="1174"/>
      <c r="Q1002" s="1175"/>
      <c r="R1002" s="1172"/>
      <c r="S1002" s="1172"/>
      <c r="T1002" s="1172"/>
      <c r="U1002" s="1172"/>
      <c r="V1002" s="1172"/>
      <c r="W1002" s="1172"/>
      <c r="X1002" s="1176"/>
    </row>
    <row r="1003" spans="1:24" ht="24.75" customHeight="1" x14ac:dyDescent="0.2">
      <c r="A1003" s="2061"/>
      <c r="B1003" s="2060"/>
      <c r="C1003" s="2065"/>
      <c r="D1003" s="1170" t="s">
        <v>191</v>
      </c>
      <c r="E1003" s="1462" t="s">
        <v>1288</v>
      </c>
      <c r="F1003" s="1462" t="s">
        <v>2026</v>
      </c>
      <c r="G1003" s="1311" t="s">
        <v>1829</v>
      </c>
      <c r="H1003" s="1172"/>
      <c r="I1003" s="1172"/>
      <c r="J1003" s="1172"/>
      <c r="K1003" s="1172"/>
      <c r="L1003" s="1173"/>
      <c r="M1003" s="1172"/>
      <c r="N1003" s="1172"/>
      <c r="O1003" s="1172">
        <v>200000</v>
      </c>
      <c r="P1003" s="1174"/>
      <c r="Q1003" s="1175"/>
      <c r="R1003" s="1172"/>
      <c r="S1003" s="1172"/>
      <c r="T1003" s="1172"/>
      <c r="U1003" s="1172"/>
      <c r="V1003" s="1172"/>
      <c r="W1003" s="1172"/>
      <c r="X1003" s="1176"/>
    </row>
    <row r="1004" spans="1:24" ht="24.75" customHeight="1" x14ac:dyDescent="0.2">
      <c r="A1004" s="2053"/>
      <c r="B1004" s="2055"/>
      <c r="C1004" s="2057"/>
      <c r="D1004" s="1170" t="s">
        <v>192</v>
      </c>
      <c r="E1004" s="1462" t="s">
        <v>1288</v>
      </c>
      <c r="F1004" s="1462" t="s">
        <v>2026</v>
      </c>
      <c r="G1004" s="1311" t="s">
        <v>1829</v>
      </c>
      <c r="H1004" s="1172"/>
      <c r="I1004" s="1172"/>
      <c r="J1004" s="1172"/>
      <c r="K1004" s="1172"/>
      <c r="L1004" s="1173">
        <v>300000</v>
      </c>
      <c r="M1004" s="1172"/>
      <c r="N1004" s="1172"/>
      <c r="O1004" s="1172"/>
      <c r="P1004" s="1174"/>
      <c r="Q1004" s="1175"/>
      <c r="R1004" s="1172"/>
      <c r="S1004" s="1172"/>
      <c r="T1004" s="1172"/>
      <c r="U1004" s="1172"/>
      <c r="V1004" s="1172"/>
      <c r="W1004" s="1172"/>
      <c r="X1004" s="1176"/>
    </row>
    <row r="1005" spans="1:24" ht="27.75" customHeight="1" x14ac:dyDescent="0.2">
      <c r="A1005" s="2052" t="s">
        <v>2859</v>
      </c>
      <c r="B1005" s="2054" t="s">
        <v>3174</v>
      </c>
      <c r="C1005" s="2062" t="s">
        <v>3175</v>
      </c>
      <c r="D1005" s="1170" t="s">
        <v>195</v>
      </c>
      <c r="E1005" s="1462" t="s">
        <v>74</v>
      </c>
      <c r="F1005" s="1462" t="s">
        <v>1870</v>
      </c>
      <c r="G1005" s="1311" t="s">
        <v>1828</v>
      </c>
      <c r="H1005" s="1172"/>
      <c r="I1005" s="1172"/>
      <c r="J1005" s="1172"/>
      <c r="K1005" s="1172"/>
      <c r="L1005" s="1173">
        <v>-500000</v>
      </c>
      <c r="M1005" s="1172"/>
      <c r="N1005" s="1172"/>
      <c r="O1005" s="1172"/>
      <c r="P1005" s="1174"/>
      <c r="Q1005" s="1175"/>
      <c r="R1005" s="1172"/>
      <c r="S1005" s="1172"/>
      <c r="T1005" s="1172"/>
      <c r="U1005" s="1172"/>
      <c r="V1005" s="1172"/>
      <c r="W1005" s="1172"/>
      <c r="X1005" s="1176"/>
    </row>
    <row r="1006" spans="1:24" ht="27.75" customHeight="1" x14ac:dyDescent="0.2">
      <c r="A1006" s="2053"/>
      <c r="B1006" s="2055"/>
      <c r="C1006" s="2064"/>
      <c r="D1006" s="1170" t="s">
        <v>188</v>
      </c>
      <c r="E1006" s="1462" t="s">
        <v>3076</v>
      </c>
      <c r="F1006" s="1462" t="s">
        <v>3075</v>
      </c>
      <c r="G1006" s="1311" t="s">
        <v>1829</v>
      </c>
      <c r="H1006" s="1172"/>
      <c r="I1006" s="1172"/>
      <c r="J1006" s="1172">
        <f>393701+106299</f>
        <v>500000</v>
      </c>
      <c r="K1006" s="1172"/>
      <c r="L1006" s="1173"/>
      <c r="M1006" s="1172"/>
      <c r="N1006" s="1172"/>
      <c r="O1006" s="1172"/>
      <c r="P1006" s="1174"/>
      <c r="Q1006" s="1175"/>
      <c r="R1006" s="1172"/>
      <c r="S1006" s="1172"/>
      <c r="T1006" s="1172"/>
      <c r="U1006" s="1172"/>
      <c r="V1006" s="1172"/>
      <c r="W1006" s="1172"/>
      <c r="X1006" s="1176"/>
    </row>
    <row r="1007" spans="1:24" ht="25.5" customHeight="1" x14ac:dyDescent="0.2">
      <c r="A1007" s="2052" t="s">
        <v>2861</v>
      </c>
      <c r="B1007" s="2054" t="s">
        <v>3258</v>
      </c>
      <c r="C1007" s="2056" t="s">
        <v>3176</v>
      </c>
      <c r="D1007" s="1170" t="s">
        <v>195</v>
      </c>
      <c r="E1007" s="1462" t="s">
        <v>74</v>
      </c>
      <c r="F1007" s="1462" t="s">
        <v>1870</v>
      </c>
      <c r="G1007" s="1311" t="s">
        <v>1828</v>
      </c>
      <c r="H1007" s="1172"/>
      <c r="I1007" s="1172"/>
      <c r="J1007" s="1172"/>
      <c r="K1007" s="1172"/>
      <c r="L1007" s="1173">
        <v>-12000000</v>
      </c>
      <c r="M1007" s="1172"/>
      <c r="N1007" s="1172"/>
      <c r="O1007" s="1172"/>
      <c r="P1007" s="1174"/>
      <c r="Q1007" s="1175"/>
      <c r="R1007" s="1172"/>
      <c r="S1007" s="1172"/>
      <c r="T1007" s="1172"/>
      <c r="U1007" s="1172"/>
      <c r="V1007" s="1172"/>
      <c r="W1007" s="1172"/>
      <c r="X1007" s="1176"/>
    </row>
    <row r="1008" spans="1:24" ht="25.5" customHeight="1" x14ac:dyDescent="0.2">
      <c r="A1008" s="2053"/>
      <c r="B1008" s="2055"/>
      <c r="C1008" s="2057"/>
      <c r="D1008" s="1170" t="s">
        <v>188</v>
      </c>
      <c r="E1008" s="1462" t="s">
        <v>2134</v>
      </c>
      <c r="F1008" s="1462" t="s">
        <v>1867</v>
      </c>
      <c r="G1008" s="1311" t="s">
        <v>1829</v>
      </c>
      <c r="H1008" s="1172"/>
      <c r="I1008" s="1172"/>
      <c r="J1008" s="1172">
        <f>9448819+2551181</f>
        <v>12000000</v>
      </c>
      <c r="K1008" s="1172"/>
      <c r="L1008" s="1173"/>
      <c r="M1008" s="1172"/>
      <c r="N1008" s="1172"/>
      <c r="O1008" s="1172"/>
      <c r="P1008" s="1174"/>
      <c r="Q1008" s="1175"/>
      <c r="R1008" s="1172"/>
      <c r="S1008" s="1172"/>
      <c r="T1008" s="1172"/>
      <c r="U1008" s="1172"/>
      <c r="V1008" s="1172"/>
      <c r="W1008" s="1172"/>
      <c r="X1008" s="1176"/>
    </row>
    <row r="1009" spans="1:24" ht="24.75" customHeight="1" x14ac:dyDescent="0.2">
      <c r="A1009" s="2052" t="s">
        <v>2864</v>
      </c>
      <c r="B1009" s="2054" t="s">
        <v>3177</v>
      </c>
      <c r="C1009" s="2062" t="s">
        <v>3178</v>
      </c>
      <c r="D1009" s="1170" t="s">
        <v>195</v>
      </c>
      <c r="E1009" s="1462" t="s">
        <v>74</v>
      </c>
      <c r="F1009" s="1462" t="s">
        <v>1870</v>
      </c>
      <c r="G1009" s="1311" t="s">
        <v>1828</v>
      </c>
      <c r="H1009" s="1172"/>
      <c r="I1009" s="1172"/>
      <c r="J1009" s="1172"/>
      <c r="K1009" s="1172"/>
      <c r="L1009" s="1173">
        <v>-13154660</v>
      </c>
      <c r="M1009" s="1172"/>
      <c r="N1009" s="1172"/>
      <c r="O1009" s="1172"/>
      <c r="P1009" s="1174"/>
      <c r="Q1009" s="1175"/>
      <c r="R1009" s="1172"/>
      <c r="S1009" s="1172"/>
      <c r="T1009" s="1172"/>
      <c r="U1009" s="1172"/>
      <c r="V1009" s="1172"/>
      <c r="W1009" s="1172"/>
      <c r="X1009" s="1176"/>
    </row>
    <row r="1010" spans="1:24" ht="24.75" customHeight="1" x14ac:dyDescent="0.2">
      <c r="A1010" s="2053"/>
      <c r="B1010" s="2055"/>
      <c r="C1010" s="2064"/>
      <c r="D1010" s="1170" t="s">
        <v>188</v>
      </c>
      <c r="E1010" s="1462" t="s">
        <v>584</v>
      </c>
      <c r="F1010" s="1462" t="s">
        <v>825</v>
      </c>
      <c r="G1010" s="1311" t="s">
        <v>1829</v>
      </c>
      <c r="H1010" s="1172"/>
      <c r="I1010" s="1172"/>
      <c r="J1010" s="1172">
        <f>10358000+2796660</f>
        <v>13154660</v>
      </c>
      <c r="K1010" s="1172"/>
      <c r="L1010" s="1173"/>
      <c r="M1010" s="1172"/>
      <c r="N1010" s="1172"/>
      <c r="O1010" s="1172"/>
      <c r="P1010" s="1174"/>
      <c r="Q1010" s="1175"/>
      <c r="R1010" s="1172"/>
      <c r="S1010" s="1172"/>
      <c r="T1010" s="1172"/>
      <c r="U1010" s="1172"/>
      <c r="V1010" s="1172"/>
      <c r="W1010" s="1172"/>
      <c r="X1010" s="1176"/>
    </row>
    <row r="1011" spans="1:24" ht="16.5" customHeight="1" x14ac:dyDescent="0.2">
      <c r="A1011" s="2052" t="s">
        <v>2866</v>
      </c>
      <c r="B1011" s="2054" t="s">
        <v>3180</v>
      </c>
      <c r="C1011" s="2062" t="s">
        <v>3181</v>
      </c>
      <c r="D1011" s="1170" t="s">
        <v>188</v>
      </c>
      <c r="E1011" s="1462" t="s">
        <v>74</v>
      </c>
      <c r="F1011" s="1462" t="s">
        <v>440</v>
      </c>
      <c r="G1011" s="1462" t="s">
        <v>1828</v>
      </c>
      <c r="H1011" s="1172"/>
      <c r="I1011" s="1172">
        <v>-23736</v>
      </c>
      <c r="J1011" s="1172"/>
      <c r="K1011" s="1172"/>
      <c r="L1011" s="1173"/>
      <c r="M1011" s="1172"/>
      <c r="N1011" s="1172"/>
      <c r="O1011" s="1172"/>
      <c r="P1011" s="1174"/>
      <c r="Q1011" s="1175"/>
      <c r="R1011" s="1172"/>
      <c r="S1011" s="1172"/>
      <c r="T1011" s="1172"/>
      <c r="U1011" s="1172"/>
      <c r="V1011" s="1172"/>
      <c r="W1011" s="1172"/>
      <c r="X1011" s="1176"/>
    </row>
    <row r="1012" spans="1:24" ht="16.5" customHeight="1" x14ac:dyDescent="0.2">
      <c r="A1012" s="2061"/>
      <c r="B1012" s="2060"/>
      <c r="C1012" s="2063"/>
      <c r="D1012" s="1170" t="s">
        <v>188</v>
      </c>
      <c r="E1012" s="1462" t="s">
        <v>74</v>
      </c>
      <c r="F1012" s="1462" t="s">
        <v>538</v>
      </c>
      <c r="G1012" s="1462" t="s">
        <v>1837</v>
      </c>
      <c r="H1012" s="1172">
        <f>-3570000+1300000+500000+1770000</f>
        <v>0</v>
      </c>
      <c r="I1012" s="1172"/>
      <c r="J1012" s="1172"/>
      <c r="K1012" s="1172"/>
      <c r="L1012" s="1173"/>
      <c r="M1012" s="1172"/>
      <c r="N1012" s="1172"/>
      <c r="O1012" s="1172"/>
      <c r="P1012" s="1174"/>
      <c r="Q1012" s="1175"/>
      <c r="R1012" s="1172"/>
      <c r="S1012" s="1172"/>
      <c r="T1012" s="1172"/>
      <c r="U1012" s="1172"/>
      <c r="V1012" s="1172"/>
      <c r="W1012" s="1172"/>
      <c r="X1012" s="1176"/>
    </row>
    <row r="1013" spans="1:24" ht="16.5" customHeight="1" x14ac:dyDescent="0.2">
      <c r="A1013" s="2061"/>
      <c r="B1013" s="2060"/>
      <c r="C1013" s="2063"/>
      <c r="D1013" s="1170" t="s">
        <v>188</v>
      </c>
      <c r="E1013" s="1462" t="s">
        <v>590</v>
      </c>
      <c r="F1013" s="1462" t="s">
        <v>442</v>
      </c>
      <c r="G1013" s="1462" t="s">
        <v>1837</v>
      </c>
      <c r="H1013" s="1172">
        <f>-1160000+90000+1070000</f>
        <v>0</v>
      </c>
      <c r="I1013" s="1172"/>
      <c r="J1013" s="1172"/>
      <c r="K1013" s="1172"/>
      <c r="L1013" s="1173"/>
      <c r="M1013" s="1172"/>
      <c r="N1013" s="1172"/>
      <c r="O1013" s="1172"/>
      <c r="P1013" s="1174"/>
      <c r="Q1013" s="1175"/>
      <c r="R1013" s="1172"/>
      <c r="S1013" s="1172"/>
      <c r="T1013" s="1172"/>
      <c r="U1013" s="1172"/>
      <c r="V1013" s="1172"/>
      <c r="W1013" s="1172"/>
      <c r="X1013" s="1176"/>
    </row>
    <row r="1014" spans="1:24" ht="16.5" customHeight="1" x14ac:dyDescent="0.2">
      <c r="A1014" s="2061"/>
      <c r="B1014" s="2060"/>
      <c r="C1014" s="2063"/>
      <c r="D1014" s="1170" t="s">
        <v>188</v>
      </c>
      <c r="E1014" s="1462" t="s">
        <v>131</v>
      </c>
      <c r="F1014" s="1462" t="s">
        <v>444</v>
      </c>
      <c r="G1014" s="1462" t="s">
        <v>1837</v>
      </c>
      <c r="H1014" s="1172">
        <f>-500000+500000</f>
        <v>0</v>
      </c>
      <c r="I1014" s="1172"/>
      <c r="J1014" s="1172"/>
      <c r="K1014" s="1172"/>
      <c r="L1014" s="1173"/>
      <c r="M1014" s="1172"/>
      <c r="N1014" s="1172"/>
      <c r="O1014" s="1172"/>
      <c r="P1014" s="1174"/>
      <c r="Q1014" s="1175"/>
      <c r="R1014" s="1172"/>
      <c r="S1014" s="1172"/>
      <c r="T1014" s="1172"/>
      <c r="U1014" s="1172"/>
      <c r="V1014" s="1172"/>
      <c r="W1014" s="1172"/>
      <c r="X1014" s="1176"/>
    </row>
    <row r="1015" spans="1:24" ht="16.5" customHeight="1" x14ac:dyDescent="0.2">
      <c r="A1015" s="2061"/>
      <c r="B1015" s="2060"/>
      <c r="C1015" s="2063"/>
      <c r="D1015" s="1170" t="s">
        <v>188</v>
      </c>
      <c r="E1015" s="1462" t="s">
        <v>626</v>
      </c>
      <c r="F1015" s="1462" t="s">
        <v>136</v>
      </c>
      <c r="G1015" s="1462" t="s">
        <v>1837</v>
      </c>
      <c r="H1015" s="1172">
        <f>-350000+350000</f>
        <v>0</v>
      </c>
      <c r="I1015" s="1172"/>
      <c r="J1015" s="1172"/>
      <c r="K1015" s="1172"/>
      <c r="L1015" s="1173"/>
      <c r="M1015" s="1172"/>
      <c r="N1015" s="1172"/>
      <c r="O1015" s="1172"/>
      <c r="P1015" s="1174"/>
      <c r="Q1015" s="1175"/>
      <c r="R1015" s="1172"/>
      <c r="S1015" s="1172"/>
      <c r="T1015" s="1172"/>
      <c r="U1015" s="1172"/>
      <c r="V1015" s="1172"/>
      <c r="W1015" s="1172"/>
      <c r="X1015" s="1176"/>
    </row>
    <row r="1016" spans="1:24" ht="16.5" customHeight="1" x14ac:dyDescent="0.2">
      <c r="A1016" s="2061"/>
      <c r="B1016" s="2060"/>
      <c r="C1016" s="2063"/>
      <c r="D1016" s="1170" t="s">
        <v>188</v>
      </c>
      <c r="E1016" s="1462" t="s">
        <v>542</v>
      </c>
      <c r="F1016" s="1462" t="s">
        <v>447</v>
      </c>
      <c r="G1016" s="1462" t="s">
        <v>1837</v>
      </c>
      <c r="H1016" s="1172">
        <f>1200000+96154</f>
        <v>1296154</v>
      </c>
      <c r="I1016" s="1172">
        <v>34808</v>
      </c>
      <c r="J1016" s="1172"/>
      <c r="K1016" s="1172"/>
      <c r="L1016" s="1173"/>
      <c r="M1016" s="1172"/>
      <c r="N1016" s="1172"/>
      <c r="O1016" s="1172"/>
      <c r="P1016" s="1174"/>
      <c r="Q1016" s="1175"/>
      <c r="R1016" s="1172"/>
      <c r="S1016" s="1172"/>
      <c r="T1016" s="1172"/>
      <c r="U1016" s="1172"/>
      <c r="V1016" s="1172"/>
      <c r="W1016" s="1172"/>
      <c r="X1016" s="1176"/>
    </row>
    <row r="1017" spans="1:24" ht="16.5" customHeight="1" x14ac:dyDescent="0.2">
      <c r="A1017" s="2061"/>
      <c r="B1017" s="2060"/>
      <c r="C1017" s="2063"/>
      <c r="D1017" s="1170" t="s">
        <v>188</v>
      </c>
      <c r="E1017" s="1462" t="s">
        <v>542</v>
      </c>
      <c r="F1017" s="1462" t="s">
        <v>449</v>
      </c>
      <c r="G1017" s="1462" t="s">
        <v>1837</v>
      </c>
      <c r="H1017" s="1172">
        <f>-4896703+3560549+40000</f>
        <v>-1296154</v>
      </c>
      <c r="I1017" s="1172">
        <v>-34808</v>
      </c>
      <c r="J1017" s="1172"/>
      <c r="K1017" s="1172"/>
      <c r="L1017" s="1173"/>
      <c r="M1017" s="1172"/>
      <c r="N1017" s="1172"/>
      <c r="O1017" s="1172"/>
      <c r="P1017" s="1174"/>
      <c r="Q1017" s="1175"/>
      <c r="R1017" s="1172"/>
      <c r="S1017" s="1172"/>
      <c r="T1017" s="1172"/>
      <c r="U1017" s="1172"/>
      <c r="V1017" s="1172"/>
      <c r="W1017" s="1172"/>
      <c r="X1017" s="1176"/>
    </row>
    <row r="1018" spans="1:24" ht="16.5" customHeight="1" x14ac:dyDescent="0.2">
      <c r="A1018" s="2061"/>
      <c r="B1018" s="2060"/>
      <c r="C1018" s="2063"/>
      <c r="D1018" s="1170" t="s">
        <v>188</v>
      </c>
      <c r="E1018" s="1462" t="s">
        <v>2137</v>
      </c>
      <c r="F1018" s="1462" t="s">
        <v>2136</v>
      </c>
      <c r="G1018" s="1462" t="s">
        <v>1829</v>
      </c>
      <c r="H1018" s="1172"/>
      <c r="I1018" s="1172">
        <v>20434</v>
      </c>
      <c r="J1018" s="1172"/>
      <c r="K1018" s="1172"/>
      <c r="L1018" s="1173"/>
      <c r="M1018" s="1172"/>
      <c r="N1018" s="1172"/>
      <c r="O1018" s="1172"/>
      <c r="P1018" s="1174"/>
      <c r="Q1018" s="1175"/>
      <c r="R1018" s="1172"/>
      <c r="S1018" s="1172"/>
      <c r="T1018" s="1172"/>
      <c r="U1018" s="1172"/>
      <c r="V1018" s="1172"/>
      <c r="W1018" s="1172"/>
      <c r="X1018" s="1176"/>
    </row>
    <row r="1019" spans="1:24" ht="16.5" customHeight="1" x14ac:dyDescent="0.2">
      <c r="A1019" s="2061"/>
      <c r="B1019" s="2060"/>
      <c r="C1019" s="2063"/>
      <c r="D1019" s="1170" t="s">
        <v>188</v>
      </c>
      <c r="E1019" s="1462" t="s">
        <v>64</v>
      </c>
      <c r="F1019" s="1462" t="s">
        <v>526</v>
      </c>
      <c r="G1019" s="1462" t="s">
        <v>1837</v>
      </c>
      <c r="H1019" s="1172">
        <f>-6200000+6100000+100000</f>
        <v>0</v>
      </c>
      <c r="I1019" s="1172"/>
      <c r="J1019" s="1172"/>
      <c r="K1019" s="1172"/>
      <c r="L1019" s="1173"/>
      <c r="M1019" s="1172"/>
      <c r="N1019" s="1172"/>
      <c r="O1019" s="1172"/>
      <c r="P1019" s="1174"/>
      <c r="Q1019" s="1175"/>
      <c r="R1019" s="1172"/>
      <c r="S1019" s="1172"/>
      <c r="T1019" s="1172"/>
      <c r="U1019" s="1172"/>
      <c r="V1019" s="1172"/>
      <c r="W1019" s="1172"/>
      <c r="X1019" s="1176"/>
    </row>
    <row r="1020" spans="1:24" ht="16.5" customHeight="1" x14ac:dyDescent="0.2">
      <c r="A1020" s="2053"/>
      <c r="B1020" s="2055"/>
      <c r="C1020" s="2064"/>
      <c r="D1020" s="1170" t="s">
        <v>188</v>
      </c>
      <c r="E1020" s="1462" t="s">
        <v>1985</v>
      </c>
      <c r="F1020" s="1462" t="s">
        <v>1984</v>
      </c>
      <c r="G1020" s="1462" t="s">
        <v>1829</v>
      </c>
      <c r="H1020" s="1594"/>
      <c r="I1020" s="1594">
        <v>3302</v>
      </c>
      <c r="J1020" s="1594"/>
      <c r="K1020" s="1594"/>
      <c r="L1020" s="1173"/>
      <c r="M1020" s="1172"/>
      <c r="N1020" s="1172"/>
      <c r="O1020" s="1172"/>
      <c r="P1020" s="1174"/>
      <c r="Q1020" s="1175"/>
      <c r="R1020" s="1172"/>
      <c r="S1020" s="1172"/>
      <c r="T1020" s="1172"/>
      <c r="U1020" s="1172"/>
      <c r="V1020" s="1172"/>
      <c r="W1020" s="1172"/>
      <c r="X1020" s="1176"/>
    </row>
    <row r="1021" spans="1:24" ht="30" customHeight="1" x14ac:dyDescent="0.2">
      <c r="A1021" s="1494"/>
      <c r="B1021" s="1493"/>
      <c r="C1021" s="926" t="s">
        <v>3185</v>
      </c>
      <c r="D1021" s="1170" t="s">
        <v>197</v>
      </c>
      <c r="E1021" s="1462" t="s">
        <v>1288</v>
      </c>
      <c r="F1021" s="1462" t="s">
        <v>535</v>
      </c>
      <c r="G1021" s="1462" t="s">
        <v>1837</v>
      </c>
      <c r="H1021" s="1172"/>
      <c r="I1021" s="1172"/>
      <c r="J1021" s="1172"/>
      <c r="K1021" s="1172"/>
      <c r="L1021" s="1173"/>
      <c r="M1021" s="1172"/>
      <c r="N1021" s="1172"/>
      <c r="O1021" s="1172"/>
      <c r="P1021" s="1174">
        <f>-1016000+1016000</f>
        <v>0</v>
      </c>
      <c r="Q1021" s="1175"/>
      <c r="R1021" s="1172"/>
      <c r="S1021" s="1172"/>
      <c r="T1021" s="1172"/>
      <c r="U1021" s="1172"/>
      <c r="V1021" s="1172"/>
      <c r="W1021" s="1172"/>
      <c r="X1021" s="1176"/>
    </row>
    <row r="1022" spans="1:24" ht="25.5" customHeight="1" x14ac:dyDescent="0.2">
      <c r="A1022" s="2052" t="s">
        <v>2868</v>
      </c>
      <c r="B1022" s="2054" t="s">
        <v>3186</v>
      </c>
      <c r="C1022" s="2056" t="s">
        <v>3187</v>
      </c>
      <c r="D1022" s="1170" t="s">
        <v>195</v>
      </c>
      <c r="E1022" s="1462" t="s">
        <v>74</v>
      </c>
      <c r="F1022" s="1462" t="s">
        <v>1870</v>
      </c>
      <c r="G1022" s="1462" t="s">
        <v>1828</v>
      </c>
      <c r="H1022" s="1172"/>
      <c r="I1022" s="1172"/>
      <c r="J1022" s="1172"/>
      <c r="K1022" s="1172"/>
      <c r="L1022" s="1173">
        <v>-8172450</v>
      </c>
      <c r="M1022" s="1172"/>
      <c r="N1022" s="1172"/>
      <c r="O1022" s="1172"/>
      <c r="P1022" s="1174"/>
      <c r="Q1022" s="1175"/>
      <c r="R1022" s="1172"/>
      <c r="S1022" s="1172"/>
      <c r="T1022" s="1172"/>
      <c r="U1022" s="1172"/>
      <c r="V1022" s="1172"/>
      <c r="W1022" s="1172"/>
      <c r="X1022" s="1176"/>
    </row>
    <row r="1023" spans="1:24" ht="25.5" customHeight="1" x14ac:dyDescent="0.2">
      <c r="A1023" s="2053"/>
      <c r="B1023" s="2055"/>
      <c r="C1023" s="2057"/>
      <c r="D1023" s="1170" t="s">
        <v>193</v>
      </c>
      <c r="E1023" s="1462" t="s">
        <v>74</v>
      </c>
      <c r="F1023" s="1462" t="s">
        <v>3188</v>
      </c>
      <c r="G1023" s="1311" t="s">
        <v>1829</v>
      </c>
      <c r="H1023" s="1172"/>
      <c r="I1023" s="1172"/>
      <c r="J1023" s="1172"/>
      <c r="K1023" s="1172"/>
      <c r="L1023" s="1173"/>
      <c r="M1023" s="1172">
        <f>6435000+1737450</f>
        <v>8172450</v>
      </c>
      <c r="N1023" s="1172"/>
      <c r="O1023" s="1172"/>
      <c r="P1023" s="1174"/>
      <c r="Q1023" s="1175"/>
      <c r="R1023" s="1172"/>
      <c r="S1023" s="1172"/>
      <c r="T1023" s="1172"/>
      <c r="U1023" s="1172"/>
      <c r="V1023" s="1172"/>
      <c r="W1023" s="1172"/>
      <c r="X1023" s="1176"/>
    </row>
    <row r="1024" spans="1:24" ht="21" customHeight="1" x14ac:dyDescent="0.2">
      <c r="A1024" s="2052" t="s">
        <v>2870</v>
      </c>
      <c r="B1024" s="2054" t="s">
        <v>3190</v>
      </c>
      <c r="C1024" s="2056" t="s">
        <v>3191</v>
      </c>
      <c r="D1024" s="1170" t="s">
        <v>195</v>
      </c>
      <c r="E1024" s="1462" t="s">
        <v>74</v>
      </c>
      <c r="F1024" s="1462" t="s">
        <v>1870</v>
      </c>
      <c r="G1024" s="1311" t="s">
        <v>1828</v>
      </c>
      <c r="H1024" s="1172"/>
      <c r="I1024" s="1172"/>
      <c r="J1024" s="1172"/>
      <c r="K1024" s="1172"/>
      <c r="L1024" s="1173">
        <v>-1737487</v>
      </c>
      <c r="M1024" s="1172"/>
      <c r="N1024" s="1172"/>
      <c r="O1024" s="1172"/>
      <c r="P1024" s="1174"/>
      <c r="Q1024" s="1175"/>
      <c r="R1024" s="1172"/>
      <c r="S1024" s="1172"/>
      <c r="T1024" s="1172"/>
      <c r="U1024" s="1172"/>
      <c r="V1024" s="1172"/>
      <c r="W1024" s="1172"/>
      <c r="X1024" s="1176"/>
    </row>
    <row r="1025" spans="1:24" ht="21" customHeight="1" x14ac:dyDescent="0.2">
      <c r="A1025" s="2061"/>
      <c r="B1025" s="2060"/>
      <c r="C1025" s="2065"/>
      <c r="D1025" s="1170" t="s">
        <v>188</v>
      </c>
      <c r="E1025" s="1462" t="s">
        <v>1980</v>
      </c>
      <c r="F1025" s="1462" t="s">
        <v>1979</v>
      </c>
      <c r="G1025" s="1311" t="s">
        <v>1951</v>
      </c>
      <c r="H1025" s="1172"/>
      <c r="I1025" s="1172"/>
      <c r="J1025" s="1172">
        <f>970600+262062</f>
        <v>1232662</v>
      </c>
      <c r="K1025" s="1172"/>
      <c r="L1025" s="1173"/>
      <c r="M1025" s="1172"/>
      <c r="N1025" s="1172"/>
      <c r="O1025" s="1172"/>
      <c r="P1025" s="1174"/>
      <c r="Q1025" s="1175"/>
      <c r="R1025" s="1172"/>
      <c r="S1025" s="1172"/>
      <c r="T1025" s="1172"/>
      <c r="U1025" s="1172"/>
      <c r="V1025" s="1172"/>
      <c r="W1025" s="1172"/>
      <c r="X1025" s="1176"/>
    </row>
    <row r="1026" spans="1:24" ht="21" customHeight="1" x14ac:dyDescent="0.2">
      <c r="A1026" s="2053"/>
      <c r="B1026" s="2055"/>
      <c r="C1026" s="2057"/>
      <c r="D1026" s="1170" t="s">
        <v>193</v>
      </c>
      <c r="E1026" s="1462" t="s">
        <v>1980</v>
      </c>
      <c r="F1026" s="1462" t="s">
        <v>1979</v>
      </c>
      <c r="G1026" s="1311" t="s">
        <v>1829</v>
      </c>
      <c r="H1026" s="1172"/>
      <c r="I1026" s="1172"/>
      <c r="J1026" s="1172"/>
      <c r="K1026" s="1172"/>
      <c r="L1026" s="1173"/>
      <c r="M1026" s="1172">
        <f>397500+107325</f>
        <v>504825</v>
      </c>
      <c r="N1026" s="1172"/>
      <c r="O1026" s="1172"/>
      <c r="P1026" s="1174"/>
      <c r="Q1026" s="1175"/>
      <c r="R1026" s="1172"/>
      <c r="S1026" s="1172"/>
      <c r="T1026" s="1172"/>
      <c r="U1026" s="1172"/>
      <c r="V1026" s="1172"/>
      <c r="W1026" s="1172"/>
      <c r="X1026" s="1176"/>
    </row>
    <row r="1027" spans="1:24" ht="58.5" customHeight="1" x14ac:dyDescent="0.2">
      <c r="A1027" s="2052" t="s">
        <v>2873</v>
      </c>
      <c r="B1027" s="2054" t="s">
        <v>3192</v>
      </c>
      <c r="C1027" s="2056" t="s">
        <v>3193</v>
      </c>
      <c r="D1027" s="1170" t="s">
        <v>195</v>
      </c>
      <c r="E1027" s="1462" t="s">
        <v>74</v>
      </c>
      <c r="F1027" s="1462" t="s">
        <v>1870</v>
      </c>
      <c r="G1027" s="1311" t="s">
        <v>1828</v>
      </c>
      <c r="H1027" s="1172"/>
      <c r="I1027" s="1172"/>
      <c r="J1027" s="1172"/>
      <c r="K1027" s="1172"/>
      <c r="L1027" s="1173">
        <v>-200000</v>
      </c>
      <c r="M1027" s="1172"/>
      <c r="N1027" s="1172"/>
      <c r="O1027" s="1172"/>
      <c r="P1027" s="1174"/>
      <c r="Q1027" s="1175"/>
      <c r="R1027" s="1172"/>
      <c r="S1027" s="1172"/>
      <c r="T1027" s="1172"/>
      <c r="U1027" s="1172"/>
      <c r="V1027" s="1172"/>
      <c r="W1027" s="1172"/>
      <c r="X1027" s="1176"/>
    </row>
    <row r="1028" spans="1:24" ht="58.5" customHeight="1" x14ac:dyDescent="0.2">
      <c r="A1028" s="2053"/>
      <c r="B1028" s="2055"/>
      <c r="C1028" s="2057"/>
      <c r="D1028" s="1170" t="s">
        <v>192</v>
      </c>
      <c r="E1028" s="1462" t="s">
        <v>77</v>
      </c>
      <c r="F1028" s="1462" t="s">
        <v>1875</v>
      </c>
      <c r="G1028" s="1311" t="s">
        <v>1829</v>
      </c>
      <c r="H1028" s="1172"/>
      <c r="I1028" s="1172"/>
      <c r="J1028" s="1172"/>
      <c r="K1028" s="1172"/>
      <c r="L1028" s="1173">
        <v>200000</v>
      </c>
      <c r="M1028" s="1172"/>
      <c r="N1028" s="1172"/>
      <c r="O1028" s="1172"/>
      <c r="P1028" s="1174"/>
      <c r="Q1028" s="1175"/>
      <c r="R1028" s="1172"/>
      <c r="S1028" s="1172"/>
      <c r="T1028" s="1172"/>
      <c r="U1028" s="1172"/>
      <c r="V1028" s="1172"/>
      <c r="W1028" s="1172"/>
      <c r="X1028" s="1176"/>
    </row>
    <row r="1029" spans="1:24" ht="52.5" customHeight="1" x14ac:dyDescent="0.2">
      <c r="A1029" s="2052" t="s">
        <v>2877</v>
      </c>
      <c r="B1029" s="2054" t="s">
        <v>3195</v>
      </c>
      <c r="C1029" s="2056" t="s">
        <v>3196</v>
      </c>
      <c r="D1029" s="1170" t="s">
        <v>195</v>
      </c>
      <c r="E1029" s="1462" t="s">
        <v>74</v>
      </c>
      <c r="F1029" s="1462" t="s">
        <v>1870</v>
      </c>
      <c r="G1029" s="1311" t="s">
        <v>1828</v>
      </c>
      <c r="H1029" s="1172"/>
      <c r="I1029" s="1172"/>
      <c r="J1029" s="1172"/>
      <c r="K1029" s="1172"/>
      <c r="L1029" s="1173">
        <v>-250000</v>
      </c>
      <c r="M1029" s="1172"/>
      <c r="N1029" s="1172"/>
      <c r="O1029" s="1172"/>
      <c r="P1029" s="1174"/>
      <c r="Q1029" s="1175"/>
      <c r="R1029" s="1172"/>
      <c r="S1029" s="1172"/>
      <c r="T1029" s="1172"/>
      <c r="U1029" s="1172"/>
      <c r="V1029" s="1172"/>
      <c r="W1029" s="1172"/>
      <c r="X1029" s="1176"/>
    </row>
    <row r="1030" spans="1:24" ht="52.5" customHeight="1" x14ac:dyDescent="0.2">
      <c r="A1030" s="2053"/>
      <c r="B1030" s="2055"/>
      <c r="C1030" s="2057"/>
      <c r="D1030" s="1170" t="s">
        <v>192</v>
      </c>
      <c r="E1030" s="1462" t="s">
        <v>77</v>
      </c>
      <c r="F1030" s="1462" t="s">
        <v>1875</v>
      </c>
      <c r="G1030" s="1311" t="s">
        <v>1829</v>
      </c>
      <c r="H1030" s="1172"/>
      <c r="I1030" s="1172"/>
      <c r="J1030" s="1172"/>
      <c r="K1030" s="1172"/>
      <c r="L1030" s="1173">
        <v>250000</v>
      </c>
      <c r="M1030" s="1172"/>
      <c r="N1030" s="1172"/>
      <c r="O1030" s="1172"/>
      <c r="P1030" s="1174"/>
      <c r="Q1030" s="1175"/>
      <c r="R1030" s="1172"/>
      <c r="S1030" s="1172"/>
      <c r="T1030" s="1172"/>
      <c r="U1030" s="1172"/>
      <c r="V1030" s="1172"/>
      <c r="W1030" s="1172"/>
      <c r="X1030" s="1176"/>
    </row>
    <row r="1031" spans="1:24" ht="39.75" customHeight="1" x14ac:dyDescent="0.2">
      <c r="A1031" s="2052" t="s">
        <v>2880</v>
      </c>
      <c r="B1031" s="2054" t="s">
        <v>3198</v>
      </c>
      <c r="C1031" s="2056" t="s">
        <v>3203</v>
      </c>
      <c r="D1031" s="1170" t="s">
        <v>195</v>
      </c>
      <c r="E1031" s="1462" t="s">
        <v>74</v>
      </c>
      <c r="F1031" s="1462" t="s">
        <v>1870</v>
      </c>
      <c r="G1031" s="1311" t="s">
        <v>1828</v>
      </c>
      <c r="H1031" s="1172"/>
      <c r="I1031" s="1172"/>
      <c r="J1031" s="1172"/>
      <c r="K1031" s="1172"/>
      <c r="L1031" s="1173">
        <v>-100000</v>
      </c>
      <c r="M1031" s="1172"/>
      <c r="N1031" s="1172"/>
      <c r="O1031" s="1172"/>
      <c r="P1031" s="1174"/>
      <c r="Q1031" s="1175"/>
      <c r="R1031" s="1172"/>
      <c r="S1031" s="1172"/>
      <c r="T1031" s="1172"/>
      <c r="U1031" s="1172"/>
      <c r="V1031" s="1172"/>
      <c r="W1031" s="1172"/>
      <c r="X1031" s="1176"/>
    </row>
    <row r="1032" spans="1:24" ht="39.75" customHeight="1" x14ac:dyDescent="0.2">
      <c r="A1032" s="2053"/>
      <c r="B1032" s="2055"/>
      <c r="C1032" s="2057"/>
      <c r="D1032" s="1170" t="s">
        <v>197</v>
      </c>
      <c r="E1032" s="1462" t="s">
        <v>1288</v>
      </c>
      <c r="F1032" s="1462" t="s">
        <v>535</v>
      </c>
      <c r="G1032" s="1311" t="s">
        <v>1829</v>
      </c>
      <c r="H1032" s="1172"/>
      <c r="I1032" s="1172"/>
      <c r="J1032" s="1172"/>
      <c r="K1032" s="1172"/>
      <c r="L1032" s="1173"/>
      <c r="M1032" s="1172"/>
      <c r="N1032" s="1172"/>
      <c r="O1032" s="1172"/>
      <c r="P1032" s="1174">
        <v>100000</v>
      </c>
      <c r="Q1032" s="1175"/>
      <c r="R1032" s="1172"/>
      <c r="S1032" s="1172"/>
      <c r="T1032" s="1172"/>
      <c r="U1032" s="1172"/>
      <c r="V1032" s="1172"/>
      <c r="W1032" s="1172"/>
      <c r="X1032" s="1176"/>
    </row>
    <row r="1033" spans="1:24" ht="52.5" customHeight="1" x14ac:dyDescent="0.2">
      <c r="A1033" s="2052" t="s">
        <v>2883</v>
      </c>
      <c r="B1033" s="2054" t="s">
        <v>3200</v>
      </c>
      <c r="C1033" s="2056" t="s">
        <v>3201</v>
      </c>
      <c r="D1033" s="1170" t="s">
        <v>195</v>
      </c>
      <c r="E1033" s="1462" t="s">
        <v>74</v>
      </c>
      <c r="F1033" s="1462" t="s">
        <v>1870</v>
      </c>
      <c r="G1033" s="1311" t="s">
        <v>1828</v>
      </c>
      <c r="H1033" s="1172"/>
      <c r="I1033" s="1172"/>
      <c r="J1033" s="1172"/>
      <c r="K1033" s="1172"/>
      <c r="L1033" s="1173">
        <v>-900000</v>
      </c>
      <c r="M1033" s="1172"/>
      <c r="N1033" s="1172"/>
      <c r="O1033" s="1172"/>
      <c r="P1033" s="1174"/>
      <c r="Q1033" s="1175"/>
      <c r="R1033" s="1172"/>
      <c r="S1033" s="1172"/>
      <c r="T1033" s="1172"/>
      <c r="U1033" s="1172"/>
      <c r="V1033" s="1172"/>
      <c r="W1033" s="1172"/>
      <c r="X1033" s="1176"/>
    </row>
    <row r="1034" spans="1:24" ht="52.5" customHeight="1" x14ac:dyDescent="0.2">
      <c r="A1034" s="2053"/>
      <c r="B1034" s="2055"/>
      <c r="C1034" s="2057"/>
      <c r="D1034" s="1170" t="s">
        <v>195</v>
      </c>
      <c r="E1034" s="1462" t="s">
        <v>74</v>
      </c>
      <c r="F1034" s="1462" t="s">
        <v>1870</v>
      </c>
      <c r="G1034" s="1311" t="s">
        <v>1829</v>
      </c>
      <c r="H1034" s="1172"/>
      <c r="I1034" s="1172"/>
      <c r="J1034" s="1172"/>
      <c r="K1034" s="1172"/>
      <c r="L1034" s="1173">
        <v>900000</v>
      </c>
      <c r="M1034" s="1172"/>
      <c r="N1034" s="1172"/>
      <c r="O1034" s="1172"/>
      <c r="P1034" s="1174"/>
      <c r="Q1034" s="1175"/>
      <c r="R1034" s="1172"/>
      <c r="S1034" s="1172"/>
      <c r="T1034" s="1172"/>
      <c r="U1034" s="1172"/>
      <c r="V1034" s="1172"/>
      <c r="W1034" s="1172"/>
      <c r="X1034" s="1176"/>
    </row>
    <row r="1035" spans="1:24" ht="40.5" customHeight="1" x14ac:dyDescent="0.2">
      <c r="A1035" s="2052" t="s">
        <v>2885</v>
      </c>
      <c r="B1035" s="2054" t="s">
        <v>3202</v>
      </c>
      <c r="C1035" s="2056" t="s">
        <v>3204</v>
      </c>
      <c r="D1035" s="1170" t="s">
        <v>195</v>
      </c>
      <c r="E1035" s="1462" t="s">
        <v>74</v>
      </c>
      <c r="F1035" s="1462" t="s">
        <v>1870</v>
      </c>
      <c r="G1035" s="1311" t="s">
        <v>1828</v>
      </c>
      <c r="H1035" s="1172"/>
      <c r="I1035" s="1172"/>
      <c r="J1035" s="1172"/>
      <c r="K1035" s="1172"/>
      <c r="L1035" s="1173">
        <v>-400000</v>
      </c>
      <c r="M1035" s="1172"/>
      <c r="N1035" s="1172"/>
      <c r="O1035" s="1172"/>
      <c r="P1035" s="1174"/>
      <c r="Q1035" s="1175"/>
      <c r="R1035" s="1172"/>
      <c r="S1035" s="1172"/>
      <c r="T1035" s="1172"/>
      <c r="U1035" s="1172"/>
      <c r="V1035" s="1172"/>
      <c r="W1035" s="1172"/>
      <c r="X1035" s="1176"/>
    </row>
    <row r="1036" spans="1:24" ht="40.5" customHeight="1" x14ac:dyDescent="0.2">
      <c r="A1036" s="2053"/>
      <c r="B1036" s="2055"/>
      <c r="C1036" s="2057"/>
      <c r="D1036" s="1170" t="s">
        <v>197</v>
      </c>
      <c r="E1036" s="1462" t="s">
        <v>1288</v>
      </c>
      <c r="F1036" s="1462" t="s">
        <v>535</v>
      </c>
      <c r="G1036" s="1311" t="s">
        <v>1829</v>
      </c>
      <c r="H1036" s="1172"/>
      <c r="I1036" s="1172"/>
      <c r="J1036" s="1172"/>
      <c r="K1036" s="1172"/>
      <c r="L1036" s="1173"/>
      <c r="M1036" s="1172"/>
      <c r="N1036" s="1172"/>
      <c r="O1036" s="1172"/>
      <c r="P1036" s="1174">
        <v>400000</v>
      </c>
      <c r="Q1036" s="1175"/>
      <c r="R1036" s="1172"/>
      <c r="S1036" s="1172"/>
      <c r="T1036" s="1172"/>
      <c r="U1036" s="1172"/>
      <c r="V1036" s="1172"/>
      <c r="W1036" s="1172"/>
      <c r="X1036" s="1176"/>
    </row>
    <row r="1037" spans="1:24" ht="39" customHeight="1" x14ac:dyDescent="0.2">
      <c r="A1037" s="2052" t="s">
        <v>2887</v>
      </c>
      <c r="B1037" s="2054" t="s">
        <v>3206</v>
      </c>
      <c r="C1037" s="2056" t="s">
        <v>3207</v>
      </c>
      <c r="D1037" s="1170" t="s">
        <v>195</v>
      </c>
      <c r="E1037" s="1462" t="s">
        <v>74</v>
      </c>
      <c r="F1037" s="1462" t="s">
        <v>1870</v>
      </c>
      <c r="G1037" s="1311" t="s">
        <v>1828</v>
      </c>
      <c r="H1037" s="1172"/>
      <c r="I1037" s="1172"/>
      <c r="J1037" s="1172"/>
      <c r="K1037" s="1172"/>
      <c r="L1037" s="1173">
        <v>-300000</v>
      </c>
      <c r="M1037" s="1172"/>
      <c r="N1037" s="1172"/>
      <c r="O1037" s="1172"/>
      <c r="P1037" s="1174"/>
      <c r="Q1037" s="1175"/>
      <c r="R1037" s="1172"/>
      <c r="S1037" s="1172"/>
      <c r="T1037" s="1172"/>
      <c r="U1037" s="1172"/>
      <c r="V1037" s="1172"/>
      <c r="W1037" s="1172"/>
      <c r="X1037" s="1176"/>
    </row>
    <row r="1038" spans="1:24" ht="39" customHeight="1" x14ac:dyDescent="0.2">
      <c r="A1038" s="2053"/>
      <c r="B1038" s="2055"/>
      <c r="C1038" s="2057"/>
      <c r="D1038" s="1170" t="s">
        <v>197</v>
      </c>
      <c r="E1038" s="1462" t="s">
        <v>1288</v>
      </c>
      <c r="F1038" s="1462" t="s">
        <v>535</v>
      </c>
      <c r="G1038" s="1311" t="s">
        <v>1829</v>
      </c>
      <c r="H1038" s="1172"/>
      <c r="I1038" s="1172"/>
      <c r="J1038" s="1172"/>
      <c r="K1038" s="1172"/>
      <c r="L1038" s="1173"/>
      <c r="M1038" s="1172"/>
      <c r="N1038" s="1172"/>
      <c r="O1038" s="1172"/>
      <c r="P1038" s="1174">
        <v>300000</v>
      </c>
      <c r="Q1038" s="1175"/>
      <c r="R1038" s="1172"/>
      <c r="S1038" s="1172"/>
      <c r="T1038" s="1172"/>
      <c r="U1038" s="1172"/>
      <c r="V1038" s="1172"/>
      <c r="W1038" s="1172"/>
      <c r="X1038" s="1176"/>
    </row>
    <row r="1039" spans="1:24" ht="41.25" customHeight="1" x14ac:dyDescent="0.2">
      <c r="A1039" s="2052" t="s">
        <v>2890</v>
      </c>
      <c r="B1039" s="2054" t="s">
        <v>3209</v>
      </c>
      <c r="C1039" s="2056" t="s">
        <v>3210</v>
      </c>
      <c r="D1039" s="1170" t="s">
        <v>195</v>
      </c>
      <c r="E1039" s="1462" t="s">
        <v>74</v>
      </c>
      <c r="F1039" s="1462" t="s">
        <v>1870</v>
      </c>
      <c r="G1039" s="1311" t="s">
        <v>1828</v>
      </c>
      <c r="H1039" s="1172"/>
      <c r="I1039" s="1172"/>
      <c r="J1039" s="1172"/>
      <c r="K1039" s="1172"/>
      <c r="L1039" s="1173">
        <v>-300000</v>
      </c>
      <c r="M1039" s="1172"/>
      <c r="N1039" s="1172"/>
      <c r="O1039" s="1172"/>
      <c r="P1039" s="1174"/>
      <c r="Q1039" s="1175"/>
      <c r="R1039" s="1172"/>
      <c r="S1039" s="1172"/>
      <c r="T1039" s="1172"/>
      <c r="U1039" s="1172"/>
      <c r="V1039" s="1172"/>
      <c r="W1039" s="1172"/>
      <c r="X1039" s="1176"/>
    </row>
    <row r="1040" spans="1:24" ht="41.25" customHeight="1" x14ac:dyDescent="0.2">
      <c r="A1040" s="2053"/>
      <c r="B1040" s="2055"/>
      <c r="C1040" s="2057"/>
      <c r="D1040" s="1170" t="s">
        <v>197</v>
      </c>
      <c r="E1040" s="1462" t="s">
        <v>1288</v>
      </c>
      <c r="F1040" s="1462" t="s">
        <v>535</v>
      </c>
      <c r="G1040" s="1311" t="s">
        <v>1829</v>
      </c>
      <c r="H1040" s="1172"/>
      <c r="I1040" s="1172"/>
      <c r="J1040" s="1172"/>
      <c r="K1040" s="1172"/>
      <c r="L1040" s="1173"/>
      <c r="M1040" s="1172"/>
      <c r="N1040" s="1172"/>
      <c r="O1040" s="1172"/>
      <c r="P1040" s="1174">
        <v>300000</v>
      </c>
      <c r="Q1040" s="1175"/>
      <c r="R1040" s="1172"/>
      <c r="S1040" s="1172"/>
      <c r="T1040" s="1172"/>
      <c r="U1040" s="1172"/>
      <c r="V1040" s="1172"/>
      <c r="W1040" s="1172"/>
      <c r="X1040" s="1176"/>
    </row>
    <row r="1041" spans="1:24" ht="41.25" customHeight="1" x14ac:dyDescent="0.2">
      <c r="A1041" s="2052" t="s">
        <v>2894</v>
      </c>
      <c r="B1041" s="2054" t="s">
        <v>3212</v>
      </c>
      <c r="C1041" s="2056" t="s">
        <v>3213</v>
      </c>
      <c r="D1041" s="1170" t="s">
        <v>195</v>
      </c>
      <c r="E1041" s="1462" t="s">
        <v>74</v>
      </c>
      <c r="F1041" s="1462" t="s">
        <v>1870</v>
      </c>
      <c r="G1041" s="1311" t="s">
        <v>1828</v>
      </c>
      <c r="H1041" s="1172"/>
      <c r="I1041" s="1172"/>
      <c r="J1041" s="1172"/>
      <c r="K1041" s="1172"/>
      <c r="L1041" s="1173">
        <v>-75000</v>
      </c>
      <c r="M1041" s="1172"/>
      <c r="N1041" s="1172"/>
      <c r="O1041" s="1172"/>
      <c r="P1041" s="1174"/>
      <c r="Q1041" s="1175"/>
      <c r="R1041" s="1172"/>
      <c r="S1041" s="1172"/>
      <c r="T1041" s="1172"/>
      <c r="U1041" s="1172"/>
      <c r="V1041" s="1172"/>
      <c r="W1041" s="1172"/>
      <c r="X1041" s="1176"/>
    </row>
    <row r="1042" spans="1:24" ht="41.25" customHeight="1" x14ac:dyDescent="0.2">
      <c r="A1042" s="2053"/>
      <c r="B1042" s="2055"/>
      <c r="C1042" s="2057"/>
      <c r="D1042" s="1170" t="s">
        <v>188</v>
      </c>
      <c r="E1042" s="1462" t="s">
        <v>1985</v>
      </c>
      <c r="F1042" s="1462" t="s">
        <v>1984</v>
      </c>
      <c r="G1042" s="1311" t="s">
        <v>1829</v>
      </c>
      <c r="H1042" s="1172"/>
      <c r="I1042" s="1172"/>
      <c r="J1042" s="1172">
        <f>59055+15945</f>
        <v>75000</v>
      </c>
      <c r="K1042" s="1172"/>
      <c r="L1042" s="1173"/>
      <c r="M1042" s="1172"/>
      <c r="N1042" s="1172"/>
      <c r="O1042" s="1172"/>
      <c r="P1042" s="1174"/>
      <c r="Q1042" s="1175"/>
      <c r="R1042" s="1172"/>
      <c r="S1042" s="1172"/>
      <c r="T1042" s="1172"/>
      <c r="U1042" s="1172"/>
      <c r="V1042" s="1172"/>
      <c r="W1042" s="1172"/>
      <c r="X1042" s="1176"/>
    </row>
    <row r="1043" spans="1:24" ht="41.25" customHeight="1" x14ac:dyDescent="0.2">
      <c r="A1043" s="1491"/>
      <c r="B1043" s="1490"/>
      <c r="C1043" s="1631" t="s">
        <v>3215</v>
      </c>
      <c r="D1043" s="1170" t="s">
        <v>197</v>
      </c>
      <c r="E1043" s="1462" t="s">
        <v>1288</v>
      </c>
      <c r="F1043" s="1462" t="s">
        <v>535</v>
      </c>
      <c r="G1043" s="1311" t="s">
        <v>1837</v>
      </c>
      <c r="H1043" s="1172"/>
      <c r="I1043" s="1172"/>
      <c r="J1043" s="1172"/>
      <c r="K1043" s="1172"/>
      <c r="L1043" s="1173"/>
      <c r="M1043" s="1172"/>
      <c r="N1043" s="1172"/>
      <c r="O1043" s="1172"/>
      <c r="P1043" s="1174">
        <f>-635000+635000</f>
        <v>0</v>
      </c>
      <c r="Q1043" s="1175"/>
      <c r="R1043" s="1172"/>
      <c r="S1043" s="1172"/>
      <c r="T1043" s="1172"/>
      <c r="U1043" s="1172"/>
      <c r="V1043" s="1172"/>
      <c r="W1043" s="1172"/>
      <c r="X1043" s="1176"/>
    </row>
    <row r="1044" spans="1:24" ht="36" customHeight="1" x14ac:dyDescent="0.2">
      <c r="A1044" s="2052" t="s">
        <v>2896</v>
      </c>
      <c r="B1044" s="2054" t="s">
        <v>3216</v>
      </c>
      <c r="C1044" s="2056" t="s">
        <v>3217</v>
      </c>
      <c r="D1044" s="1170" t="s">
        <v>193</v>
      </c>
      <c r="E1044" s="1462" t="s">
        <v>545</v>
      </c>
      <c r="F1044" s="1462" t="s">
        <v>830</v>
      </c>
      <c r="G1044" s="1311" t="s">
        <v>1828</v>
      </c>
      <c r="H1044" s="1172"/>
      <c r="I1044" s="1172"/>
      <c r="J1044" s="1172"/>
      <c r="K1044" s="1172"/>
      <c r="L1044" s="1173"/>
      <c r="M1044" s="1172">
        <f>-54935065-13509468</f>
        <v>-68444533</v>
      </c>
      <c r="N1044" s="1172"/>
      <c r="O1044" s="1172"/>
      <c r="P1044" s="1174"/>
      <c r="Q1044" s="1175"/>
      <c r="R1044" s="1172"/>
      <c r="S1044" s="1172"/>
      <c r="T1044" s="1172"/>
      <c r="U1044" s="1172"/>
      <c r="V1044" s="1172"/>
      <c r="W1044" s="1172"/>
      <c r="X1044" s="1176"/>
    </row>
    <row r="1045" spans="1:24" ht="36" customHeight="1" x14ac:dyDescent="0.2">
      <c r="A1045" s="2053"/>
      <c r="B1045" s="2055"/>
      <c r="C1045" s="2057"/>
      <c r="D1045" s="1170" t="s">
        <v>193</v>
      </c>
      <c r="E1045" s="1462" t="s">
        <v>545</v>
      </c>
      <c r="F1045" s="1462" t="s">
        <v>831</v>
      </c>
      <c r="G1045" s="1311" t="s">
        <v>1829</v>
      </c>
      <c r="H1045" s="1172"/>
      <c r="I1045" s="1172"/>
      <c r="J1045" s="1172"/>
      <c r="K1045" s="1172"/>
      <c r="L1045" s="1173"/>
      <c r="M1045" s="1172">
        <f>54935065+13509468</f>
        <v>68444533</v>
      </c>
      <c r="N1045" s="1172"/>
      <c r="O1045" s="1172"/>
      <c r="P1045" s="1174"/>
      <c r="Q1045" s="1175"/>
      <c r="R1045" s="1172"/>
      <c r="S1045" s="1172"/>
      <c r="T1045" s="1172"/>
      <c r="U1045" s="1172"/>
      <c r="V1045" s="1172"/>
      <c r="W1045" s="1172"/>
      <c r="X1045" s="1176"/>
    </row>
    <row r="1046" spans="1:24" ht="24" customHeight="1" x14ac:dyDescent="0.2">
      <c r="A1046" s="2052" t="s">
        <v>2898</v>
      </c>
      <c r="B1046" s="2054" t="s">
        <v>3218</v>
      </c>
      <c r="C1046" s="2056" t="s">
        <v>3219</v>
      </c>
      <c r="D1046" s="1170" t="s">
        <v>188</v>
      </c>
      <c r="E1046" s="1462" t="s">
        <v>2271</v>
      </c>
      <c r="F1046" s="1462" t="s">
        <v>2269</v>
      </c>
      <c r="G1046" s="1311" t="s">
        <v>1828</v>
      </c>
      <c r="H1046" s="1172"/>
      <c r="I1046" s="1172"/>
      <c r="J1046" s="1172">
        <f>-160400-43308</f>
        <v>-203708</v>
      </c>
      <c r="K1046" s="1172"/>
      <c r="L1046" s="1173"/>
      <c r="M1046" s="1172"/>
      <c r="N1046" s="1172"/>
      <c r="O1046" s="1172"/>
      <c r="P1046" s="1174"/>
      <c r="Q1046" s="1175"/>
      <c r="R1046" s="1172"/>
      <c r="S1046" s="1172"/>
      <c r="T1046" s="1172"/>
      <c r="U1046" s="1172"/>
      <c r="V1046" s="1172"/>
      <c r="W1046" s="1172"/>
      <c r="X1046" s="1176"/>
    </row>
    <row r="1047" spans="1:24" ht="24" customHeight="1" x14ac:dyDescent="0.2">
      <c r="A1047" s="2053"/>
      <c r="B1047" s="2055"/>
      <c r="C1047" s="2057"/>
      <c r="D1047" s="1170" t="s">
        <v>188</v>
      </c>
      <c r="E1047" s="1462" t="s">
        <v>813</v>
      </c>
      <c r="F1047" s="1462" t="s">
        <v>812</v>
      </c>
      <c r="G1047" s="1311" t="s">
        <v>1829</v>
      </c>
      <c r="H1047" s="1172"/>
      <c r="I1047" s="1172"/>
      <c r="J1047" s="1172"/>
      <c r="K1047" s="1172"/>
      <c r="L1047" s="1173"/>
      <c r="M1047" s="1172">
        <f>160400+43308</f>
        <v>203708</v>
      </c>
      <c r="N1047" s="1172"/>
      <c r="O1047" s="1172"/>
      <c r="P1047" s="1174"/>
      <c r="Q1047" s="1175"/>
      <c r="R1047" s="1172"/>
      <c r="S1047" s="1172"/>
      <c r="T1047" s="1172"/>
      <c r="U1047" s="1172"/>
      <c r="V1047" s="1172"/>
      <c r="W1047" s="1172"/>
      <c r="X1047" s="1176"/>
    </row>
    <row r="1048" spans="1:24" ht="29.25" customHeight="1" x14ac:dyDescent="0.2">
      <c r="A1048" s="2052" t="s">
        <v>2901</v>
      </c>
      <c r="B1048" s="2054" t="s">
        <v>3221</v>
      </c>
      <c r="C1048" s="2056" t="s">
        <v>3222</v>
      </c>
      <c r="D1048" s="1170" t="s">
        <v>195</v>
      </c>
      <c r="E1048" s="1462" t="s">
        <v>74</v>
      </c>
      <c r="F1048" s="1462" t="s">
        <v>1870</v>
      </c>
      <c r="G1048" s="1311" t="s">
        <v>1828</v>
      </c>
      <c r="H1048" s="1172"/>
      <c r="I1048" s="1172"/>
      <c r="J1048" s="1172"/>
      <c r="K1048" s="1172"/>
      <c r="L1048" s="1173">
        <v>-1103757</v>
      </c>
      <c r="M1048" s="1172"/>
      <c r="N1048" s="1172"/>
      <c r="O1048" s="1172"/>
      <c r="P1048" s="1174"/>
      <c r="Q1048" s="1175"/>
      <c r="R1048" s="1172"/>
      <c r="S1048" s="1172"/>
      <c r="T1048" s="1172"/>
      <c r="U1048" s="1172"/>
      <c r="V1048" s="1172"/>
      <c r="W1048" s="1172"/>
      <c r="X1048" s="1176"/>
    </row>
    <row r="1049" spans="1:24" ht="29.25" customHeight="1" x14ac:dyDescent="0.2">
      <c r="A1049" s="2053"/>
      <c r="B1049" s="2055"/>
      <c r="C1049" s="2057"/>
      <c r="D1049" s="1170" t="s">
        <v>194</v>
      </c>
      <c r="E1049" s="1462" t="s">
        <v>620</v>
      </c>
      <c r="F1049" s="1462" t="s">
        <v>134</v>
      </c>
      <c r="G1049" s="1311" t="s">
        <v>1829</v>
      </c>
      <c r="H1049" s="1172"/>
      <c r="I1049" s="1172"/>
      <c r="J1049" s="1172"/>
      <c r="K1049" s="1172"/>
      <c r="L1049" s="1173"/>
      <c r="M1049" s="1172"/>
      <c r="N1049" s="1172">
        <f>869100+234657</f>
        <v>1103757</v>
      </c>
      <c r="O1049" s="1172"/>
      <c r="P1049" s="1174"/>
      <c r="Q1049" s="1175"/>
      <c r="R1049" s="1172"/>
      <c r="S1049" s="1172"/>
      <c r="T1049" s="1172"/>
      <c r="U1049" s="1172"/>
      <c r="V1049" s="1172"/>
      <c r="W1049" s="1172"/>
      <c r="X1049" s="1176"/>
    </row>
    <row r="1050" spans="1:24" ht="33.75" customHeight="1" x14ac:dyDescent="0.2">
      <c r="A1050" s="2052" t="s">
        <v>2903</v>
      </c>
      <c r="B1050" s="2054" t="s">
        <v>3223</v>
      </c>
      <c r="C1050" s="2056" t="s">
        <v>3224</v>
      </c>
      <c r="D1050" s="1170" t="s">
        <v>195</v>
      </c>
      <c r="E1050" s="1462" t="s">
        <v>74</v>
      </c>
      <c r="F1050" s="1462" t="s">
        <v>1870</v>
      </c>
      <c r="G1050" s="1311" t="s">
        <v>1828</v>
      </c>
      <c r="H1050" s="1172"/>
      <c r="I1050" s="1172"/>
      <c r="J1050" s="1172"/>
      <c r="K1050" s="1172"/>
      <c r="L1050" s="1173">
        <v>-406400</v>
      </c>
      <c r="M1050" s="1172"/>
      <c r="N1050" s="1172"/>
      <c r="O1050" s="1172"/>
      <c r="P1050" s="1174"/>
      <c r="Q1050" s="1175"/>
      <c r="R1050" s="1172"/>
      <c r="S1050" s="1172"/>
      <c r="T1050" s="1172"/>
      <c r="U1050" s="1172"/>
      <c r="V1050" s="1172"/>
      <c r="W1050" s="1172"/>
      <c r="X1050" s="1176"/>
    </row>
    <row r="1051" spans="1:24" ht="33.75" customHeight="1" x14ac:dyDescent="0.2">
      <c r="A1051" s="2053"/>
      <c r="B1051" s="2055"/>
      <c r="C1051" s="2057"/>
      <c r="D1051" s="1170" t="s">
        <v>188</v>
      </c>
      <c r="E1051" s="1462" t="s">
        <v>545</v>
      </c>
      <c r="F1051" s="1462" t="s">
        <v>831</v>
      </c>
      <c r="G1051" s="1311" t="s">
        <v>1829</v>
      </c>
      <c r="H1051" s="1172"/>
      <c r="I1051" s="1172"/>
      <c r="J1051" s="1172">
        <f>320000+86400</f>
        <v>406400</v>
      </c>
      <c r="K1051" s="1172"/>
      <c r="L1051" s="1173"/>
      <c r="M1051" s="1172"/>
      <c r="N1051" s="1172"/>
      <c r="O1051" s="1172"/>
      <c r="P1051" s="1174"/>
      <c r="Q1051" s="1175"/>
      <c r="R1051" s="1172"/>
      <c r="S1051" s="1172"/>
      <c r="T1051" s="1172"/>
      <c r="U1051" s="1172"/>
      <c r="V1051" s="1172"/>
      <c r="W1051" s="1172"/>
      <c r="X1051" s="1176"/>
    </row>
    <row r="1052" spans="1:24" ht="29.25" customHeight="1" x14ac:dyDescent="0.2">
      <c r="A1052" s="2052" t="s">
        <v>2905</v>
      </c>
      <c r="B1052" s="2054" t="s">
        <v>3225</v>
      </c>
      <c r="C1052" s="2056" t="s">
        <v>3226</v>
      </c>
      <c r="D1052" s="1170" t="s">
        <v>195</v>
      </c>
      <c r="E1052" s="1462" t="s">
        <v>74</v>
      </c>
      <c r="F1052" s="1462" t="s">
        <v>1870</v>
      </c>
      <c r="G1052" s="1311" t="s">
        <v>1828</v>
      </c>
      <c r="H1052" s="1172"/>
      <c r="I1052" s="1172"/>
      <c r="J1052" s="1172"/>
      <c r="K1052" s="1172"/>
      <c r="L1052" s="1173">
        <v>-190500</v>
      </c>
      <c r="M1052" s="1172"/>
      <c r="N1052" s="1172"/>
      <c r="O1052" s="1172"/>
      <c r="P1052" s="1174"/>
      <c r="Q1052" s="1175"/>
      <c r="R1052" s="1172"/>
      <c r="S1052" s="1172"/>
      <c r="T1052" s="1172"/>
      <c r="U1052" s="1172"/>
      <c r="V1052" s="1172"/>
      <c r="W1052" s="1172"/>
      <c r="X1052" s="1176"/>
    </row>
    <row r="1053" spans="1:24" ht="29.25" customHeight="1" x14ac:dyDescent="0.2">
      <c r="A1053" s="2053"/>
      <c r="B1053" s="2055"/>
      <c r="C1053" s="2057"/>
      <c r="D1053" s="1170" t="s">
        <v>194</v>
      </c>
      <c r="E1053" s="1462" t="s">
        <v>620</v>
      </c>
      <c r="F1053" s="1462" t="s">
        <v>134</v>
      </c>
      <c r="G1053" s="1311" t="s">
        <v>1829</v>
      </c>
      <c r="H1053" s="1172"/>
      <c r="I1053" s="1172"/>
      <c r="J1053" s="1172"/>
      <c r="K1053" s="1172"/>
      <c r="L1053" s="1173"/>
      <c r="M1053" s="1172"/>
      <c r="N1053" s="1172">
        <f>150000+40500</f>
        <v>190500</v>
      </c>
      <c r="O1053" s="1172"/>
      <c r="P1053" s="1174"/>
      <c r="Q1053" s="1175"/>
      <c r="R1053" s="1172"/>
      <c r="S1053" s="1172"/>
      <c r="T1053" s="1172"/>
      <c r="U1053" s="1172"/>
      <c r="V1053" s="1172"/>
      <c r="W1053" s="1172"/>
      <c r="X1053" s="1176"/>
    </row>
    <row r="1054" spans="1:24" ht="30" customHeight="1" x14ac:dyDescent="0.2">
      <c r="A1054" s="2052" t="s">
        <v>2908</v>
      </c>
      <c r="B1054" s="2054" t="s">
        <v>3227</v>
      </c>
      <c r="C1054" s="2056" t="s">
        <v>3228</v>
      </c>
      <c r="D1054" s="1170" t="s">
        <v>195</v>
      </c>
      <c r="E1054" s="1462" t="s">
        <v>74</v>
      </c>
      <c r="F1054" s="1462" t="s">
        <v>1870</v>
      </c>
      <c r="G1054" s="1311" t="s">
        <v>1828</v>
      </c>
      <c r="H1054" s="1172"/>
      <c r="I1054" s="1172"/>
      <c r="J1054" s="1172"/>
      <c r="K1054" s="1172"/>
      <c r="L1054" s="1173">
        <v>-482600</v>
      </c>
      <c r="M1054" s="1172"/>
      <c r="N1054" s="1172"/>
      <c r="O1054" s="1172"/>
      <c r="P1054" s="1174"/>
      <c r="Q1054" s="1175"/>
      <c r="R1054" s="1172"/>
      <c r="S1054" s="1172"/>
      <c r="T1054" s="1172"/>
      <c r="U1054" s="1172"/>
      <c r="V1054" s="1172"/>
      <c r="W1054" s="1172"/>
      <c r="X1054" s="1176"/>
    </row>
    <row r="1055" spans="1:24" ht="30" customHeight="1" x14ac:dyDescent="0.2">
      <c r="A1055" s="2053"/>
      <c r="B1055" s="2055"/>
      <c r="C1055" s="2057"/>
      <c r="D1055" s="1170" t="s">
        <v>194</v>
      </c>
      <c r="E1055" s="1462" t="s">
        <v>1502</v>
      </c>
      <c r="F1055" s="1462" t="s">
        <v>1501</v>
      </c>
      <c r="G1055" s="1311" t="s">
        <v>1829</v>
      </c>
      <c r="H1055" s="1172"/>
      <c r="I1055" s="1172"/>
      <c r="J1055" s="1172"/>
      <c r="K1055" s="1172"/>
      <c r="L1055" s="1173"/>
      <c r="M1055" s="1172"/>
      <c r="N1055" s="1172">
        <f>380000+102600</f>
        <v>482600</v>
      </c>
      <c r="O1055" s="1172"/>
      <c r="P1055" s="1174"/>
      <c r="Q1055" s="1175"/>
      <c r="R1055" s="1172"/>
      <c r="S1055" s="1172"/>
      <c r="T1055" s="1172"/>
      <c r="U1055" s="1172"/>
      <c r="V1055" s="1172"/>
      <c r="W1055" s="1172"/>
      <c r="X1055" s="1176"/>
    </row>
    <row r="1056" spans="1:24" ht="23.25" customHeight="1" x14ac:dyDescent="0.2">
      <c r="A1056" s="2052" t="s">
        <v>2911</v>
      </c>
      <c r="B1056" s="2054" t="s">
        <v>3229</v>
      </c>
      <c r="C1056" s="2056" t="s">
        <v>3230</v>
      </c>
      <c r="D1056" s="1170" t="s">
        <v>188</v>
      </c>
      <c r="E1056" s="1462" t="s">
        <v>2129</v>
      </c>
      <c r="F1056" s="1462" t="s">
        <v>2268</v>
      </c>
      <c r="G1056" s="1311" t="s">
        <v>1828</v>
      </c>
      <c r="H1056" s="1172"/>
      <c r="I1056" s="1172"/>
      <c r="J1056" s="1172">
        <f>-676317-276183</f>
        <v>-952500</v>
      </c>
      <c r="K1056" s="1172"/>
      <c r="L1056" s="1173"/>
      <c r="M1056" s="1172"/>
      <c r="N1056" s="1172"/>
      <c r="O1056" s="1172"/>
      <c r="P1056" s="1174"/>
      <c r="Q1056" s="1175"/>
      <c r="R1056" s="1172"/>
      <c r="S1056" s="1172"/>
      <c r="T1056" s="1172"/>
      <c r="U1056" s="1172"/>
      <c r="V1056" s="1172"/>
      <c r="W1056" s="1172"/>
      <c r="X1056" s="1176"/>
    </row>
    <row r="1057" spans="1:24" ht="23.25" customHeight="1" x14ac:dyDescent="0.2">
      <c r="A1057" s="2053"/>
      <c r="B1057" s="2055"/>
      <c r="C1057" s="2057"/>
      <c r="D1057" s="1170" t="s">
        <v>188</v>
      </c>
      <c r="E1057" s="1462" t="s">
        <v>2270</v>
      </c>
      <c r="F1057" s="1462" t="s">
        <v>2128</v>
      </c>
      <c r="G1057" s="1311" t="s">
        <v>1829</v>
      </c>
      <c r="H1057" s="1172"/>
      <c r="I1057" s="1172"/>
      <c r="J1057" s="1172">
        <f>750000+202500</f>
        <v>952500</v>
      </c>
      <c r="K1057" s="1172"/>
      <c r="L1057" s="1173"/>
      <c r="M1057" s="1172"/>
      <c r="N1057" s="1172"/>
      <c r="O1057" s="1172"/>
      <c r="P1057" s="1174"/>
      <c r="Q1057" s="1175"/>
      <c r="R1057" s="1172"/>
      <c r="S1057" s="1172"/>
      <c r="T1057" s="1172"/>
      <c r="U1057" s="1172"/>
      <c r="V1057" s="1172"/>
      <c r="W1057" s="1172"/>
      <c r="X1057" s="1176"/>
    </row>
    <row r="1058" spans="1:24" ht="25.5" customHeight="1" x14ac:dyDescent="0.2">
      <c r="A1058" s="2052" t="s">
        <v>2913</v>
      </c>
      <c r="B1058" s="2054" t="s">
        <v>3231</v>
      </c>
      <c r="C1058" s="2056" t="s">
        <v>3232</v>
      </c>
      <c r="D1058" s="1170" t="s">
        <v>195</v>
      </c>
      <c r="E1058" s="1462" t="s">
        <v>74</v>
      </c>
      <c r="F1058" s="1462" t="s">
        <v>1870</v>
      </c>
      <c r="G1058" s="1311" t="s">
        <v>1828</v>
      </c>
      <c r="H1058" s="1172"/>
      <c r="I1058" s="1172"/>
      <c r="J1058" s="1172"/>
      <c r="K1058" s="1172"/>
      <c r="L1058" s="1173">
        <v>-749300</v>
      </c>
      <c r="M1058" s="1172"/>
      <c r="N1058" s="1172"/>
      <c r="O1058" s="1172"/>
      <c r="P1058" s="1174"/>
      <c r="Q1058" s="1175"/>
      <c r="R1058" s="1172"/>
      <c r="S1058" s="1172"/>
      <c r="T1058" s="1172"/>
      <c r="U1058" s="1172"/>
      <c r="V1058" s="1172"/>
      <c r="W1058" s="1172"/>
      <c r="X1058" s="1176"/>
    </row>
    <row r="1059" spans="1:24" ht="25.5" customHeight="1" x14ac:dyDescent="0.2">
      <c r="A1059" s="2053"/>
      <c r="B1059" s="2055"/>
      <c r="C1059" s="2057"/>
      <c r="D1059" s="1170" t="s">
        <v>193</v>
      </c>
      <c r="E1059" s="1462" t="s">
        <v>584</v>
      </c>
      <c r="F1059" s="1462" t="s">
        <v>135</v>
      </c>
      <c r="G1059" s="1311" t="s">
        <v>1829</v>
      </c>
      <c r="H1059" s="1172"/>
      <c r="I1059" s="1172"/>
      <c r="J1059" s="1172"/>
      <c r="K1059" s="1172"/>
      <c r="L1059" s="1173"/>
      <c r="M1059" s="1172">
        <f>590000+159300</f>
        <v>749300</v>
      </c>
      <c r="N1059" s="1172"/>
      <c r="O1059" s="1172"/>
      <c r="P1059" s="1174"/>
      <c r="Q1059" s="1175"/>
      <c r="R1059" s="1172"/>
      <c r="S1059" s="1172"/>
      <c r="T1059" s="1172"/>
      <c r="U1059" s="1172"/>
      <c r="V1059" s="1172"/>
      <c r="W1059" s="1172"/>
      <c r="X1059" s="1176"/>
    </row>
    <row r="1060" spans="1:24" ht="35.25" customHeight="1" x14ac:dyDescent="0.2">
      <c r="A1060" s="2052" t="s">
        <v>2916</v>
      </c>
      <c r="B1060" s="2054" t="s">
        <v>3233</v>
      </c>
      <c r="C1060" s="2056" t="s">
        <v>3234</v>
      </c>
      <c r="D1060" s="1170" t="s">
        <v>195</v>
      </c>
      <c r="E1060" s="1462" t="s">
        <v>74</v>
      </c>
      <c r="F1060" s="1462" t="s">
        <v>1870</v>
      </c>
      <c r="G1060" s="1311" t="s">
        <v>1828</v>
      </c>
      <c r="H1060" s="1172"/>
      <c r="I1060" s="1172"/>
      <c r="J1060" s="1172"/>
      <c r="K1060" s="1172"/>
      <c r="L1060" s="1173">
        <v>-16320000</v>
      </c>
      <c r="M1060" s="1172"/>
      <c r="N1060" s="1172"/>
      <c r="O1060" s="1172"/>
      <c r="P1060" s="1174"/>
      <c r="Q1060" s="1175"/>
      <c r="R1060" s="1172"/>
      <c r="S1060" s="1172"/>
      <c r="T1060" s="1172"/>
      <c r="U1060" s="1172"/>
      <c r="V1060" s="1172"/>
      <c r="W1060" s="1172"/>
      <c r="X1060" s="1176"/>
    </row>
    <row r="1061" spans="1:24" ht="35.25" customHeight="1" x14ac:dyDescent="0.2">
      <c r="A1061" s="2053"/>
      <c r="B1061" s="2055"/>
      <c r="C1061" s="2057"/>
      <c r="D1061" s="1170" t="s">
        <v>193</v>
      </c>
      <c r="E1061" s="1462" t="s">
        <v>620</v>
      </c>
      <c r="F1061" s="1462" t="s">
        <v>134</v>
      </c>
      <c r="G1061" s="1311" t="s">
        <v>1829</v>
      </c>
      <c r="H1061" s="1172"/>
      <c r="I1061" s="1172"/>
      <c r="J1061" s="1172"/>
      <c r="K1061" s="1172"/>
      <c r="L1061" s="1173"/>
      <c r="M1061" s="1172">
        <v>16320000</v>
      </c>
      <c r="N1061" s="1172"/>
      <c r="O1061" s="1172"/>
      <c r="P1061" s="1174"/>
      <c r="Q1061" s="1175"/>
      <c r="R1061" s="1172"/>
      <c r="S1061" s="1172"/>
      <c r="T1061" s="1172"/>
      <c r="U1061" s="1172"/>
      <c r="V1061" s="1172"/>
      <c r="W1061" s="1172"/>
      <c r="X1061" s="1176"/>
    </row>
    <row r="1062" spans="1:24" ht="40.5" customHeight="1" x14ac:dyDescent="0.2">
      <c r="A1062" s="2052" t="s">
        <v>2918</v>
      </c>
      <c r="B1062" s="2054" t="s">
        <v>3236</v>
      </c>
      <c r="C1062" s="2056" t="s">
        <v>3237</v>
      </c>
      <c r="D1062" s="1170" t="s">
        <v>188</v>
      </c>
      <c r="E1062" s="1462" t="s">
        <v>620</v>
      </c>
      <c r="F1062" s="1462" t="s">
        <v>68</v>
      </c>
      <c r="G1062" s="1311" t="s">
        <v>1828</v>
      </c>
      <c r="H1062" s="1172"/>
      <c r="I1062" s="1172"/>
      <c r="J1062" s="1172"/>
      <c r="K1062" s="1172"/>
      <c r="L1062" s="1173"/>
      <c r="M1062" s="1172"/>
      <c r="N1062" s="1172"/>
      <c r="O1062" s="1172"/>
      <c r="P1062" s="1174"/>
      <c r="Q1062" s="1175"/>
      <c r="R1062" s="1172"/>
      <c r="S1062" s="1172"/>
      <c r="T1062" s="1172"/>
      <c r="U1062" s="1172">
        <v>-50074200</v>
      </c>
      <c r="V1062" s="1172"/>
      <c r="W1062" s="1172"/>
      <c r="X1062" s="1176"/>
    </row>
    <row r="1063" spans="1:24" ht="40.5" customHeight="1" x14ac:dyDescent="0.2">
      <c r="A1063" s="2053"/>
      <c r="B1063" s="2055"/>
      <c r="C1063" s="2057"/>
      <c r="D1063" s="1170" t="s">
        <v>195</v>
      </c>
      <c r="E1063" s="1462" t="s">
        <v>74</v>
      </c>
      <c r="F1063" s="1462" t="s">
        <v>1870</v>
      </c>
      <c r="G1063" s="1311" t="s">
        <v>1828</v>
      </c>
      <c r="H1063" s="1172"/>
      <c r="I1063" s="1172"/>
      <c r="J1063" s="1172"/>
      <c r="K1063" s="1172"/>
      <c r="L1063" s="1173">
        <v>-50074200</v>
      </c>
      <c r="M1063" s="1172"/>
      <c r="N1063" s="1172"/>
      <c r="O1063" s="1172"/>
      <c r="P1063" s="1174"/>
      <c r="Q1063" s="1175"/>
      <c r="R1063" s="1172"/>
      <c r="S1063" s="1172"/>
      <c r="T1063" s="1172"/>
      <c r="U1063" s="1172"/>
      <c r="V1063" s="1172"/>
      <c r="W1063" s="1172"/>
      <c r="X1063" s="1176"/>
    </row>
    <row r="1064" spans="1:24" ht="34.5" customHeight="1" x14ac:dyDescent="0.2">
      <c r="A1064" s="1491" t="s">
        <v>2920</v>
      </c>
      <c r="B1064" s="1490" t="s">
        <v>3238</v>
      </c>
      <c r="C1064" s="1631" t="s">
        <v>3239</v>
      </c>
      <c r="D1064" s="1170" t="s">
        <v>188</v>
      </c>
      <c r="E1064" s="1462" t="s">
        <v>1971</v>
      </c>
      <c r="F1064" s="1462" t="s">
        <v>466</v>
      </c>
      <c r="G1064" s="1311" t="s">
        <v>1837</v>
      </c>
      <c r="H1064" s="1172"/>
      <c r="I1064" s="1172"/>
      <c r="J1064" s="1172">
        <f>42520-42520</f>
        <v>0</v>
      </c>
      <c r="K1064" s="1172"/>
      <c r="L1064" s="1173"/>
      <c r="M1064" s="1172"/>
      <c r="N1064" s="1172"/>
      <c r="O1064" s="1172"/>
      <c r="P1064" s="1174"/>
      <c r="Q1064" s="1175"/>
      <c r="R1064" s="1172"/>
      <c r="S1064" s="1172"/>
      <c r="T1064" s="1172"/>
      <c r="U1064" s="1172"/>
      <c r="V1064" s="1172"/>
      <c r="W1064" s="1172"/>
      <c r="X1064" s="1176"/>
    </row>
    <row r="1065" spans="1:24" ht="55.5" customHeight="1" x14ac:dyDescent="0.2">
      <c r="A1065" s="1491" t="s">
        <v>3240</v>
      </c>
      <c r="B1065" s="1490" t="s">
        <v>3241</v>
      </c>
      <c r="C1065" s="1631" t="s">
        <v>3242</v>
      </c>
      <c r="D1065" s="1170" t="s">
        <v>188</v>
      </c>
      <c r="E1065" s="1462" t="s">
        <v>589</v>
      </c>
      <c r="F1065" s="1462" t="s">
        <v>587</v>
      </c>
      <c r="G1065" s="1311" t="s">
        <v>1837</v>
      </c>
      <c r="H1065" s="1172"/>
      <c r="I1065" s="1172"/>
      <c r="J1065" s="1172">
        <f>-6357+6357</f>
        <v>0</v>
      </c>
      <c r="K1065" s="1172"/>
      <c r="L1065" s="1173"/>
      <c r="M1065" s="1172"/>
      <c r="N1065" s="1172"/>
      <c r="O1065" s="1172"/>
      <c r="P1065" s="1174"/>
      <c r="Q1065" s="1175"/>
      <c r="R1065" s="1172"/>
      <c r="S1065" s="1172"/>
      <c r="T1065" s="1172"/>
      <c r="U1065" s="1172"/>
      <c r="V1065" s="1172"/>
      <c r="W1065" s="1172"/>
      <c r="X1065" s="1176"/>
    </row>
    <row r="1066" spans="1:24" ht="36.75" customHeight="1" x14ac:dyDescent="0.2">
      <c r="A1066" s="1491" t="s">
        <v>3243</v>
      </c>
      <c r="B1066" s="1490" t="s">
        <v>3244</v>
      </c>
      <c r="C1066" s="1631" t="s">
        <v>3245</v>
      </c>
      <c r="D1066" s="1170" t="s">
        <v>188</v>
      </c>
      <c r="E1066" s="1462" t="s">
        <v>74</v>
      </c>
      <c r="F1066" s="1462" t="s">
        <v>440</v>
      </c>
      <c r="G1066" s="1311" t="s">
        <v>1837</v>
      </c>
      <c r="H1066" s="1172"/>
      <c r="I1066" s="1172"/>
      <c r="J1066" s="1172">
        <v>400000</v>
      </c>
      <c r="K1066" s="1172"/>
      <c r="L1066" s="1173"/>
      <c r="M1066" s="1172">
        <v>-400000</v>
      </c>
      <c r="N1066" s="1172"/>
      <c r="O1066" s="1172"/>
      <c r="P1066" s="1174"/>
      <c r="Q1066" s="1175"/>
      <c r="R1066" s="1172"/>
      <c r="S1066" s="1172"/>
      <c r="T1066" s="1172"/>
      <c r="U1066" s="1172"/>
      <c r="V1066" s="1172"/>
      <c r="W1066" s="1172"/>
      <c r="X1066" s="1176"/>
    </row>
    <row r="1067" spans="1:24" ht="22.5" customHeight="1" x14ac:dyDescent="0.2">
      <c r="A1067" s="2052" t="s">
        <v>2926</v>
      </c>
      <c r="B1067" s="2054" t="s">
        <v>3246</v>
      </c>
      <c r="C1067" s="2056" t="s">
        <v>3247</v>
      </c>
      <c r="D1067" s="1170" t="s">
        <v>188</v>
      </c>
      <c r="E1067" s="1462" t="s">
        <v>542</v>
      </c>
      <c r="F1067" s="1462" t="s">
        <v>447</v>
      </c>
      <c r="G1067" s="1311" t="s">
        <v>1829</v>
      </c>
      <c r="H1067" s="1172"/>
      <c r="I1067" s="1172"/>
      <c r="J1067" s="1172">
        <v>100000</v>
      </c>
      <c r="K1067" s="1172"/>
      <c r="L1067" s="1173"/>
      <c r="M1067" s="1172"/>
      <c r="N1067" s="1172"/>
      <c r="O1067" s="1172"/>
      <c r="P1067" s="1174"/>
      <c r="Q1067" s="1175"/>
      <c r="R1067" s="1172"/>
      <c r="S1067" s="1172"/>
      <c r="T1067" s="1172">
        <v>100000</v>
      </c>
      <c r="U1067" s="1172"/>
      <c r="V1067" s="1172"/>
      <c r="W1067" s="1172"/>
      <c r="X1067" s="1176"/>
    </row>
    <row r="1068" spans="1:24" ht="22.5" customHeight="1" x14ac:dyDescent="0.2">
      <c r="A1068" s="2053"/>
      <c r="B1068" s="2055"/>
      <c r="C1068" s="2057"/>
      <c r="D1068" s="1170" t="s">
        <v>188</v>
      </c>
      <c r="E1068" s="1462" t="s">
        <v>542</v>
      </c>
      <c r="F1068" s="1462" t="s">
        <v>449</v>
      </c>
      <c r="G1068" s="1311" t="s">
        <v>1829</v>
      </c>
      <c r="H1068" s="1172"/>
      <c r="I1068" s="1172"/>
      <c r="J1068" s="1172">
        <f>500000+500000+800000+1700000</f>
        <v>3500000</v>
      </c>
      <c r="K1068" s="1172"/>
      <c r="L1068" s="1173"/>
      <c r="M1068" s="1172"/>
      <c r="N1068" s="1172"/>
      <c r="O1068" s="1172"/>
      <c r="P1068" s="1174"/>
      <c r="Q1068" s="1175"/>
      <c r="R1068" s="1172"/>
      <c r="S1068" s="1172"/>
      <c r="T1068" s="1172">
        <f>3000000+500000</f>
        <v>3500000</v>
      </c>
      <c r="U1068" s="1172"/>
      <c r="V1068" s="1172"/>
      <c r="W1068" s="1172"/>
      <c r="X1068" s="1176"/>
    </row>
    <row r="1069" spans="1:24" ht="48" customHeight="1" x14ac:dyDescent="0.2">
      <c r="A1069" s="1491" t="s">
        <v>2929</v>
      </c>
      <c r="B1069" s="1490" t="s">
        <v>3248</v>
      </c>
      <c r="C1069" s="1631" t="s">
        <v>3249</v>
      </c>
      <c r="D1069" s="1170" t="s">
        <v>188</v>
      </c>
      <c r="E1069" s="1462" t="s">
        <v>131</v>
      </c>
      <c r="F1069" s="1462" t="s">
        <v>2321</v>
      </c>
      <c r="G1069" s="1311" t="s">
        <v>1837</v>
      </c>
      <c r="H1069" s="1172"/>
      <c r="I1069" s="1172"/>
      <c r="J1069" s="1172">
        <f>-38100+30000+8100</f>
        <v>0</v>
      </c>
      <c r="K1069" s="1172"/>
      <c r="L1069" s="1173"/>
      <c r="M1069" s="1172"/>
      <c r="N1069" s="1172"/>
      <c r="O1069" s="1172"/>
      <c r="P1069" s="1174"/>
      <c r="Q1069" s="1175"/>
      <c r="R1069" s="1172"/>
      <c r="S1069" s="1172"/>
      <c r="T1069" s="1172"/>
      <c r="U1069" s="1172"/>
      <c r="V1069" s="1172"/>
      <c r="W1069" s="1172"/>
      <c r="X1069" s="1176"/>
    </row>
    <row r="1070" spans="1:24" ht="48.75" customHeight="1" x14ac:dyDescent="0.2">
      <c r="A1070" s="2052" t="s">
        <v>3250</v>
      </c>
      <c r="B1070" s="2054" t="s">
        <v>3320</v>
      </c>
      <c r="C1070" s="2056" t="s">
        <v>3251</v>
      </c>
      <c r="D1070" s="1170" t="s">
        <v>198</v>
      </c>
      <c r="E1070" s="1462" t="s">
        <v>1375</v>
      </c>
      <c r="F1070" s="1462" t="s">
        <v>1878</v>
      </c>
      <c r="G1070" s="1311" t="s">
        <v>1829</v>
      </c>
      <c r="H1070" s="1172"/>
      <c r="I1070" s="1172"/>
      <c r="J1070" s="1172"/>
      <c r="K1070" s="1172"/>
      <c r="L1070" s="1173"/>
      <c r="M1070" s="1172"/>
      <c r="N1070" s="1172"/>
      <c r="O1070" s="1172"/>
      <c r="P1070" s="1174"/>
      <c r="Q1070" s="1175">
        <v>162737290</v>
      </c>
      <c r="R1070" s="1172"/>
      <c r="S1070" s="1172"/>
      <c r="T1070" s="1172"/>
      <c r="U1070" s="1172"/>
      <c r="V1070" s="1172"/>
      <c r="W1070" s="1172"/>
      <c r="X1070" s="1176"/>
    </row>
    <row r="1071" spans="1:24" ht="48.75" customHeight="1" x14ac:dyDescent="0.2">
      <c r="A1071" s="2053"/>
      <c r="B1071" s="2055"/>
      <c r="C1071" s="2057"/>
      <c r="D1071" s="1170" t="s">
        <v>195</v>
      </c>
      <c r="E1071" s="1462" t="s">
        <v>74</v>
      </c>
      <c r="F1071" s="1462" t="s">
        <v>1870</v>
      </c>
      <c r="G1071" s="1311" t="s">
        <v>1829</v>
      </c>
      <c r="H1071" s="1172"/>
      <c r="I1071" s="1172"/>
      <c r="J1071" s="1172"/>
      <c r="K1071" s="1172"/>
      <c r="L1071" s="1173">
        <v>162737290</v>
      </c>
      <c r="M1071" s="1172"/>
      <c r="N1071" s="1172"/>
      <c r="O1071" s="1172"/>
      <c r="P1071" s="1174"/>
      <c r="Q1071" s="1175"/>
      <c r="R1071" s="1172"/>
      <c r="S1071" s="1172"/>
      <c r="T1071" s="1172"/>
      <c r="U1071" s="1172"/>
      <c r="V1071" s="1172"/>
      <c r="W1071" s="1172"/>
      <c r="X1071" s="1176"/>
    </row>
    <row r="1072" spans="1:24" ht="35.25" customHeight="1" x14ac:dyDescent="0.2">
      <c r="A1072" s="1491" t="s">
        <v>2933</v>
      </c>
      <c r="B1072" s="1490" t="s">
        <v>3268</v>
      </c>
      <c r="C1072" s="1631" t="s">
        <v>3255</v>
      </c>
      <c r="D1072" s="1170" t="s">
        <v>188</v>
      </c>
      <c r="E1072" s="1462" t="s">
        <v>590</v>
      </c>
      <c r="F1072" s="1462" t="s">
        <v>442</v>
      </c>
      <c r="G1072" s="1311" t="s">
        <v>1829</v>
      </c>
      <c r="H1072" s="1172"/>
      <c r="I1072" s="1172"/>
      <c r="J1072" s="1172">
        <f>6000000+1200000</f>
        <v>7200000</v>
      </c>
      <c r="K1072" s="1172"/>
      <c r="L1072" s="1173"/>
      <c r="M1072" s="1172"/>
      <c r="N1072" s="1172"/>
      <c r="O1072" s="1172"/>
      <c r="P1072" s="1174"/>
      <c r="Q1072" s="1175"/>
      <c r="R1072" s="1172"/>
      <c r="S1072" s="1172"/>
      <c r="T1072" s="1172">
        <f>6000000+1200000</f>
        <v>7200000</v>
      </c>
      <c r="U1072" s="1172"/>
      <c r="V1072" s="1172"/>
      <c r="W1072" s="1172"/>
      <c r="X1072" s="1176"/>
    </row>
    <row r="1073" spans="1:24" ht="24.75" customHeight="1" x14ac:dyDescent="0.2">
      <c r="A1073" s="2052" t="s">
        <v>2935</v>
      </c>
      <c r="B1073" s="2054" t="s">
        <v>3256</v>
      </c>
      <c r="C1073" s="2056" t="s">
        <v>3257</v>
      </c>
      <c r="D1073" s="1170" t="s">
        <v>188</v>
      </c>
      <c r="E1073" s="1462" t="s">
        <v>620</v>
      </c>
      <c r="F1073" s="1462" t="s">
        <v>68</v>
      </c>
      <c r="G1073" s="1311" t="s">
        <v>1829</v>
      </c>
      <c r="H1073" s="1172"/>
      <c r="I1073" s="1172"/>
      <c r="J1073" s="1172"/>
      <c r="K1073" s="1172"/>
      <c r="L1073" s="1173"/>
      <c r="M1073" s="1172"/>
      <c r="N1073" s="1172"/>
      <c r="O1073" s="1172"/>
      <c r="P1073" s="1174"/>
      <c r="Q1073" s="1175"/>
      <c r="R1073" s="1172"/>
      <c r="S1073" s="1172"/>
      <c r="T1073" s="1172">
        <v>1004050</v>
      </c>
      <c r="U1073" s="1172"/>
      <c r="V1073" s="1172"/>
      <c r="W1073" s="1172"/>
      <c r="X1073" s="1176"/>
    </row>
    <row r="1074" spans="1:24" ht="24.75" customHeight="1" x14ac:dyDescent="0.2">
      <c r="A1074" s="2053"/>
      <c r="B1074" s="2055"/>
      <c r="C1074" s="2057"/>
      <c r="D1074" s="1170" t="s">
        <v>195</v>
      </c>
      <c r="E1074" s="1462" t="s">
        <v>74</v>
      </c>
      <c r="F1074" s="1462" t="s">
        <v>1870</v>
      </c>
      <c r="G1074" s="1311" t="s">
        <v>1829</v>
      </c>
      <c r="H1074" s="1172"/>
      <c r="I1074" s="1172"/>
      <c r="J1074" s="1172"/>
      <c r="K1074" s="1172"/>
      <c r="L1074" s="1173">
        <v>1004050</v>
      </c>
      <c r="M1074" s="1172"/>
      <c r="N1074" s="1172"/>
      <c r="O1074" s="1172"/>
      <c r="P1074" s="1174"/>
      <c r="Q1074" s="1175"/>
      <c r="R1074" s="1172"/>
      <c r="S1074" s="1172"/>
      <c r="T1074" s="1172"/>
      <c r="U1074" s="1172"/>
      <c r="V1074" s="1172"/>
      <c r="W1074" s="1172"/>
      <c r="X1074" s="1176"/>
    </row>
    <row r="1075" spans="1:24" ht="32.25" customHeight="1" x14ac:dyDescent="0.2">
      <c r="A1075" s="2052" t="s">
        <v>2941</v>
      </c>
      <c r="B1075" s="2054" t="s">
        <v>3260</v>
      </c>
      <c r="C1075" s="2056" t="s">
        <v>3261</v>
      </c>
      <c r="D1075" s="1170" t="s">
        <v>195</v>
      </c>
      <c r="E1075" s="1462" t="s">
        <v>74</v>
      </c>
      <c r="F1075" s="1462" t="s">
        <v>1870</v>
      </c>
      <c r="G1075" s="1311" t="s">
        <v>1828</v>
      </c>
      <c r="H1075" s="1172"/>
      <c r="I1075" s="1172"/>
      <c r="J1075" s="1172"/>
      <c r="K1075" s="1172"/>
      <c r="L1075" s="1173">
        <v>-1736508</v>
      </c>
      <c r="M1075" s="1172"/>
      <c r="N1075" s="1172"/>
      <c r="O1075" s="1172"/>
      <c r="P1075" s="1174"/>
      <c r="Q1075" s="1175"/>
      <c r="R1075" s="1172"/>
      <c r="S1075" s="1172"/>
      <c r="T1075" s="1172"/>
      <c r="U1075" s="1172"/>
      <c r="V1075" s="1172"/>
      <c r="W1075" s="1172"/>
      <c r="X1075" s="1176"/>
    </row>
    <row r="1076" spans="1:24" ht="32.25" customHeight="1" x14ac:dyDescent="0.2">
      <c r="A1076" s="2053"/>
      <c r="B1076" s="2055"/>
      <c r="C1076" s="2057"/>
      <c r="D1076" s="1170" t="s">
        <v>194</v>
      </c>
      <c r="E1076" s="1462" t="s">
        <v>620</v>
      </c>
      <c r="F1076" s="1462" t="s">
        <v>134</v>
      </c>
      <c r="G1076" s="1311" t="s">
        <v>1829</v>
      </c>
      <c r="H1076" s="1172"/>
      <c r="I1076" s="1172"/>
      <c r="J1076" s="1172"/>
      <c r="K1076" s="1172"/>
      <c r="L1076" s="1173"/>
      <c r="M1076" s="1172"/>
      <c r="N1076" s="1172">
        <f>1367329+369179</f>
        <v>1736508</v>
      </c>
      <c r="O1076" s="1172"/>
      <c r="P1076" s="1174"/>
      <c r="Q1076" s="1175"/>
      <c r="R1076" s="1172"/>
      <c r="S1076" s="1172"/>
      <c r="T1076" s="1172"/>
      <c r="U1076" s="1172"/>
      <c r="V1076" s="1172"/>
      <c r="W1076" s="1172"/>
      <c r="X1076" s="1176"/>
    </row>
    <row r="1077" spans="1:24" ht="27.75" customHeight="1" x14ac:dyDescent="0.2">
      <c r="A1077" s="1491"/>
      <c r="B1077" s="1490"/>
      <c r="C1077" s="1631" t="s">
        <v>2302</v>
      </c>
      <c r="D1077" s="1170" t="s">
        <v>197</v>
      </c>
      <c r="E1077" s="1462" t="s">
        <v>1288</v>
      </c>
      <c r="F1077" s="1462" t="s">
        <v>535</v>
      </c>
      <c r="G1077" s="1311" t="s">
        <v>1837</v>
      </c>
      <c r="H1077" s="1172"/>
      <c r="I1077" s="1172"/>
      <c r="J1077" s="1172"/>
      <c r="K1077" s="1172"/>
      <c r="L1077" s="1173"/>
      <c r="M1077" s="1172"/>
      <c r="N1077" s="1172"/>
      <c r="O1077" s="1172"/>
      <c r="P1077" s="1174">
        <f>-960000+960000</f>
        <v>0</v>
      </c>
      <c r="Q1077" s="1175"/>
      <c r="R1077" s="1172"/>
      <c r="S1077" s="1172"/>
      <c r="T1077" s="1172"/>
      <c r="U1077" s="1172"/>
      <c r="V1077" s="1172"/>
      <c r="W1077" s="1172"/>
      <c r="X1077" s="1176"/>
    </row>
    <row r="1078" spans="1:24" ht="33.75" customHeight="1" x14ac:dyDescent="0.2">
      <c r="A1078" s="2052" t="s">
        <v>2944</v>
      </c>
      <c r="B1078" s="2054" t="s">
        <v>3262</v>
      </c>
      <c r="C1078" s="2056" t="s">
        <v>3263</v>
      </c>
      <c r="D1078" s="1170" t="s">
        <v>195</v>
      </c>
      <c r="E1078" s="1462" t="s">
        <v>74</v>
      </c>
      <c r="F1078" s="1462" t="s">
        <v>1870</v>
      </c>
      <c r="G1078" s="1311" t="s">
        <v>1828</v>
      </c>
      <c r="H1078" s="1172"/>
      <c r="I1078" s="1172"/>
      <c r="J1078" s="1172"/>
      <c r="K1078" s="1172"/>
      <c r="L1078" s="1173">
        <v>-1544320</v>
      </c>
      <c r="M1078" s="1172"/>
      <c r="N1078" s="1172"/>
      <c r="O1078" s="1172"/>
      <c r="P1078" s="1174"/>
      <c r="Q1078" s="1175"/>
      <c r="R1078" s="1172"/>
      <c r="S1078" s="1172"/>
      <c r="T1078" s="1172"/>
      <c r="U1078" s="1172"/>
      <c r="V1078" s="1172"/>
      <c r="W1078" s="1172"/>
      <c r="X1078" s="1176"/>
    </row>
    <row r="1079" spans="1:24" ht="33.75" customHeight="1" x14ac:dyDescent="0.2">
      <c r="A1079" s="2053"/>
      <c r="B1079" s="2055"/>
      <c r="C1079" s="2057"/>
      <c r="D1079" s="1170" t="s">
        <v>193</v>
      </c>
      <c r="E1079" s="1462" t="s">
        <v>545</v>
      </c>
      <c r="F1079" s="1462" t="s">
        <v>831</v>
      </c>
      <c r="G1079" s="1311" t="s">
        <v>1829</v>
      </c>
      <c r="H1079" s="1172"/>
      <c r="I1079" s="1172"/>
      <c r="J1079" s="1172"/>
      <c r="K1079" s="1172"/>
      <c r="L1079" s="1173"/>
      <c r="M1079" s="1172">
        <f>1216000+328320</f>
        <v>1544320</v>
      </c>
      <c r="N1079" s="1172"/>
      <c r="O1079" s="1172"/>
      <c r="P1079" s="1174"/>
      <c r="Q1079" s="1175"/>
      <c r="R1079" s="1172"/>
      <c r="S1079" s="1172"/>
      <c r="T1079" s="1172"/>
      <c r="U1079" s="1172"/>
      <c r="V1079" s="1172"/>
      <c r="W1079" s="1172"/>
      <c r="X1079" s="1176"/>
    </row>
    <row r="1080" spans="1:24" ht="24" customHeight="1" x14ac:dyDescent="0.2">
      <c r="A1080" s="2052" t="s">
        <v>2947</v>
      </c>
      <c r="B1080" s="2054" t="s">
        <v>3264</v>
      </c>
      <c r="C1080" s="2056" t="s">
        <v>3265</v>
      </c>
      <c r="D1080" s="1170" t="s">
        <v>195</v>
      </c>
      <c r="E1080" s="1462" t="s">
        <v>74</v>
      </c>
      <c r="F1080" s="1462" t="s">
        <v>1870</v>
      </c>
      <c r="G1080" s="1311" t="s">
        <v>1828</v>
      </c>
      <c r="H1080" s="1172"/>
      <c r="I1080" s="1172"/>
      <c r="J1080" s="1172"/>
      <c r="K1080" s="1172"/>
      <c r="L1080" s="1173">
        <v>-6015990</v>
      </c>
      <c r="M1080" s="1172"/>
      <c r="N1080" s="1172"/>
      <c r="O1080" s="1172"/>
      <c r="P1080" s="1174"/>
      <c r="Q1080" s="1175"/>
      <c r="R1080" s="1172"/>
      <c r="S1080" s="1172"/>
      <c r="T1080" s="1172"/>
      <c r="U1080" s="1172"/>
      <c r="V1080" s="1172"/>
      <c r="W1080" s="1172"/>
      <c r="X1080" s="1176"/>
    </row>
    <row r="1081" spans="1:24" ht="24" customHeight="1" x14ac:dyDescent="0.2">
      <c r="A1081" s="2053"/>
      <c r="B1081" s="2055"/>
      <c r="C1081" s="2057"/>
      <c r="D1081" s="1170" t="s">
        <v>188</v>
      </c>
      <c r="E1081" s="1462" t="s">
        <v>1980</v>
      </c>
      <c r="F1081" s="1462" t="s">
        <v>1979</v>
      </c>
      <c r="G1081" s="1311" t="s">
        <v>1829</v>
      </c>
      <c r="H1081" s="1172"/>
      <c r="I1081" s="1172"/>
      <c r="J1081" s="1172">
        <f>4737000+1278990</f>
        <v>6015990</v>
      </c>
      <c r="K1081" s="1172"/>
      <c r="L1081" s="1173"/>
      <c r="M1081" s="1172"/>
      <c r="N1081" s="1172"/>
      <c r="O1081" s="1172"/>
      <c r="P1081" s="1174"/>
      <c r="Q1081" s="1175"/>
      <c r="R1081" s="1172"/>
      <c r="S1081" s="1172"/>
      <c r="T1081" s="1172"/>
      <c r="U1081" s="1172"/>
      <c r="V1081" s="1172"/>
      <c r="W1081" s="1172"/>
      <c r="X1081" s="1176"/>
    </row>
    <row r="1082" spans="1:24" ht="30" customHeight="1" x14ac:dyDescent="0.2">
      <c r="A1082" s="2052" t="s">
        <v>2949</v>
      </c>
      <c r="B1082" s="2054" t="s">
        <v>3267</v>
      </c>
      <c r="C1082" s="2056" t="s">
        <v>3269</v>
      </c>
      <c r="D1082" s="1170" t="s">
        <v>188</v>
      </c>
      <c r="E1082" s="1462" t="s">
        <v>130</v>
      </c>
      <c r="F1082" s="1462" t="s">
        <v>3270</v>
      </c>
      <c r="G1082" s="1311" t="s">
        <v>1829</v>
      </c>
      <c r="H1082" s="1172"/>
      <c r="I1082" s="1172"/>
      <c r="J1082" s="1172"/>
      <c r="K1082" s="1172"/>
      <c r="L1082" s="1173"/>
      <c r="M1082" s="1172"/>
      <c r="N1082" s="1172"/>
      <c r="O1082" s="1172"/>
      <c r="P1082" s="1174"/>
      <c r="Q1082" s="1175"/>
      <c r="R1082" s="1172"/>
      <c r="S1082" s="1172"/>
      <c r="T1082" s="1172"/>
      <c r="U1082" s="1172"/>
      <c r="V1082" s="1172"/>
      <c r="W1082" s="1172">
        <v>356421</v>
      </c>
      <c r="X1082" s="1176"/>
    </row>
    <row r="1083" spans="1:24" ht="30" customHeight="1" x14ac:dyDescent="0.2">
      <c r="A1083" s="2053"/>
      <c r="B1083" s="2055"/>
      <c r="C1083" s="2057"/>
      <c r="D1083" s="1170" t="s">
        <v>195</v>
      </c>
      <c r="E1083" s="1462" t="s">
        <v>74</v>
      </c>
      <c r="F1083" s="1462" t="s">
        <v>1870</v>
      </c>
      <c r="G1083" s="1311" t="s">
        <v>1829</v>
      </c>
      <c r="H1083" s="1172"/>
      <c r="I1083" s="1172"/>
      <c r="J1083" s="1172"/>
      <c r="K1083" s="1172"/>
      <c r="L1083" s="1173">
        <v>356421</v>
      </c>
      <c r="M1083" s="1172"/>
      <c r="N1083" s="1172"/>
      <c r="O1083" s="1172"/>
      <c r="P1083" s="1174"/>
      <c r="Q1083" s="1175"/>
      <c r="R1083" s="1172"/>
      <c r="S1083" s="1172"/>
      <c r="T1083" s="1172"/>
      <c r="U1083" s="1172"/>
      <c r="V1083" s="1172"/>
      <c r="W1083" s="1172"/>
      <c r="X1083" s="1176"/>
    </row>
    <row r="1084" spans="1:24" ht="24.75" customHeight="1" x14ac:dyDescent="0.2">
      <c r="A1084" s="2052" t="s">
        <v>2951</v>
      </c>
      <c r="B1084" s="2054" t="s">
        <v>3273</v>
      </c>
      <c r="C1084" s="2056" t="s">
        <v>3274</v>
      </c>
      <c r="D1084" s="1170" t="s">
        <v>188</v>
      </c>
      <c r="E1084" s="1462" t="s">
        <v>2271</v>
      </c>
      <c r="F1084" s="1462" t="s">
        <v>2269</v>
      </c>
      <c r="G1084" s="1311" t="s">
        <v>1828</v>
      </c>
      <c r="H1084" s="1172"/>
      <c r="I1084" s="1172"/>
      <c r="J1084" s="1172">
        <f>-118110-31890</f>
        <v>-150000</v>
      </c>
      <c r="K1084" s="1172"/>
      <c r="L1084" s="1173"/>
      <c r="M1084" s="1172"/>
      <c r="N1084" s="1172"/>
      <c r="O1084" s="1172"/>
      <c r="P1084" s="1174"/>
      <c r="Q1084" s="1175"/>
      <c r="R1084" s="1172"/>
      <c r="S1084" s="1172"/>
      <c r="T1084" s="1172"/>
      <c r="U1084" s="1172"/>
      <c r="V1084" s="1172"/>
      <c r="W1084" s="1172"/>
      <c r="X1084" s="1176"/>
    </row>
    <row r="1085" spans="1:24" ht="24.75" customHeight="1" x14ac:dyDescent="0.2">
      <c r="A1085" s="2053"/>
      <c r="B1085" s="2055"/>
      <c r="C1085" s="2057"/>
      <c r="D1085" s="1170" t="s">
        <v>188</v>
      </c>
      <c r="E1085" s="1462" t="s">
        <v>2102</v>
      </c>
      <c r="F1085" s="1462" t="s">
        <v>2101</v>
      </c>
      <c r="G1085" s="1311" t="s">
        <v>1829</v>
      </c>
      <c r="H1085" s="1172"/>
      <c r="I1085" s="1172"/>
      <c r="J1085" s="1172">
        <f>118110+31890</f>
        <v>150000</v>
      </c>
      <c r="K1085" s="1172"/>
      <c r="L1085" s="1173"/>
      <c r="M1085" s="1172"/>
      <c r="N1085" s="1172"/>
      <c r="O1085" s="1172"/>
      <c r="P1085" s="1174"/>
      <c r="Q1085" s="1175"/>
      <c r="R1085" s="1172"/>
      <c r="S1085" s="1172"/>
      <c r="T1085" s="1172"/>
      <c r="U1085" s="1172"/>
      <c r="V1085" s="1172"/>
      <c r="W1085" s="1172"/>
      <c r="X1085" s="1176"/>
    </row>
    <row r="1086" spans="1:24" ht="29.25" customHeight="1" x14ac:dyDescent="0.2">
      <c r="A1086" s="2052" t="s">
        <v>2953</v>
      </c>
      <c r="B1086" s="2054" t="s">
        <v>3275</v>
      </c>
      <c r="C1086" s="2056" t="s">
        <v>3276</v>
      </c>
      <c r="D1086" s="1170" t="s">
        <v>193</v>
      </c>
      <c r="E1086" s="1462" t="s">
        <v>583</v>
      </c>
      <c r="F1086" s="1462" t="s">
        <v>1457</v>
      </c>
      <c r="G1086" s="1311" t="s">
        <v>1828</v>
      </c>
      <c r="H1086" s="1172"/>
      <c r="I1086" s="1172"/>
      <c r="J1086" s="1172"/>
      <c r="K1086" s="1172"/>
      <c r="L1086" s="1173"/>
      <c r="M1086" s="1172">
        <f>-320000-86400</f>
        <v>-406400</v>
      </c>
      <c r="N1086" s="1172"/>
      <c r="O1086" s="1172"/>
      <c r="P1086" s="1174"/>
      <c r="Q1086" s="1175"/>
      <c r="R1086" s="1172"/>
      <c r="S1086" s="1172"/>
      <c r="T1086" s="1172"/>
      <c r="U1086" s="1172"/>
      <c r="V1086" s="1172"/>
      <c r="W1086" s="1172"/>
      <c r="X1086" s="1176"/>
    </row>
    <row r="1087" spans="1:24" ht="29.25" customHeight="1" x14ac:dyDescent="0.2">
      <c r="A1087" s="2053"/>
      <c r="B1087" s="2055"/>
      <c r="C1087" s="2057"/>
      <c r="D1087" s="1170" t="s">
        <v>188</v>
      </c>
      <c r="E1087" s="1462" t="s">
        <v>583</v>
      </c>
      <c r="F1087" s="1462" t="s">
        <v>2103</v>
      </c>
      <c r="G1087" s="1311" t="s">
        <v>1829</v>
      </c>
      <c r="H1087" s="1172"/>
      <c r="I1087" s="1172"/>
      <c r="J1087" s="1172">
        <f>320000+86400</f>
        <v>406400</v>
      </c>
      <c r="K1087" s="1172"/>
      <c r="L1087" s="1173"/>
      <c r="M1087" s="1172"/>
      <c r="N1087" s="1172"/>
      <c r="O1087" s="1172"/>
      <c r="P1087" s="1174"/>
      <c r="Q1087" s="1175"/>
      <c r="R1087" s="1172"/>
      <c r="S1087" s="1172"/>
      <c r="T1087" s="1172"/>
      <c r="U1087" s="1172"/>
      <c r="V1087" s="1172"/>
      <c r="W1087" s="1172"/>
      <c r="X1087" s="1176"/>
    </row>
    <row r="1088" spans="1:24" ht="23.25" customHeight="1" x14ac:dyDescent="0.2">
      <c r="A1088" s="2052" t="s">
        <v>3277</v>
      </c>
      <c r="B1088" s="2054" t="s">
        <v>3278</v>
      </c>
      <c r="C1088" s="2056" t="s">
        <v>3279</v>
      </c>
      <c r="D1088" s="1170" t="s">
        <v>195</v>
      </c>
      <c r="E1088" s="1462" t="s">
        <v>74</v>
      </c>
      <c r="F1088" s="1462" t="s">
        <v>1870</v>
      </c>
      <c r="G1088" s="1311" t="s">
        <v>1828</v>
      </c>
      <c r="H1088" s="1172"/>
      <c r="I1088" s="1172"/>
      <c r="J1088" s="1172"/>
      <c r="K1088" s="1172"/>
      <c r="L1088" s="1173">
        <v>-894080</v>
      </c>
      <c r="M1088" s="1172"/>
      <c r="N1088" s="1172"/>
      <c r="O1088" s="1172"/>
      <c r="P1088" s="1174"/>
      <c r="Q1088" s="1175"/>
      <c r="R1088" s="1172"/>
      <c r="S1088" s="1172"/>
      <c r="T1088" s="1172"/>
      <c r="U1088" s="1172"/>
      <c r="V1088" s="1172"/>
      <c r="W1088" s="1172"/>
      <c r="X1088" s="1176"/>
    </row>
    <row r="1089" spans="1:24" ht="23.25" customHeight="1" x14ac:dyDescent="0.2">
      <c r="A1089" s="2061"/>
      <c r="B1089" s="2060"/>
      <c r="C1089" s="2065"/>
      <c r="D1089" s="1170" t="s">
        <v>188</v>
      </c>
      <c r="E1089" s="1462" t="s">
        <v>813</v>
      </c>
      <c r="F1089" s="1462" t="s">
        <v>812</v>
      </c>
      <c r="G1089" s="1311" t="s">
        <v>1829</v>
      </c>
      <c r="H1089" s="1172"/>
      <c r="I1089" s="1172"/>
      <c r="J1089" s="1172">
        <f>34000+9180</f>
        <v>43180</v>
      </c>
      <c r="K1089" s="1172"/>
      <c r="L1089" s="1173"/>
      <c r="M1089" s="1172"/>
      <c r="N1089" s="1172"/>
      <c r="O1089" s="1172"/>
      <c r="P1089" s="1174"/>
      <c r="Q1089" s="1175"/>
      <c r="R1089" s="1172"/>
      <c r="S1089" s="1172"/>
      <c r="T1089" s="1172"/>
      <c r="U1089" s="1172"/>
      <c r="V1089" s="1172"/>
      <c r="W1089" s="1172"/>
      <c r="X1089" s="1176"/>
    </row>
    <row r="1090" spans="1:24" ht="23.25" customHeight="1" x14ac:dyDescent="0.2">
      <c r="A1090" s="2053"/>
      <c r="B1090" s="2055"/>
      <c r="C1090" s="2057"/>
      <c r="D1090" s="1170" t="s">
        <v>193</v>
      </c>
      <c r="E1090" s="1462" t="s">
        <v>813</v>
      </c>
      <c r="F1090" s="1462" t="s">
        <v>812</v>
      </c>
      <c r="G1090" s="1311" t="s">
        <v>1829</v>
      </c>
      <c r="H1090" s="1172"/>
      <c r="I1090" s="1172"/>
      <c r="J1090" s="1172"/>
      <c r="K1090" s="1172"/>
      <c r="L1090" s="1173"/>
      <c r="M1090" s="1172">
        <f>670000+180900</f>
        <v>850900</v>
      </c>
      <c r="N1090" s="1172"/>
      <c r="O1090" s="1172"/>
      <c r="P1090" s="1174"/>
      <c r="Q1090" s="1175"/>
      <c r="R1090" s="1172"/>
      <c r="S1090" s="1172"/>
      <c r="T1090" s="1172"/>
      <c r="U1090" s="1172"/>
      <c r="V1090" s="1172"/>
      <c r="W1090" s="1172"/>
      <c r="X1090" s="1176"/>
    </row>
    <row r="1091" spans="1:24" ht="27.75" customHeight="1" x14ac:dyDescent="0.2">
      <c r="A1091" s="2052" t="s">
        <v>2970</v>
      </c>
      <c r="B1091" s="2054" t="s">
        <v>3281</v>
      </c>
      <c r="C1091" s="2056" t="s">
        <v>3282</v>
      </c>
      <c r="D1091" s="1170" t="s">
        <v>195</v>
      </c>
      <c r="E1091" s="1462" t="s">
        <v>74</v>
      </c>
      <c r="F1091" s="1462" t="s">
        <v>1870</v>
      </c>
      <c r="G1091" s="1311" t="s">
        <v>1828</v>
      </c>
      <c r="H1091" s="1172"/>
      <c r="I1091" s="1172"/>
      <c r="J1091" s="1172"/>
      <c r="K1091" s="1172"/>
      <c r="L1091" s="1173">
        <v>-63500</v>
      </c>
      <c r="M1091" s="1172"/>
      <c r="N1091" s="1172"/>
      <c r="O1091" s="1172"/>
      <c r="P1091" s="1174"/>
      <c r="Q1091" s="1175"/>
      <c r="R1091" s="1172"/>
      <c r="S1091" s="1172"/>
      <c r="T1091" s="1172"/>
      <c r="U1091" s="1172"/>
      <c r="V1091" s="1172"/>
      <c r="W1091" s="1172"/>
      <c r="X1091" s="1176"/>
    </row>
    <row r="1092" spans="1:24" ht="27.75" customHeight="1" x14ac:dyDescent="0.2">
      <c r="A1092" s="2053"/>
      <c r="B1092" s="2055"/>
      <c r="C1092" s="2057"/>
      <c r="D1092" s="1170" t="s">
        <v>188</v>
      </c>
      <c r="E1092" s="1462" t="s">
        <v>1502</v>
      </c>
      <c r="F1092" s="1462" t="s">
        <v>1501</v>
      </c>
      <c r="G1092" s="1311" t="s">
        <v>1829</v>
      </c>
      <c r="H1092" s="1172"/>
      <c r="I1092" s="1172"/>
      <c r="J1092" s="1172">
        <f>50000+13500</f>
        <v>63500</v>
      </c>
      <c r="K1092" s="1172"/>
      <c r="L1092" s="1173"/>
      <c r="M1092" s="1172"/>
      <c r="N1092" s="1172"/>
      <c r="O1092" s="1172"/>
      <c r="P1092" s="1174"/>
      <c r="Q1092" s="1175"/>
      <c r="R1092" s="1172"/>
      <c r="S1092" s="1172"/>
      <c r="T1092" s="1172"/>
      <c r="U1092" s="1172"/>
      <c r="V1092" s="1172"/>
      <c r="W1092" s="1172"/>
      <c r="X1092" s="1176"/>
    </row>
    <row r="1093" spans="1:24" ht="32.25" customHeight="1" x14ac:dyDescent="0.2">
      <c r="A1093" s="2052" t="s">
        <v>2972</v>
      </c>
      <c r="B1093" s="2056" t="s">
        <v>3283</v>
      </c>
      <c r="C1093" s="2056" t="s">
        <v>3285</v>
      </c>
      <c r="D1093" s="1170" t="s">
        <v>195</v>
      </c>
      <c r="E1093" s="1462" t="s">
        <v>74</v>
      </c>
      <c r="F1093" s="1462" t="s">
        <v>1870</v>
      </c>
      <c r="G1093" s="1311" t="s">
        <v>1828</v>
      </c>
      <c r="H1093" s="1172" t="s">
        <v>3284</v>
      </c>
      <c r="I1093" s="1172"/>
      <c r="J1093" s="1172"/>
      <c r="K1093" s="1172"/>
      <c r="L1093" s="1173">
        <v>-711200</v>
      </c>
      <c r="M1093" s="1172"/>
      <c r="N1093" s="1172"/>
      <c r="O1093" s="1172"/>
      <c r="P1093" s="1174"/>
      <c r="Q1093" s="1175"/>
      <c r="R1093" s="1172"/>
      <c r="S1093" s="1172"/>
      <c r="T1093" s="1172"/>
      <c r="U1093" s="1172"/>
      <c r="V1093" s="1172"/>
      <c r="W1093" s="1172"/>
      <c r="X1093" s="1176"/>
    </row>
    <row r="1094" spans="1:24" ht="32.25" customHeight="1" x14ac:dyDescent="0.2">
      <c r="A1094" s="2053"/>
      <c r="B1094" s="2057"/>
      <c r="C1094" s="2057"/>
      <c r="D1094" s="1170" t="s">
        <v>188</v>
      </c>
      <c r="E1094" s="1462" t="s">
        <v>1502</v>
      </c>
      <c r="F1094" s="1462" t="s">
        <v>1501</v>
      </c>
      <c r="G1094" s="1311" t="s">
        <v>1829</v>
      </c>
      <c r="H1094" s="1172"/>
      <c r="I1094" s="1172"/>
      <c r="J1094" s="1172">
        <f>560000+151200</f>
        <v>711200</v>
      </c>
      <c r="K1094" s="1172"/>
      <c r="L1094" s="1173"/>
      <c r="M1094" s="1172"/>
      <c r="N1094" s="1172"/>
      <c r="O1094" s="1172"/>
      <c r="P1094" s="1174"/>
      <c r="Q1094" s="1175"/>
      <c r="R1094" s="1172"/>
      <c r="S1094" s="1172"/>
      <c r="T1094" s="1172"/>
      <c r="U1094" s="1172"/>
      <c r="V1094" s="1172"/>
      <c r="W1094" s="1172"/>
      <c r="X1094" s="1176"/>
    </row>
    <row r="1095" spans="1:24" ht="33" customHeight="1" x14ac:dyDescent="0.2">
      <c r="A1095" s="2052" t="s">
        <v>2974</v>
      </c>
      <c r="B1095" s="2054" t="s">
        <v>3286</v>
      </c>
      <c r="C1095" s="2056" t="s">
        <v>3287</v>
      </c>
      <c r="D1095" s="1170" t="s">
        <v>195</v>
      </c>
      <c r="E1095" s="1462" t="s">
        <v>74</v>
      </c>
      <c r="F1095" s="1462" t="s">
        <v>1870</v>
      </c>
      <c r="G1095" s="1311" t="s">
        <v>1828</v>
      </c>
      <c r="H1095" s="1172"/>
      <c r="I1095" s="1172"/>
      <c r="J1095" s="1172"/>
      <c r="K1095" s="1172"/>
      <c r="L1095" s="1173">
        <v>-861060</v>
      </c>
      <c r="M1095" s="1172"/>
      <c r="N1095" s="1172"/>
      <c r="O1095" s="1172"/>
      <c r="P1095" s="1174"/>
      <c r="Q1095" s="1175"/>
      <c r="R1095" s="1172"/>
      <c r="S1095" s="1172"/>
      <c r="T1095" s="1172"/>
      <c r="U1095" s="1172"/>
      <c r="V1095" s="1172"/>
      <c r="W1095" s="1172"/>
      <c r="X1095" s="1176"/>
    </row>
    <row r="1096" spans="1:24" ht="33" customHeight="1" x14ac:dyDescent="0.2">
      <c r="A1096" s="2053"/>
      <c r="B1096" s="2055"/>
      <c r="C1096" s="2057"/>
      <c r="D1096" s="1170" t="s">
        <v>193</v>
      </c>
      <c r="E1096" s="1462" t="s">
        <v>545</v>
      </c>
      <c r="F1096" s="1462" t="s">
        <v>2435</v>
      </c>
      <c r="G1096" s="1311" t="s">
        <v>1829</v>
      </c>
      <c r="H1096" s="1172"/>
      <c r="I1096" s="1172"/>
      <c r="J1096" s="1172"/>
      <c r="K1096" s="1172"/>
      <c r="L1096" s="1173"/>
      <c r="M1096" s="1172">
        <f>678000+183060</f>
        <v>861060</v>
      </c>
      <c r="N1096" s="1172"/>
      <c r="O1096" s="1172"/>
      <c r="P1096" s="1174"/>
      <c r="Q1096" s="1175"/>
      <c r="R1096" s="1172"/>
      <c r="S1096" s="1172"/>
      <c r="T1096" s="1172"/>
      <c r="U1096" s="1172"/>
      <c r="V1096" s="1172"/>
      <c r="W1096" s="1172"/>
      <c r="X1096" s="1176"/>
    </row>
    <row r="1097" spans="1:24" ht="39.75" customHeight="1" x14ac:dyDescent="0.2">
      <c r="A1097" s="2052" t="s">
        <v>3289</v>
      </c>
      <c r="B1097" s="2054" t="s">
        <v>3290</v>
      </c>
      <c r="C1097" s="2056" t="s">
        <v>3291</v>
      </c>
      <c r="D1097" s="1170" t="s">
        <v>195</v>
      </c>
      <c r="E1097" s="1462" t="s">
        <v>74</v>
      </c>
      <c r="F1097" s="1462" t="s">
        <v>1870</v>
      </c>
      <c r="G1097" s="1311" t="s">
        <v>1828</v>
      </c>
      <c r="H1097" s="1172"/>
      <c r="I1097" s="1172"/>
      <c r="J1097" s="1172"/>
      <c r="K1097" s="1172"/>
      <c r="L1097" s="1173">
        <v>-457200</v>
      </c>
      <c r="M1097" s="1172"/>
      <c r="N1097" s="1172"/>
      <c r="O1097" s="1172"/>
      <c r="P1097" s="1174"/>
      <c r="Q1097" s="1175"/>
      <c r="R1097" s="1172"/>
      <c r="S1097" s="1172"/>
      <c r="T1097" s="1172"/>
      <c r="U1097" s="1172"/>
      <c r="V1097" s="1172"/>
      <c r="W1097" s="1172"/>
      <c r="X1097" s="1176"/>
    </row>
    <row r="1098" spans="1:24" ht="39.75" customHeight="1" x14ac:dyDescent="0.2">
      <c r="A1098" s="2053"/>
      <c r="B1098" s="2055"/>
      <c r="C1098" s="2057"/>
      <c r="D1098" s="1170" t="s">
        <v>193</v>
      </c>
      <c r="E1098" s="1462" t="s">
        <v>545</v>
      </c>
      <c r="F1098" s="1462" t="s">
        <v>831</v>
      </c>
      <c r="G1098" s="1311" t="s">
        <v>1829</v>
      </c>
      <c r="H1098" s="1172"/>
      <c r="I1098" s="1172"/>
      <c r="J1098" s="1172"/>
      <c r="K1098" s="1172"/>
      <c r="L1098" s="1173"/>
      <c r="M1098" s="1172">
        <f>360000+97200</f>
        <v>457200</v>
      </c>
      <c r="N1098" s="1172"/>
      <c r="O1098" s="1172"/>
      <c r="P1098" s="1174"/>
      <c r="Q1098" s="1175"/>
      <c r="R1098" s="1172"/>
      <c r="S1098" s="1172"/>
      <c r="T1098" s="1172"/>
      <c r="U1098" s="1172"/>
      <c r="V1098" s="1172"/>
      <c r="W1098" s="1172"/>
      <c r="X1098" s="1176"/>
    </row>
    <row r="1099" spans="1:24" ht="53.25" customHeight="1" x14ac:dyDescent="0.2">
      <c r="A1099" s="2052" t="s">
        <v>2977</v>
      </c>
      <c r="B1099" s="2054" t="s">
        <v>3292</v>
      </c>
      <c r="C1099" s="2056" t="s">
        <v>3293</v>
      </c>
      <c r="D1099" s="1170" t="s">
        <v>195</v>
      </c>
      <c r="E1099" s="1462" t="s">
        <v>74</v>
      </c>
      <c r="F1099" s="1462" t="s">
        <v>1870</v>
      </c>
      <c r="G1099" s="1311" t="s">
        <v>1828</v>
      </c>
      <c r="H1099" s="1172"/>
      <c r="I1099" s="1172"/>
      <c r="J1099" s="1172"/>
      <c r="K1099" s="1172"/>
      <c r="L1099" s="1173">
        <v>-150000</v>
      </c>
      <c r="M1099" s="1172"/>
      <c r="N1099" s="1172"/>
      <c r="O1099" s="1172"/>
      <c r="P1099" s="1174"/>
      <c r="Q1099" s="1175"/>
      <c r="R1099" s="1172"/>
      <c r="S1099" s="1172"/>
      <c r="T1099" s="1172"/>
      <c r="U1099" s="1172"/>
      <c r="V1099" s="1172"/>
      <c r="W1099" s="1172"/>
      <c r="X1099" s="1176"/>
    </row>
    <row r="1100" spans="1:24" ht="53.25" customHeight="1" x14ac:dyDescent="0.2">
      <c r="A1100" s="2053"/>
      <c r="B1100" s="2055"/>
      <c r="C1100" s="2057"/>
      <c r="D1100" s="1170" t="s">
        <v>192</v>
      </c>
      <c r="E1100" s="1462" t="s">
        <v>2041</v>
      </c>
      <c r="F1100" s="1462" t="s">
        <v>3294</v>
      </c>
      <c r="G1100" s="1311" t="s">
        <v>1829</v>
      </c>
      <c r="H1100" s="1172"/>
      <c r="I1100" s="1172"/>
      <c r="J1100" s="1172"/>
      <c r="K1100" s="1172"/>
      <c r="L1100" s="1173">
        <v>150000</v>
      </c>
      <c r="M1100" s="1172"/>
      <c r="N1100" s="1172"/>
      <c r="O1100" s="1172"/>
      <c r="P1100" s="1174"/>
      <c r="Q1100" s="1175"/>
      <c r="R1100" s="1172"/>
      <c r="S1100" s="1172"/>
      <c r="T1100" s="1172"/>
      <c r="U1100" s="1172"/>
      <c r="V1100" s="1172"/>
      <c r="W1100" s="1172"/>
      <c r="X1100" s="1176"/>
    </row>
    <row r="1101" spans="1:24" ht="37.5" customHeight="1" x14ac:dyDescent="0.2">
      <c r="A1101" s="2052" t="s">
        <v>2980</v>
      </c>
      <c r="B1101" s="2054" t="s">
        <v>3297</v>
      </c>
      <c r="C1101" s="2056" t="s">
        <v>3298</v>
      </c>
      <c r="D1101" s="1170" t="s">
        <v>195</v>
      </c>
      <c r="E1101" s="1462" t="s">
        <v>74</v>
      </c>
      <c r="F1101" s="1462" t="s">
        <v>1870</v>
      </c>
      <c r="G1101" s="1311" t="s">
        <v>1828</v>
      </c>
      <c r="H1101" s="1172"/>
      <c r="I1101" s="1172"/>
      <c r="J1101" s="1172"/>
      <c r="K1101" s="1172"/>
      <c r="L1101" s="1173">
        <v>-254000</v>
      </c>
      <c r="M1101" s="1172"/>
      <c r="N1101" s="1172"/>
      <c r="O1101" s="1172"/>
      <c r="P1101" s="1174"/>
      <c r="Q1101" s="1175"/>
      <c r="R1101" s="1172"/>
      <c r="S1101" s="1172"/>
      <c r="T1101" s="1172"/>
      <c r="U1101" s="1172"/>
      <c r="V1101" s="1172"/>
      <c r="W1101" s="1172"/>
      <c r="X1101" s="1176"/>
    </row>
    <row r="1102" spans="1:24" ht="37.5" customHeight="1" x14ac:dyDescent="0.2">
      <c r="A1102" s="2053"/>
      <c r="B1102" s="2055"/>
      <c r="C1102" s="2057"/>
      <c r="D1102" s="1170" t="s">
        <v>193</v>
      </c>
      <c r="E1102" s="1462" t="s">
        <v>545</v>
      </c>
      <c r="F1102" s="1462" t="s">
        <v>831</v>
      </c>
      <c r="G1102" s="1311" t="s">
        <v>1829</v>
      </c>
      <c r="H1102" s="1172"/>
      <c r="I1102" s="1172"/>
      <c r="J1102" s="1172"/>
      <c r="K1102" s="1172"/>
      <c r="L1102" s="1173"/>
      <c r="M1102" s="1172">
        <f>200000+54000</f>
        <v>254000</v>
      </c>
      <c r="N1102" s="1172"/>
      <c r="O1102" s="1172"/>
      <c r="P1102" s="1174"/>
      <c r="Q1102" s="1175"/>
      <c r="R1102" s="1172"/>
      <c r="S1102" s="1172"/>
      <c r="T1102" s="1172"/>
      <c r="U1102" s="1172"/>
      <c r="V1102" s="1172"/>
      <c r="W1102" s="1172"/>
      <c r="X1102" s="1176"/>
    </row>
    <row r="1103" spans="1:24" ht="29.25" customHeight="1" x14ac:dyDescent="0.2">
      <c r="A1103" s="2052" t="s">
        <v>2982</v>
      </c>
      <c r="B1103" s="2054" t="s">
        <v>3299</v>
      </c>
      <c r="C1103" s="2056" t="s">
        <v>3300</v>
      </c>
      <c r="D1103" s="1170" t="s">
        <v>195</v>
      </c>
      <c r="E1103" s="1462" t="s">
        <v>74</v>
      </c>
      <c r="F1103" s="1462" t="s">
        <v>1870</v>
      </c>
      <c r="G1103" s="1311" t="s">
        <v>1828</v>
      </c>
      <c r="H1103" s="1172"/>
      <c r="I1103" s="1172"/>
      <c r="J1103" s="1172"/>
      <c r="K1103" s="1172"/>
      <c r="L1103" s="1173">
        <v>-3124200</v>
      </c>
      <c r="M1103" s="1172"/>
      <c r="N1103" s="1172"/>
      <c r="O1103" s="1172"/>
      <c r="P1103" s="1174"/>
      <c r="Q1103" s="1175"/>
      <c r="R1103" s="1172"/>
      <c r="S1103" s="1172"/>
      <c r="T1103" s="1172"/>
      <c r="U1103" s="1172"/>
      <c r="V1103" s="1172"/>
      <c r="W1103" s="1172"/>
      <c r="X1103" s="1176"/>
    </row>
    <row r="1104" spans="1:24" ht="29.25" customHeight="1" x14ac:dyDescent="0.2">
      <c r="A1104" s="2053"/>
      <c r="B1104" s="2055"/>
      <c r="C1104" s="2057"/>
      <c r="D1104" s="1170" t="s">
        <v>188</v>
      </c>
      <c r="E1104" s="1462" t="s">
        <v>1985</v>
      </c>
      <c r="F1104" s="1462" t="s">
        <v>1984</v>
      </c>
      <c r="G1104" s="1311" t="s">
        <v>1829</v>
      </c>
      <c r="H1104" s="1172"/>
      <c r="I1104" s="1172"/>
      <c r="J1104" s="1172">
        <f>2460000+664200</f>
        <v>3124200</v>
      </c>
      <c r="K1104" s="1172"/>
      <c r="L1104" s="1173"/>
      <c r="M1104" s="1172"/>
      <c r="N1104" s="1172"/>
      <c r="O1104" s="1172"/>
      <c r="P1104" s="1174"/>
      <c r="Q1104" s="1175"/>
      <c r="R1104" s="1172"/>
      <c r="S1104" s="1172"/>
      <c r="T1104" s="1172"/>
      <c r="U1104" s="1172"/>
      <c r="V1104" s="1172"/>
      <c r="W1104" s="1172"/>
      <c r="X1104" s="1176"/>
    </row>
    <row r="1105" spans="1:24" ht="29.25" customHeight="1" x14ac:dyDescent="0.2">
      <c r="A1105" s="2052" t="s">
        <v>2984</v>
      </c>
      <c r="B1105" s="2054" t="s">
        <v>3301</v>
      </c>
      <c r="C1105" s="2056" t="s">
        <v>3302</v>
      </c>
      <c r="D1105" s="1170" t="s">
        <v>195</v>
      </c>
      <c r="E1105" s="1462" t="s">
        <v>74</v>
      </c>
      <c r="F1105" s="1462" t="s">
        <v>1870</v>
      </c>
      <c r="G1105" s="1311" t="s">
        <v>1828</v>
      </c>
      <c r="H1105" s="1172"/>
      <c r="I1105" s="1172"/>
      <c r="J1105" s="1172"/>
      <c r="K1105" s="1172"/>
      <c r="L1105" s="1173">
        <v>-25366571</v>
      </c>
      <c r="M1105" s="1172"/>
      <c r="N1105" s="1172"/>
      <c r="O1105" s="1172"/>
      <c r="P1105" s="1174"/>
      <c r="Q1105" s="1175"/>
      <c r="R1105" s="1172"/>
      <c r="S1105" s="1172"/>
      <c r="T1105" s="1172"/>
      <c r="U1105" s="1172"/>
      <c r="V1105" s="1172"/>
      <c r="W1105" s="1172"/>
      <c r="X1105" s="1176"/>
    </row>
    <row r="1106" spans="1:24" ht="29.25" customHeight="1" x14ac:dyDescent="0.2">
      <c r="A1106" s="2053"/>
      <c r="B1106" s="2055"/>
      <c r="C1106" s="2057"/>
      <c r="D1106" s="1170" t="s">
        <v>193</v>
      </c>
      <c r="E1106" s="1462" t="s">
        <v>1502</v>
      </c>
      <c r="F1106" s="1462" t="s">
        <v>1501</v>
      </c>
      <c r="G1106" s="1311" t="s">
        <v>1829</v>
      </c>
      <c r="H1106" s="1172"/>
      <c r="I1106" s="1172"/>
      <c r="J1106" s="1172"/>
      <c r="K1106" s="1172"/>
      <c r="L1106" s="1173"/>
      <c r="M1106" s="1172">
        <f>19973678+5392893</f>
        <v>25366571</v>
      </c>
      <c r="N1106" s="1172"/>
      <c r="O1106" s="1172"/>
      <c r="P1106" s="1174"/>
      <c r="Q1106" s="1175"/>
      <c r="R1106" s="1172"/>
      <c r="S1106" s="1172"/>
      <c r="T1106" s="1172"/>
      <c r="U1106" s="1172"/>
      <c r="V1106" s="1172"/>
      <c r="W1106" s="1172"/>
      <c r="X1106" s="1176"/>
    </row>
    <row r="1107" spans="1:24" ht="33" customHeight="1" x14ac:dyDescent="0.2">
      <c r="A1107" s="2052" t="s">
        <v>2990</v>
      </c>
      <c r="B1107" s="2054" t="s">
        <v>3304</v>
      </c>
      <c r="C1107" s="2056" t="s">
        <v>3305</v>
      </c>
      <c r="D1107" s="1170" t="s">
        <v>195</v>
      </c>
      <c r="E1107" s="1462" t="s">
        <v>74</v>
      </c>
      <c r="F1107" s="1462" t="s">
        <v>1870</v>
      </c>
      <c r="G1107" s="1311" t="s">
        <v>1828</v>
      </c>
      <c r="H1107" s="1172"/>
      <c r="I1107" s="1172"/>
      <c r="J1107" s="1172"/>
      <c r="K1107" s="1172"/>
      <c r="L1107" s="1173">
        <v>-254000</v>
      </c>
      <c r="M1107" s="1172"/>
      <c r="N1107" s="1172"/>
      <c r="O1107" s="1172"/>
      <c r="P1107" s="1174"/>
      <c r="Q1107" s="1175"/>
      <c r="R1107" s="1172"/>
      <c r="S1107" s="1172"/>
      <c r="T1107" s="1172"/>
      <c r="U1107" s="1172"/>
      <c r="V1107" s="1172"/>
      <c r="W1107" s="1172"/>
      <c r="X1107" s="1176"/>
    </row>
    <row r="1108" spans="1:24" ht="33" customHeight="1" x14ac:dyDescent="0.2">
      <c r="A1108" s="2053"/>
      <c r="B1108" s="2055"/>
      <c r="C1108" s="2057"/>
      <c r="D1108" s="1170" t="s">
        <v>193</v>
      </c>
      <c r="E1108" s="1462" t="s">
        <v>1502</v>
      </c>
      <c r="F1108" s="1462" t="s">
        <v>1501</v>
      </c>
      <c r="G1108" s="1311" t="s">
        <v>1829</v>
      </c>
      <c r="H1108" s="1172"/>
      <c r="I1108" s="1172"/>
      <c r="J1108" s="1172"/>
      <c r="K1108" s="1172"/>
      <c r="L1108" s="1173"/>
      <c r="M1108" s="1172">
        <f>200000+54000</f>
        <v>254000</v>
      </c>
      <c r="N1108" s="1172"/>
      <c r="O1108" s="1172"/>
      <c r="P1108" s="1174"/>
      <c r="Q1108" s="1175"/>
      <c r="R1108" s="1172"/>
      <c r="S1108" s="1172"/>
      <c r="T1108" s="1172"/>
      <c r="U1108" s="1172"/>
      <c r="V1108" s="1172"/>
      <c r="W1108" s="1172"/>
      <c r="X1108" s="1176"/>
    </row>
    <row r="1109" spans="1:24" ht="38.25" customHeight="1" x14ac:dyDescent="0.2">
      <c r="A1109" s="1491" t="s">
        <v>2992</v>
      </c>
      <c r="B1109" s="1490" t="s">
        <v>3306</v>
      </c>
      <c r="C1109" s="1631" t="s">
        <v>3307</v>
      </c>
      <c r="D1109" s="1170" t="s">
        <v>188</v>
      </c>
      <c r="E1109" s="1462" t="s">
        <v>584</v>
      </c>
      <c r="F1109" s="1462" t="s">
        <v>825</v>
      </c>
      <c r="G1109" s="1311" t="s">
        <v>1837</v>
      </c>
      <c r="H1109" s="1172"/>
      <c r="I1109" s="1172"/>
      <c r="J1109" s="1172">
        <f>-1261039+1261039</f>
        <v>0</v>
      </c>
      <c r="K1109" s="1172"/>
      <c r="L1109" s="1173"/>
      <c r="M1109" s="1172"/>
      <c r="N1109" s="1172"/>
      <c r="O1109" s="1172"/>
      <c r="P1109" s="1174"/>
      <c r="Q1109" s="1175"/>
      <c r="R1109" s="1172"/>
      <c r="S1109" s="1172"/>
      <c r="T1109" s="1172"/>
      <c r="U1109" s="1172"/>
      <c r="V1109" s="1172"/>
      <c r="W1109" s="1172"/>
      <c r="X1109" s="1176"/>
    </row>
    <row r="1110" spans="1:24" ht="39.75" customHeight="1" x14ac:dyDescent="0.2">
      <c r="A1110" s="1491" t="s">
        <v>2997</v>
      </c>
      <c r="B1110" s="1490" t="s">
        <v>3308</v>
      </c>
      <c r="C1110" s="1631" t="s">
        <v>3309</v>
      </c>
      <c r="D1110" s="1170" t="s">
        <v>188</v>
      </c>
      <c r="E1110" s="1462" t="s">
        <v>1868</v>
      </c>
      <c r="F1110" s="1462" t="s">
        <v>1867</v>
      </c>
      <c r="G1110" s="1311" t="s">
        <v>1837</v>
      </c>
      <c r="H1110" s="1172"/>
      <c r="I1110" s="1172"/>
      <c r="J1110" s="1172">
        <f>-100000+100000</f>
        <v>0</v>
      </c>
      <c r="K1110" s="1172"/>
      <c r="L1110" s="1173"/>
      <c r="M1110" s="1172"/>
      <c r="N1110" s="1172"/>
      <c r="O1110" s="1172"/>
      <c r="P1110" s="1174"/>
      <c r="Q1110" s="1175"/>
      <c r="R1110" s="1172"/>
      <c r="S1110" s="1172"/>
      <c r="T1110" s="1172"/>
      <c r="U1110" s="1172"/>
      <c r="V1110" s="1172"/>
      <c r="W1110" s="1172"/>
      <c r="X1110" s="1176"/>
    </row>
    <row r="1111" spans="1:24" ht="41.25" customHeight="1" x14ac:dyDescent="0.2">
      <c r="A1111" s="1491" t="s">
        <v>3000</v>
      </c>
      <c r="B1111" s="1490" t="s">
        <v>3310</v>
      </c>
      <c r="C1111" s="1631" t="s">
        <v>3311</v>
      </c>
      <c r="D1111" s="1170" t="s">
        <v>188</v>
      </c>
      <c r="E1111" s="1462" t="s">
        <v>1985</v>
      </c>
      <c r="F1111" s="1462" t="s">
        <v>1984</v>
      </c>
      <c r="G1111" s="1311" t="s">
        <v>1837</v>
      </c>
      <c r="H1111" s="1172"/>
      <c r="I1111" s="1172"/>
      <c r="J1111" s="1172">
        <f>-185000+50000+135000</f>
        <v>0</v>
      </c>
      <c r="K1111" s="1172"/>
      <c r="L1111" s="1173"/>
      <c r="M1111" s="1172"/>
      <c r="N1111" s="1172"/>
      <c r="O1111" s="1172"/>
      <c r="P1111" s="1174"/>
      <c r="Q1111" s="1175"/>
      <c r="R1111" s="1172"/>
      <c r="S1111" s="1172"/>
      <c r="T1111" s="1172"/>
      <c r="U1111" s="1172"/>
      <c r="V1111" s="1172"/>
      <c r="W1111" s="1172"/>
      <c r="X1111" s="1176"/>
    </row>
    <row r="1112" spans="1:24" ht="22.5" customHeight="1" x14ac:dyDescent="0.2">
      <c r="A1112" s="2052" t="s">
        <v>3002</v>
      </c>
      <c r="B1112" s="2054" t="s">
        <v>3312</v>
      </c>
      <c r="C1112" s="2056" t="s">
        <v>3313</v>
      </c>
      <c r="D1112" s="1170" t="s">
        <v>188</v>
      </c>
      <c r="E1112" s="1462" t="s">
        <v>1399</v>
      </c>
      <c r="F1112" s="1462" t="s">
        <v>1389</v>
      </c>
      <c r="G1112" s="1311" t="s">
        <v>1829</v>
      </c>
      <c r="H1112" s="1172"/>
      <c r="I1112" s="1172"/>
      <c r="J1112" s="1172"/>
      <c r="K1112" s="1172"/>
      <c r="L1112" s="1173"/>
      <c r="M1112" s="1172"/>
      <c r="N1112" s="1172"/>
      <c r="O1112" s="1172"/>
      <c r="P1112" s="1174"/>
      <c r="Q1112" s="1175"/>
      <c r="R1112" s="1172"/>
      <c r="S1112" s="1172">
        <f>20000000+100000000+6000000</f>
        <v>126000000</v>
      </c>
      <c r="T1112" s="1172"/>
      <c r="U1112" s="1172"/>
      <c r="V1112" s="1172"/>
      <c r="W1112" s="1172"/>
      <c r="X1112" s="1176"/>
    </row>
    <row r="1113" spans="1:24" ht="22.5" customHeight="1" x14ac:dyDescent="0.2">
      <c r="A1113" s="2053"/>
      <c r="B1113" s="2055"/>
      <c r="C1113" s="2057"/>
      <c r="D1113" s="1170" t="s">
        <v>195</v>
      </c>
      <c r="E1113" s="1462" t="s">
        <v>74</v>
      </c>
      <c r="F1113" s="1462" t="s">
        <v>1870</v>
      </c>
      <c r="G1113" s="1311" t="s">
        <v>1829</v>
      </c>
      <c r="H1113" s="1172"/>
      <c r="I1113" s="1172"/>
      <c r="J1113" s="1172"/>
      <c r="K1113" s="1172"/>
      <c r="L1113" s="1173">
        <v>126000000</v>
      </c>
      <c r="M1113" s="1172"/>
      <c r="N1113" s="1172"/>
      <c r="O1113" s="1172"/>
      <c r="P1113" s="1174"/>
      <c r="Q1113" s="1175"/>
      <c r="R1113" s="1172"/>
      <c r="S1113" s="1172"/>
      <c r="T1113" s="1172"/>
      <c r="U1113" s="1172"/>
      <c r="V1113" s="1172"/>
      <c r="W1113" s="1172"/>
      <c r="X1113" s="1176"/>
    </row>
    <row r="1114" spans="1:24" ht="32.25" customHeight="1" x14ac:dyDescent="0.2">
      <c r="A1114" s="2052" t="s">
        <v>3005</v>
      </c>
      <c r="B1114" s="2054" t="s">
        <v>3314</v>
      </c>
      <c r="C1114" s="2056" t="s">
        <v>2975</v>
      </c>
      <c r="D1114" s="1170" t="s">
        <v>188</v>
      </c>
      <c r="E1114" s="1462" t="s">
        <v>2458</v>
      </c>
      <c r="F1114" s="1462" t="s">
        <v>2457</v>
      </c>
      <c r="G1114" s="1311" t="s">
        <v>1829</v>
      </c>
      <c r="H1114" s="1172"/>
      <c r="I1114" s="1172"/>
      <c r="J1114" s="1172"/>
      <c r="K1114" s="1172"/>
      <c r="L1114" s="1173"/>
      <c r="M1114" s="1172"/>
      <c r="N1114" s="1172"/>
      <c r="O1114" s="1172"/>
      <c r="P1114" s="1174"/>
      <c r="Q1114" s="1175"/>
      <c r="R1114" s="1172"/>
      <c r="S1114" s="1172"/>
      <c r="T1114" s="1172">
        <v>36950439</v>
      </c>
      <c r="U1114" s="1172"/>
      <c r="V1114" s="1172"/>
      <c r="W1114" s="1172"/>
      <c r="X1114" s="1176"/>
    </row>
    <row r="1115" spans="1:24" ht="32.25" customHeight="1" x14ac:dyDescent="0.2">
      <c r="A1115" s="2053"/>
      <c r="B1115" s="2055"/>
      <c r="C1115" s="2057"/>
      <c r="D1115" s="1170" t="s">
        <v>195</v>
      </c>
      <c r="E1115" s="1462" t="s">
        <v>74</v>
      </c>
      <c r="F1115" s="1462" t="s">
        <v>1870</v>
      </c>
      <c r="G1115" s="1311" t="s">
        <v>1829</v>
      </c>
      <c r="H1115" s="1172"/>
      <c r="I1115" s="1172"/>
      <c r="J1115" s="1172"/>
      <c r="K1115" s="1172"/>
      <c r="L1115" s="1173">
        <v>36950439</v>
      </c>
      <c r="M1115" s="1172"/>
      <c r="N1115" s="1172"/>
      <c r="O1115" s="1172"/>
      <c r="P1115" s="1174"/>
      <c r="Q1115" s="1175"/>
      <c r="R1115" s="1172"/>
      <c r="S1115" s="1172"/>
      <c r="T1115" s="1172"/>
      <c r="U1115" s="1172"/>
      <c r="V1115" s="1172"/>
      <c r="W1115" s="1172"/>
      <c r="X1115" s="1176"/>
    </row>
    <row r="1116" spans="1:24" ht="21.75" customHeight="1" x14ac:dyDescent="0.2">
      <c r="A1116" s="2052" t="s">
        <v>3315</v>
      </c>
      <c r="B1116" s="2054" t="s">
        <v>3316</v>
      </c>
      <c r="C1116" s="2056" t="s">
        <v>3151</v>
      </c>
      <c r="D1116" s="1170" t="s">
        <v>188</v>
      </c>
      <c r="E1116" s="1462" t="s">
        <v>131</v>
      </c>
      <c r="F1116" s="1462" t="s">
        <v>154</v>
      </c>
      <c r="G1116" s="1311" t="s">
        <v>1829</v>
      </c>
      <c r="H1116" s="1172"/>
      <c r="I1116" s="1172"/>
      <c r="J1116" s="1172"/>
      <c r="K1116" s="1172"/>
      <c r="L1116" s="1173"/>
      <c r="M1116" s="1172"/>
      <c r="N1116" s="1172"/>
      <c r="O1116" s="1172"/>
      <c r="P1116" s="1174"/>
      <c r="Q1116" s="1175"/>
      <c r="R1116" s="1172"/>
      <c r="S1116" s="1172"/>
      <c r="T1116" s="1172">
        <f>500000+11412</f>
        <v>511412</v>
      </c>
      <c r="U1116" s="1172"/>
      <c r="V1116" s="1172"/>
      <c r="W1116" s="1172"/>
      <c r="X1116" s="1176"/>
    </row>
    <row r="1117" spans="1:24" ht="21.75" customHeight="1" x14ac:dyDescent="0.2">
      <c r="A1117" s="2053"/>
      <c r="B1117" s="2055"/>
      <c r="C1117" s="2057"/>
      <c r="D1117" s="1170" t="s">
        <v>195</v>
      </c>
      <c r="E1117" s="1462" t="s">
        <v>74</v>
      </c>
      <c r="F1117" s="1462" t="s">
        <v>1870</v>
      </c>
      <c r="G1117" s="1311" t="s">
        <v>1829</v>
      </c>
      <c r="H1117" s="1172"/>
      <c r="I1117" s="1172"/>
      <c r="J1117" s="1172"/>
      <c r="K1117" s="1172"/>
      <c r="L1117" s="1173">
        <v>511412</v>
      </c>
      <c r="M1117" s="1172"/>
      <c r="N1117" s="1172"/>
      <c r="O1117" s="1172"/>
      <c r="P1117" s="1174"/>
      <c r="Q1117" s="1175"/>
      <c r="R1117" s="1172"/>
      <c r="S1117" s="1172"/>
      <c r="T1117" s="1172"/>
      <c r="U1117" s="1172"/>
      <c r="V1117" s="1172"/>
      <c r="W1117" s="1172"/>
      <c r="X1117" s="1176"/>
    </row>
    <row r="1118" spans="1:24" ht="26.25" customHeight="1" x14ac:dyDescent="0.2">
      <c r="A1118" s="2052" t="s">
        <v>3317</v>
      </c>
      <c r="B1118" s="2054" t="s">
        <v>3318</v>
      </c>
      <c r="C1118" s="2056" t="s">
        <v>3319</v>
      </c>
      <c r="D1118" s="1170" t="s">
        <v>198</v>
      </c>
      <c r="E1118" s="1462" t="s">
        <v>1375</v>
      </c>
      <c r="F1118" s="1462" t="s">
        <v>1878</v>
      </c>
      <c r="G1118" s="1311" t="s">
        <v>1829</v>
      </c>
      <c r="H1118" s="1172"/>
      <c r="I1118" s="1172"/>
      <c r="J1118" s="1172"/>
      <c r="K1118" s="1172"/>
      <c r="L1118" s="1173"/>
      <c r="M1118" s="1172"/>
      <c r="N1118" s="1172"/>
      <c r="O1118" s="1172"/>
      <c r="P1118" s="1174"/>
      <c r="Q1118" s="1175">
        <v>2332695</v>
      </c>
      <c r="R1118" s="1172"/>
      <c r="S1118" s="1172"/>
      <c r="T1118" s="1172"/>
      <c r="U1118" s="1172"/>
      <c r="V1118" s="1172"/>
      <c r="W1118" s="1172"/>
      <c r="X1118" s="1176"/>
    </row>
    <row r="1119" spans="1:24" ht="26.25" customHeight="1" x14ac:dyDescent="0.2">
      <c r="A1119" s="2053"/>
      <c r="B1119" s="2055"/>
      <c r="C1119" s="2057"/>
      <c r="D1119" s="1170" t="s">
        <v>195</v>
      </c>
      <c r="E1119" s="1462" t="s">
        <v>74</v>
      </c>
      <c r="F1119" s="1462" t="s">
        <v>1870</v>
      </c>
      <c r="G1119" s="1311" t="s">
        <v>1829</v>
      </c>
      <c r="H1119" s="1172"/>
      <c r="I1119" s="1172"/>
      <c r="J1119" s="1172"/>
      <c r="K1119" s="1172"/>
      <c r="L1119" s="1173">
        <v>2332695</v>
      </c>
      <c r="M1119" s="1172"/>
      <c r="N1119" s="1172"/>
      <c r="O1119" s="1172"/>
      <c r="P1119" s="1174"/>
      <c r="Q1119" s="1175"/>
      <c r="R1119" s="1172"/>
      <c r="S1119" s="1172"/>
      <c r="T1119" s="1172"/>
      <c r="U1119" s="1172"/>
      <c r="V1119" s="1172"/>
      <c r="W1119" s="1172"/>
      <c r="X1119" s="1176"/>
    </row>
    <row r="1120" spans="1:24" ht="27.75" customHeight="1" x14ac:dyDescent="0.2">
      <c r="A1120" s="2052" t="s">
        <v>3013</v>
      </c>
      <c r="B1120" s="2054" t="s">
        <v>3322</v>
      </c>
      <c r="C1120" s="2056" t="s">
        <v>3323</v>
      </c>
      <c r="D1120" s="1170" t="s">
        <v>198</v>
      </c>
      <c r="E1120" s="1462" t="s">
        <v>1375</v>
      </c>
      <c r="F1120" s="1462" t="s">
        <v>1878</v>
      </c>
      <c r="G1120" s="1311" t="s">
        <v>1829</v>
      </c>
      <c r="H1120" s="1172"/>
      <c r="I1120" s="1172"/>
      <c r="J1120" s="1172"/>
      <c r="K1120" s="1172"/>
      <c r="L1120" s="1173"/>
      <c r="M1120" s="1172"/>
      <c r="N1120" s="1172"/>
      <c r="O1120" s="1172"/>
      <c r="P1120" s="1174"/>
      <c r="Q1120" s="1175">
        <f>20071637+2341140+346731</f>
        <v>22759508</v>
      </c>
      <c r="R1120" s="1172"/>
      <c r="S1120" s="1172"/>
      <c r="T1120" s="1172"/>
      <c r="U1120" s="1172"/>
      <c r="V1120" s="1172"/>
      <c r="W1120" s="1172"/>
      <c r="X1120" s="1176"/>
    </row>
    <row r="1121" spans="1:24" ht="27.75" customHeight="1" x14ac:dyDescent="0.2">
      <c r="A1121" s="2053"/>
      <c r="B1121" s="2055"/>
      <c r="C1121" s="2057"/>
      <c r="D1121" s="1170" t="s">
        <v>195</v>
      </c>
      <c r="E1121" s="1462" t="s">
        <v>74</v>
      </c>
      <c r="F1121" s="1462" t="s">
        <v>1870</v>
      </c>
      <c r="G1121" s="1311" t="s">
        <v>1829</v>
      </c>
      <c r="H1121" s="1172"/>
      <c r="I1121" s="1172"/>
      <c r="J1121" s="1172"/>
      <c r="K1121" s="1172"/>
      <c r="L1121" s="1173">
        <v>22759508</v>
      </c>
      <c r="M1121" s="1172"/>
      <c r="N1121" s="1172"/>
      <c r="O1121" s="1172"/>
      <c r="P1121" s="1174"/>
      <c r="Q1121" s="1175"/>
      <c r="R1121" s="1172"/>
      <c r="S1121" s="1172"/>
      <c r="T1121" s="1172"/>
      <c r="U1121" s="1172"/>
      <c r="V1121" s="1172"/>
      <c r="W1121" s="1172"/>
      <c r="X1121" s="1176"/>
    </row>
    <row r="1122" spans="1:24" ht="35.25" customHeight="1" x14ac:dyDescent="0.2">
      <c r="A1122" s="1491" t="s">
        <v>3016</v>
      </c>
      <c r="B1122" s="1490" t="s">
        <v>3326</v>
      </c>
      <c r="C1122" s="1631" t="s">
        <v>3327</v>
      </c>
      <c r="D1122" s="1170" t="s">
        <v>188</v>
      </c>
      <c r="E1122" s="1462" t="s">
        <v>131</v>
      </c>
      <c r="F1122" s="1462" t="s">
        <v>1883</v>
      </c>
      <c r="G1122" s="1311" t="s">
        <v>1837</v>
      </c>
      <c r="H1122" s="1172"/>
      <c r="I1122" s="1172"/>
      <c r="J1122" s="1172">
        <f>-3000000+3000000</f>
        <v>0</v>
      </c>
      <c r="K1122" s="1172"/>
      <c r="L1122" s="1173"/>
      <c r="M1122" s="1172"/>
      <c r="N1122" s="1172"/>
      <c r="O1122" s="1172"/>
      <c r="P1122" s="1174"/>
      <c r="Q1122" s="1175"/>
      <c r="R1122" s="1172"/>
      <c r="S1122" s="1172"/>
      <c r="T1122" s="1172"/>
      <c r="U1122" s="1172"/>
      <c r="V1122" s="1172"/>
      <c r="W1122" s="1172"/>
      <c r="X1122" s="1176"/>
    </row>
    <row r="1123" spans="1:24" ht="34.5" customHeight="1" x14ac:dyDescent="0.2">
      <c r="A1123" s="2052" t="s">
        <v>3019</v>
      </c>
      <c r="B1123" s="2054" t="s">
        <v>3328</v>
      </c>
      <c r="C1123" s="2056" t="s">
        <v>3329</v>
      </c>
      <c r="D1123" s="1170" t="s">
        <v>195</v>
      </c>
      <c r="E1123" s="1462" t="s">
        <v>74</v>
      </c>
      <c r="F1123" s="1462" t="s">
        <v>1870</v>
      </c>
      <c r="G1123" s="1311" t="s">
        <v>1828</v>
      </c>
      <c r="H1123" s="1172"/>
      <c r="I1123" s="1172"/>
      <c r="J1123" s="1172"/>
      <c r="K1123" s="1172"/>
      <c r="L1123" s="1173">
        <v>-12570428</v>
      </c>
      <c r="M1123" s="1172"/>
      <c r="N1123" s="1172"/>
      <c r="O1123" s="1172"/>
      <c r="P1123" s="1174"/>
      <c r="Q1123" s="1175"/>
      <c r="R1123" s="1172"/>
      <c r="S1123" s="1172"/>
      <c r="T1123" s="1172"/>
      <c r="U1123" s="1172"/>
      <c r="V1123" s="1172"/>
      <c r="W1123" s="1172"/>
      <c r="X1123" s="1176"/>
    </row>
    <row r="1124" spans="1:24" ht="34.5" customHeight="1" x14ac:dyDescent="0.2">
      <c r="A1124" s="2053"/>
      <c r="B1124" s="2055"/>
      <c r="C1124" s="2057"/>
      <c r="D1124" s="1170" t="s">
        <v>193</v>
      </c>
      <c r="E1124" s="1462" t="s">
        <v>545</v>
      </c>
      <c r="F1124" s="1462" t="s">
        <v>831</v>
      </c>
      <c r="G1124" s="1311" t="s">
        <v>1829</v>
      </c>
      <c r="H1124" s="1172"/>
      <c r="I1124" s="1172"/>
      <c r="J1124" s="1172"/>
      <c r="K1124" s="1172"/>
      <c r="L1124" s="1173"/>
      <c r="M1124" s="1172">
        <f>9897975+2672453</f>
        <v>12570428</v>
      </c>
      <c r="N1124" s="1172"/>
      <c r="O1124" s="1172"/>
      <c r="P1124" s="1174"/>
      <c r="Q1124" s="1175"/>
      <c r="R1124" s="1172"/>
      <c r="S1124" s="1172"/>
      <c r="T1124" s="1172"/>
      <c r="U1124" s="1172"/>
      <c r="V1124" s="1172"/>
      <c r="W1124" s="1172"/>
      <c r="X1124" s="1176"/>
    </row>
    <row r="1125" spans="1:24" ht="32.25" customHeight="1" x14ac:dyDescent="0.2">
      <c r="A1125" s="2052" t="s">
        <v>3021</v>
      </c>
      <c r="B1125" s="2054" t="s">
        <v>3330</v>
      </c>
      <c r="C1125" s="2056" t="s">
        <v>3331</v>
      </c>
      <c r="D1125" s="1170" t="s">
        <v>195</v>
      </c>
      <c r="E1125" s="1462" t="s">
        <v>74</v>
      </c>
      <c r="F1125" s="1462" t="s">
        <v>1870</v>
      </c>
      <c r="G1125" s="1311" t="s">
        <v>1828</v>
      </c>
      <c r="H1125" s="1172"/>
      <c r="I1125" s="1172"/>
      <c r="J1125" s="1172"/>
      <c r="K1125" s="1172"/>
      <c r="L1125" s="1173">
        <v>-211040</v>
      </c>
      <c r="M1125" s="1172"/>
      <c r="N1125" s="1172"/>
      <c r="O1125" s="1172"/>
      <c r="P1125" s="1174"/>
      <c r="Q1125" s="1175"/>
      <c r="R1125" s="1172"/>
      <c r="S1125" s="1172"/>
      <c r="T1125" s="1172"/>
      <c r="U1125" s="1172"/>
      <c r="V1125" s="1172"/>
      <c r="W1125" s="1172"/>
      <c r="X1125" s="1176"/>
    </row>
    <row r="1126" spans="1:24" ht="32.25" customHeight="1" x14ac:dyDescent="0.2">
      <c r="A1126" s="2053"/>
      <c r="B1126" s="2055"/>
      <c r="C1126" s="2057"/>
      <c r="D1126" s="1170" t="s">
        <v>193</v>
      </c>
      <c r="E1126" s="1462" t="s">
        <v>545</v>
      </c>
      <c r="F1126" s="1462" t="s">
        <v>831</v>
      </c>
      <c r="G1126" s="1311" t="s">
        <v>1829</v>
      </c>
      <c r="H1126" s="1172"/>
      <c r="I1126" s="1172"/>
      <c r="J1126" s="1172"/>
      <c r="K1126" s="1172"/>
      <c r="L1126" s="1173"/>
      <c r="M1126" s="1172">
        <f>166173+44867</f>
        <v>211040</v>
      </c>
      <c r="N1126" s="1172"/>
      <c r="O1126" s="1172"/>
      <c r="P1126" s="1174"/>
      <c r="Q1126" s="1175"/>
      <c r="R1126" s="1172"/>
      <c r="S1126" s="1172"/>
      <c r="T1126" s="1172"/>
      <c r="U1126" s="1172"/>
      <c r="V1126" s="1172"/>
      <c r="W1126" s="1172"/>
      <c r="X1126" s="1176"/>
    </row>
    <row r="1127" spans="1:24" ht="29.25" customHeight="1" x14ac:dyDescent="0.2">
      <c r="A1127" s="1491"/>
      <c r="B1127" s="1490"/>
      <c r="C1127" s="1631" t="s">
        <v>2956</v>
      </c>
      <c r="D1127" s="1170" t="s">
        <v>197</v>
      </c>
      <c r="E1127" s="1462" t="s">
        <v>1288</v>
      </c>
      <c r="F1127" s="1462" t="s">
        <v>535</v>
      </c>
      <c r="G1127" s="1311" t="s">
        <v>1837</v>
      </c>
      <c r="H1127" s="1172"/>
      <c r="I1127" s="1172"/>
      <c r="J1127" s="1172"/>
      <c r="K1127" s="1172"/>
      <c r="L1127" s="1173"/>
      <c r="M1127" s="1172"/>
      <c r="N1127" s="1172"/>
      <c r="O1127" s="1172"/>
      <c r="P1127" s="1174">
        <f>-635000+635000</f>
        <v>0</v>
      </c>
      <c r="Q1127" s="1175"/>
      <c r="R1127" s="1172"/>
      <c r="S1127" s="1172"/>
      <c r="T1127" s="1172"/>
      <c r="U1127" s="1172"/>
      <c r="V1127" s="1172"/>
      <c r="W1127" s="1172"/>
      <c r="X1127" s="1176"/>
    </row>
    <row r="1128" spans="1:24" ht="29.25" customHeight="1" x14ac:dyDescent="0.2">
      <c r="A1128" s="1491"/>
      <c r="B1128" s="1490"/>
      <c r="C1128" s="1631" t="s">
        <v>2157</v>
      </c>
      <c r="D1128" s="1170" t="s">
        <v>197</v>
      </c>
      <c r="E1128" s="1462" t="s">
        <v>1288</v>
      </c>
      <c r="F1128" s="1462" t="s">
        <v>535</v>
      </c>
      <c r="G1128" s="1311" t="s">
        <v>1837</v>
      </c>
      <c r="H1128" s="1172"/>
      <c r="I1128" s="1172"/>
      <c r="J1128" s="1172"/>
      <c r="K1128" s="1172"/>
      <c r="L1128" s="1173"/>
      <c r="M1128" s="1172"/>
      <c r="N1128" s="1172"/>
      <c r="O1128" s="1172"/>
      <c r="P1128" s="1174">
        <f>-698500+698500</f>
        <v>0</v>
      </c>
      <c r="Q1128" s="1175"/>
      <c r="R1128" s="1172"/>
      <c r="S1128" s="1172"/>
      <c r="T1128" s="1172"/>
      <c r="U1128" s="1172"/>
      <c r="V1128" s="1172"/>
      <c r="W1128" s="1172"/>
      <c r="X1128" s="1176"/>
    </row>
    <row r="1129" spans="1:24" ht="29.25" customHeight="1" x14ac:dyDescent="0.2">
      <c r="A1129" s="1491"/>
      <c r="B1129" s="1490"/>
      <c r="C1129" s="1631" t="s">
        <v>3215</v>
      </c>
      <c r="D1129" s="1170" t="s">
        <v>197</v>
      </c>
      <c r="E1129" s="1462" t="s">
        <v>1288</v>
      </c>
      <c r="F1129" s="1462" t="s">
        <v>535</v>
      </c>
      <c r="G1129" s="1311" t="s">
        <v>1837</v>
      </c>
      <c r="H1129" s="1172"/>
      <c r="I1129" s="1172"/>
      <c r="J1129" s="1172"/>
      <c r="K1129" s="1172"/>
      <c r="L1129" s="1173"/>
      <c r="M1129" s="1172"/>
      <c r="N1129" s="1172"/>
      <c r="O1129" s="1172"/>
      <c r="P1129" s="1174">
        <f>-15398+15398</f>
        <v>0</v>
      </c>
      <c r="Q1129" s="1175"/>
      <c r="R1129" s="1172"/>
      <c r="S1129" s="1172"/>
      <c r="T1129" s="1172"/>
      <c r="U1129" s="1172"/>
      <c r="V1129" s="1172"/>
      <c r="W1129" s="1172"/>
      <c r="X1129" s="1176"/>
    </row>
    <row r="1130" spans="1:24" ht="22.5" customHeight="1" x14ac:dyDescent="0.2">
      <c r="A1130" s="2052" t="s">
        <v>3023</v>
      </c>
      <c r="B1130" s="2054" t="s">
        <v>188</v>
      </c>
      <c r="C1130" s="2056" t="s">
        <v>3355</v>
      </c>
      <c r="D1130" s="1170" t="s">
        <v>195</v>
      </c>
      <c r="E1130" s="1462" t="s">
        <v>74</v>
      </c>
      <c r="F1130" s="1462" t="s">
        <v>1870</v>
      </c>
      <c r="G1130" s="1311" t="s">
        <v>1828</v>
      </c>
      <c r="H1130" s="1172"/>
      <c r="I1130" s="1172"/>
      <c r="J1130" s="1172"/>
      <c r="K1130" s="1172"/>
      <c r="L1130" s="1173">
        <v>-120000</v>
      </c>
      <c r="M1130" s="1172"/>
      <c r="N1130" s="1172"/>
      <c r="O1130" s="1172"/>
      <c r="P1130" s="1174"/>
      <c r="Q1130" s="1175"/>
      <c r="R1130" s="1172"/>
      <c r="S1130" s="1172"/>
      <c r="T1130" s="1172"/>
      <c r="U1130" s="1172"/>
      <c r="V1130" s="1172"/>
      <c r="W1130" s="1172"/>
      <c r="X1130" s="1176"/>
    </row>
    <row r="1131" spans="1:24" ht="22.5" customHeight="1" x14ac:dyDescent="0.2">
      <c r="A1131" s="2053"/>
      <c r="B1131" s="2055"/>
      <c r="C1131" s="2057"/>
      <c r="D1131" s="1170" t="s">
        <v>188</v>
      </c>
      <c r="E1131" s="1462" t="s">
        <v>2102</v>
      </c>
      <c r="F1131" s="1462" t="s">
        <v>2101</v>
      </c>
      <c r="G1131" s="1311" t="s">
        <v>1829</v>
      </c>
      <c r="H1131" s="1172"/>
      <c r="I1131" s="1172"/>
      <c r="J1131" s="1172">
        <f>94488+25512</f>
        <v>120000</v>
      </c>
      <c r="K1131" s="1172"/>
      <c r="L1131" s="1173"/>
      <c r="M1131" s="1172"/>
      <c r="N1131" s="1172"/>
      <c r="O1131" s="1172"/>
      <c r="P1131" s="1174"/>
      <c r="Q1131" s="1175"/>
      <c r="R1131" s="1172"/>
      <c r="S1131" s="1172"/>
      <c r="T1131" s="1172"/>
      <c r="U1131" s="1172"/>
      <c r="V1131" s="1172"/>
      <c r="W1131" s="1172"/>
      <c r="X1131" s="1176"/>
    </row>
    <row r="1132" spans="1:24" ht="23.25" customHeight="1" x14ac:dyDescent="0.2">
      <c r="A1132" s="2052" t="s">
        <v>3025</v>
      </c>
      <c r="B1132" s="2054" t="s">
        <v>189</v>
      </c>
      <c r="C1132" s="2056" t="s">
        <v>3356</v>
      </c>
      <c r="D1132" s="1170" t="s">
        <v>195</v>
      </c>
      <c r="E1132" s="1462" t="s">
        <v>74</v>
      </c>
      <c r="F1132" s="1462" t="s">
        <v>1870</v>
      </c>
      <c r="G1132" s="1311" t="s">
        <v>1828</v>
      </c>
      <c r="H1132" s="1172"/>
      <c r="I1132" s="1172"/>
      <c r="J1132" s="1172"/>
      <c r="K1132" s="1172"/>
      <c r="L1132" s="1173">
        <v>-8636000</v>
      </c>
      <c r="M1132" s="1172"/>
      <c r="N1132" s="1172"/>
      <c r="O1132" s="1172"/>
      <c r="P1132" s="1174"/>
      <c r="Q1132" s="1175"/>
      <c r="R1132" s="1172"/>
      <c r="S1132" s="1172"/>
      <c r="T1132" s="1172"/>
      <c r="U1132" s="1172"/>
      <c r="V1132" s="1172"/>
      <c r="W1132" s="1172"/>
      <c r="X1132" s="1176"/>
    </row>
    <row r="1133" spans="1:24" ht="23.25" customHeight="1" x14ac:dyDescent="0.2">
      <c r="A1133" s="2053"/>
      <c r="B1133" s="2055"/>
      <c r="C1133" s="2057"/>
      <c r="D1133" s="1170" t="s">
        <v>188</v>
      </c>
      <c r="E1133" s="1462" t="s">
        <v>1971</v>
      </c>
      <c r="F1133" s="1462" t="s">
        <v>1970</v>
      </c>
      <c r="G1133" s="1311" t="s">
        <v>1829</v>
      </c>
      <c r="H1133" s="1172"/>
      <c r="I1133" s="1172"/>
      <c r="J1133" s="1172">
        <f>6800000+1836000</f>
        <v>8636000</v>
      </c>
      <c r="K1133" s="1172"/>
      <c r="L1133" s="1173"/>
      <c r="M1133" s="1172"/>
      <c r="N1133" s="1172"/>
      <c r="O1133" s="1172"/>
      <c r="P1133" s="1174"/>
      <c r="Q1133" s="1175"/>
      <c r="R1133" s="1172"/>
      <c r="S1133" s="1172"/>
      <c r="T1133" s="1172"/>
      <c r="U1133" s="1172"/>
      <c r="V1133" s="1172"/>
      <c r="W1133" s="1172"/>
      <c r="X1133" s="1176"/>
    </row>
    <row r="1134" spans="1:24" ht="34.5" customHeight="1" x14ac:dyDescent="0.2">
      <c r="A1134" s="2052" t="s">
        <v>3027</v>
      </c>
      <c r="B1134" s="2054" t="s">
        <v>190</v>
      </c>
      <c r="C1134" s="2056" t="s">
        <v>3357</v>
      </c>
      <c r="D1134" s="1170" t="s">
        <v>195</v>
      </c>
      <c r="E1134" s="1462" t="s">
        <v>74</v>
      </c>
      <c r="F1134" s="1462" t="s">
        <v>1870</v>
      </c>
      <c r="G1134" s="1311" t="s">
        <v>1828</v>
      </c>
      <c r="H1134" s="1172"/>
      <c r="I1134" s="1172"/>
      <c r="J1134" s="1172"/>
      <c r="K1134" s="1172"/>
      <c r="L1134" s="1173">
        <v>-2095500</v>
      </c>
      <c r="M1134" s="1172"/>
      <c r="N1134" s="1172"/>
      <c r="O1134" s="1172"/>
      <c r="P1134" s="1174"/>
      <c r="Q1134" s="1175"/>
      <c r="R1134" s="1172"/>
      <c r="S1134" s="1172"/>
      <c r="T1134" s="1172"/>
      <c r="U1134" s="1172"/>
      <c r="V1134" s="1172"/>
      <c r="W1134" s="1172"/>
      <c r="X1134" s="1176"/>
    </row>
    <row r="1135" spans="1:24" ht="34.5" customHeight="1" x14ac:dyDescent="0.2">
      <c r="A1135" s="2053"/>
      <c r="B1135" s="2055"/>
      <c r="C1135" s="2057"/>
      <c r="D1135" s="1170" t="s">
        <v>193</v>
      </c>
      <c r="E1135" s="1462" t="s">
        <v>545</v>
      </c>
      <c r="F1135" s="1462" t="s">
        <v>831</v>
      </c>
      <c r="G1135" s="1311" t="s">
        <v>1829</v>
      </c>
      <c r="H1135" s="1172"/>
      <c r="I1135" s="1172"/>
      <c r="J1135" s="1172"/>
      <c r="K1135" s="1172"/>
      <c r="L1135" s="1173"/>
      <c r="M1135" s="1172">
        <f>1650000+445500</f>
        <v>2095500</v>
      </c>
      <c r="N1135" s="1172"/>
      <c r="O1135" s="1172"/>
      <c r="P1135" s="1174"/>
      <c r="Q1135" s="1175"/>
      <c r="R1135" s="1172"/>
      <c r="S1135" s="1172"/>
      <c r="T1135" s="1172"/>
      <c r="U1135" s="1172"/>
      <c r="V1135" s="1172"/>
      <c r="W1135" s="1172"/>
      <c r="X1135" s="1176"/>
    </row>
    <row r="1136" spans="1:24" ht="33.75" customHeight="1" x14ac:dyDescent="0.2">
      <c r="A1136" s="2052" t="s">
        <v>3038</v>
      </c>
      <c r="B1136" s="2054" t="s">
        <v>191</v>
      </c>
      <c r="C1136" s="2056" t="s">
        <v>3358</v>
      </c>
      <c r="D1136" s="1170" t="s">
        <v>195</v>
      </c>
      <c r="E1136" s="1462" t="s">
        <v>74</v>
      </c>
      <c r="F1136" s="1462" t="s">
        <v>1870</v>
      </c>
      <c r="G1136" s="1311" t="s">
        <v>1828</v>
      </c>
      <c r="H1136" s="1172"/>
      <c r="I1136" s="1172"/>
      <c r="J1136" s="1172"/>
      <c r="K1136" s="1172"/>
      <c r="L1136" s="1173">
        <v>-482873</v>
      </c>
      <c r="M1136" s="1172"/>
      <c r="N1136" s="1172"/>
      <c r="O1136" s="1172"/>
      <c r="P1136" s="1174"/>
      <c r="Q1136" s="1175"/>
      <c r="R1136" s="1172"/>
      <c r="S1136" s="1172"/>
      <c r="T1136" s="1172"/>
      <c r="U1136" s="1172"/>
      <c r="V1136" s="1172"/>
      <c r="W1136" s="1172"/>
      <c r="X1136" s="1176"/>
    </row>
    <row r="1137" spans="1:24" ht="33.75" customHeight="1" x14ac:dyDescent="0.2">
      <c r="A1137" s="2053"/>
      <c r="B1137" s="2055"/>
      <c r="C1137" s="2057"/>
      <c r="D1137" s="1170" t="s">
        <v>195</v>
      </c>
      <c r="E1137" s="1462" t="s">
        <v>620</v>
      </c>
      <c r="F1137" s="1462" t="s">
        <v>134</v>
      </c>
      <c r="G1137" s="1311" t="s">
        <v>1829</v>
      </c>
      <c r="H1137" s="1172"/>
      <c r="I1137" s="1172"/>
      <c r="J1137" s="1172"/>
      <c r="K1137" s="1172"/>
      <c r="L1137" s="1173"/>
      <c r="M1137" s="1172">
        <f>380215+102658</f>
        <v>482873</v>
      </c>
      <c r="N1137" s="1172"/>
      <c r="O1137" s="1172"/>
      <c r="P1137" s="1174"/>
      <c r="Q1137" s="1175"/>
      <c r="R1137" s="1172"/>
      <c r="S1137" s="1172"/>
      <c r="T1137" s="1172"/>
      <c r="U1137" s="1172"/>
      <c r="V1137" s="1172"/>
      <c r="W1137" s="1172"/>
      <c r="X1137" s="1176"/>
    </row>
    <row r="1138" spans="1:24" ht="24.75" customHeight="1" x14ac:dyDescent="0.2">
      <c r="A1138" s="2052" t="s">
        <v>3041</v>
      </c>
      <c r="B1138" s="2054" t="s">
        <v>192</v>
      </c>
      <c r="C1138" s="2056" t="s">
        <v>3360</v>
      </c>
      <c r="D1138" s="1170" t="s">
        <v>195</v>
      </c>
      <c r="E1138" s="1462" t="s">
        <v>74</v>
      </c>
      <c r="F1138" s="1462" t="s">
        <v>1870</v>
      </c>
      <c r="G1138" s="1311" t="s">
        <v>1828</v>
      </c>
      <c r="H1138" s="1172"/>
      <c r="I1138" s="1172"/>
      <c r="J1138" s="1172"/>
      <c r="K1138" s="1172"/>
      <c r="L1138" s="1173">
        <v>-457200</v>
      </c>
      <c r="M1138" s="1172"/>
      <c r="N1138" s="1172"/>
      <c r="O1138" s="1172"/>
      <c r="P1138" s="1174"/>
      <c r="Q1138" s="1175"/>
      <c r="R1138" s="1172"/>
      <c r="S1138" s="1172"/>
      <c r="T1138" s="1172"/>
      <c r="U1138" s="1172"/>
      <c r="V1138" s="1172"/>
      <c r="W1138" s="1172"/>
      <c r="X1138" s="1176"/>
    </row>
    <row r="1139" spans="1:24" ht="24.75" customHeight="1" x14ac:dyDescent="0.2">
      <c r="A1139" s="2053"/>
      <c r="B1139" s="2055"/>
      <c r="C1139" s="2057"/>
      <c r="D1139" s="1170" t="s">
        <v>188</v>
      </c>
      <c r="E1139" s="1462" t="s">
        <v>2102</v>
      </c>
      <c r="F1139" s="1462" t="s">
        <v>2101</v>
      </c>
      <c r="G1139" s="1311" t="s">
        <v>1829</v>
      </c>
      <c r="H1139" s="1172"/>
      <c r="I1139" s="1172"/>
      <c r="J1139" s="1172">
        <f>360000+97200</f>
        <v>457200</v>
      </c>
      <c r="K1139" s="1172"/>
      <c r="L1139" s="1173"/>
      <c r="M1139" s="1172"/>
      <c r="N1139" s="1172"/>
      <c r="O1139" s="1172"/>
      <c r="P1139" s="1174"/>
      <c r="Q1139" s="1175"/>
      <c r="R1139" s="1172"/>
      <c r="S1139" s="1172"/>
      <c r="T1139" s="1172"/>
      <c r="U1139" s="1172"/>
      <c r="V1139" s="1172"/>
      <c r="W1139" s="1172"/>
      <c r="X1139" s="1176"/>
    </row>
    <row r="1140" spans="1:24" ht="22.5" customHeight="1" x14ac:dyDescent="0.2">
      <c r="A1140" s="2052" t="s">
        <v>3043</v>
      </c>
      <c r="B1140" s="2054" t="s">
        <v>193</v>
      </c>
      <c r="C1140" s="2056" t="s">
        <v>3361</v>
      </c>
      <c r="D1140" s="1170" t="s">
        <v>195</v>
      </c>
      <c r="E1140" s="1462" t="s">
        <v>74</v>
      </c>
      <c r="F1140" s="1462" t="s">
        <v>1870</v>
      </c>
      <c r="G1140" s="1311" t="s">
        <v>1828</v>
      </c>
      <c r="H1140" s="1172"/>
      <c r="I1140" s="1172"/>
      <c r="J1140" s="1172"/>
      <c r="K1140" s="1172"/>
      <c r="L1140" s="1173">
        <v>-740000</v>
      </c>
      <c r="M1140" s="1172"/>
      <c r="N1140" s="1172"/>
      <c r="O1140" s="1172"/>
      <c r="P1140" s="1174"/>
      <c r="Q1140" s="1175"/>
      <c r="R1140" s="1172"/>
      <c r="S1140" s="1172"/>
      <c r="T1140" s="1172"/>
      <c r="U1140" s="1172"/>
      <c r="V1140" s="1172"/>
      <c r="W1140" s="1172"/>
      <c r="X1140" s="1176"/>
    </row>
    <row r="1141" spans="1:24" ht="22.5" customHeight="1" x14ac:dyDescent="0.2">
      <c r="A1141" s="2053"/>
      <c r="B1141" s="2055"/>
      <c r="C1141" s="2057"/>
      <c r="D1141" s="1170" t="s">
        <v>188</v>
      </c>
      <c r="E1141" s="1462" t="s">
        <v>1980</v>
      </c>
      <c r="F1141" s="1462" t="s">
        <v>1979</v>
      </c>
      <c r="G1141" s="1311" t="s">
        <v>1829</v>
      </c>
      <c r="H1141" s="1172"/>
      <c r="I1141" s="1172"/>
      <c r="J1141" s="1172">
        <v>740000</v>
      </c>
      <c r="K1141" s="1172"/>
      <c r="L1141" s="1173"/>
      <c r="M1141" s="1172"/>
      <c r="N1141" s="1172"/>
      <c r="O1141" s="1172"/>
      <c r="P1141" s="1174"/>
      <c r="Q1141" s="1175"/>
      <c r="R1141" s="1172"/>
      <c r="S1141" s="1172"/>
      <c r="T1141" s="1172"/>
      <c r="U1141" s="1172"/>
      <c r="V1141" s="1172"/>
      <c r="W1141" s="1172"/>
      <c r="X1141" s="1176"/>
    </row>
    <row r="1142" spans="1:24" ht="27" customHeight="1" x14ac:dyDescent="0.2">
      <c r="A1142" s="2052" t="s">
        <v>3045</v>
      </c>
      <c r="B1142" s="2054" t="s">
        <v>194</v>
      </c>
      <c r="C1142" s="2056" t="s">
        <v>3362</v>
      </c>
      <c r="D1142" s="1170" t="s">
        <v>195</v>
      </c>
      <c r="E1142" s="1462" t="s">
        <v>74</v>
      </c>
      <c r="F1142" s="1462" t="s">
        <v>1870</v>
      </c>
      <c r="G1142" s="1311" t="s">
        <v>1828</v>
      </c>
      <c r="H1142" s="1172"/>
      <c r="I1142" s="1172"/>
      <c r="J1142" s="1172"/>
      <c r="K1142" s="1172"/>
      <c r="L1142" s="1173">
        <v>-457200</v>
      </c>
      <c r="M1142" s="1172"/>
      <c r="N1142" s="1172"/>
      <c r="O1142" s="1172"/>
      <c r="P1142" s="1174"/>
      <c r="Q1142" s="1175"/>
      <c r="R1142" s="1172"/>
      <c r="S1142" s="1172"/>
      <c r="T1142" s="1172"/>
      <c r="U1142" s="1172"/>
      <c r="V1142" s="1172"/>
      <c r="W1142" s="1172"/>
      <c r="X1142" s="1176"/>
    </row>
    <row r="1143" spans="1:24" ht="27" customHeight="1" x14ac:dyDescent="0.2">
      <c r="A1143" s="2053"/>
      <c r="B1143" s="2055"/>
      <c r="C1143" s="2057"/>
      <c r="D1143" s="1170" t="s">
        <v>197</v>
      </c>
      <c r="E1143" s="1462" t="s">
        <v>1288</v>
      </c>
      <c r="F1143" s="1462" t="s">
        <v>535</v>
      </c>
      <c r="G1143" s="1311" t="s">
        <v>1829</v>
      </c>
      <c r="H1143" s="1172"/>
      <c r="I1143" s="1172"/>
      <c r="J1143" s="1172"/>
      <c r="K1143" s="1172"/>
      <c r="L1143" s="1173"/>
      <c r="M1143" s="1172"/>
      <c r="N1143" s="1172"/>
      <c r="O1143" s="1172"/>
      <c r="P1143" s="1174">
        <v>457200</v>
      </c>
      <c r="Q1143" s="1175"/>
      <c r="R1143" s="1172"/>
      <c r="S1143" s="1172"/>
      <c r="T1143" s="1172"/>
      <c r="U1143" s="1172"/>
      <c r="V1143" s="1172"/>
      <c r="W1143" s="1172"/>
      <c r="X1143" s="1176"/>
    </row>
    <row r="1144" spans="1:24" ht="24" customHeight="1" x14ac:dyDescent="0.2">
      <c r="A1144" s="2052" t="s">
        <v>3047</v>
      </c>
      <c r="B1144" s="2054" t="s">
        <v>195</v>
      </c>
      <c r="C1144" s="2056" t="s">
        <v>3364</v>
      </c>
      <c r="D1144" s="1170" t="s">
        <v>195</v>
      </c>
      <c r="E1144" s="1462" t="s">
        <v>74</v>
      </c>
      <c r="F1144" s="1462" t="s">
        <v>1870</v>
      </c>
      <c r="G1144" s="1311" t="s">
        <v>1828</v>
      </c>
      <c r="H1144" s="1172"/>
      <c r="I1144" s="1172"/>
      <c r="J1144" s="1172"/>
      <c r="K1144" s="1172"/>
      <c r="L1144" s="1173">
        <v>-285750</v>
      </c>
      <c r="M1144" s="1172"/>
      <c r="N1144" s="1172"/>
      <c r="O1144" s="1172"/>
      <c r="P1144" s="1174"/>
      <c r="Q1144" s="1175"/>
      <c r="R1144" s="1172"/>
      <c r="S1144" s="1172"/>
      <c r="T1144" s="1172"/>
      <c r="U1144" s="1172"/>
      <c r="V1144" s="1172"/>
      <c r="W1144" s="1172"/>
      <c r="X1144" s="1176"/>
    </row>
    <row r="1145" spans="1:24" ht="24" customHeight="1" x14ac:dyDescent="0.2">
      <c r="A1145" s="2053"/>
      <c r="B1145" s="2055"/>
      <c r="C1145" s="2057"/>
      <c r="D1145" s="1170" t="s">
        <v>197</v>
      </c>
      <c r="E1145" s="1462" t="s">
        <v>1288</v>
      </c>
      <c r="F1145" s="1462" t="s">
        <v>535</v>
      </c>
      <c r="G1145" s="1311" t="s">
        <v>1829</v>
      </c>
      <c r="H1145" s="1172"/>
      <c r="I1145" s="1172"/>
      <c r="J1145" s="1172"/>
      <c r="K1145" s="1172"/>
      <c r="L1145" s="1173"/>
      <c r="M1145" s="1172"/>
      <c r="N1145" s="1172"/>
      <c r="O1145" s="1172"/>
      <c r="P1145" s="1174">
        <v>285750</v>
      </c>
      <c r="Q1145" s="1175"/>
      <c r="R1145" s="1172"/>
      <c r="S1145" s="1172"/>
      <c r="T1145" s="1172"/>
      <c r="U1145" s="1172"/>
      <c r="V1145" s="1172"/>
      <c r="W1145" s="1172"/>
      <c r="X1145" s="1176"/>
    </row>
    <row r="1146" spans="1:24" ht="24.75" customHeight="1" x14ac:dyDescent="0.2">
      <c r="A1146" s="2052" t="s">
        <v>3049</v>
      </c>
      <c r="B1146" s="2054" t="s">
        <v>196</v>
      </c>
      <c r="C1146" s="2056" t="s">
        <v>3366</v>
      </c>
      <c r="D1146" s="1170" t="s">
        <v>195</v>
      </c>
      <c r="E1146" s="1462" t="s">
        <v>74</v>
      </c>
      <c r="F1146" s="1462" t="s">
        <v>1870</v>
      </c>
      <c r="G1146" s="1311" t="s">
        <v>1828</v>
      </c>
      <c r="H1146" s="1172"/>
      <c r="I1146" s="1172"/>
      <c r="J1146" s="1172"/>
      <c r="K1146" s="1172"/>
      <c r="L1146" s="1173">
        <v>-4064000</v>
      </c>
      <c r="M1146" s="1172"/>
      <c r="N1146" s="1172"/>
      <c r="O1146" s="1172"/>
      <c r="P1146" s="1174"/>
      <c r="Q1146" s="1175"/>
      <c r="R1146" s="1172"/>
      <c r="S1146" s="1172"/>
      <c r="T1146" s="1172"/>
      <c r="U1146" s="1172"/>
      <c r="V1146" s="1172"/>
      <c r="W1146" s="1172"/>
      <c r="X1146" s="1176"/>
    </row>
    <row r="1147" spans="1:24" ht="24.75" customHeight="1" x14ac:dyDescent="0.2">
      <c r="A1147" s="2053"/>
      <c r="B1147" s="2055"/>
      <c r="C1147" s="2057"/>
      <c r="D1147" s="1170" t="s">
        <v>188</v>
      </c>
      <c r="E1147" s="1462" t="s">
        <v>813</v>
      </c>
      <c r="F1147" s="1462" t="s">
        <v>1897</v>
      </c>
      <c r="G1147" s="1311" t="s">
        <v>1829</v>
      </c>
      <c r="H1147" s="1172"/>
      <c r="I1147" s="1172"/>
      <c r="J1147" s="1172">
        <f>3200000+864000</f>
        <v>4064000</v>
      </c>
      <c r="K1147" s="1172"/>
      <c r="L1147" s="1173"/>
      <c r="M1147" s="1172"/>
      <c r="N1147" s="1172"/>
      <c r="O1147" s="1172"/>
      <c r="P1147" s="1174"/>
      <c r="Q1147" s="1175"/>
      <c r="R1147" s="1172"/>
      <c r="S1147" s="1172"/>
      <c r="T1147" s="1172"/>
      <c r="U1147" s="1172"/>
      <c r="V1147" s="1172"/>
      <c r="W1147" s="1172"/>
      <c r="X1147" s="1176"/>
    </row>
    <row r="1148" spans="1:24" ht="21.75" customHeight="1" x14ac:dyDescent="0.2">
      <c r="A1148" s="2052" t="s">
        <v>3052</v>
      </c>
      <c r="B1148" s="2058" t="s">
        <v>3367</v>
      </c>
      <c r="C1148" s="2056" t="s">
        <v>3368</v>
      </c>
      <c r="D1148" s="1170" t="s">
        <v>188</v>
      </c>
      <c r="E1148" s="1462" t="s">
        <v>626</v>
      </c>
      <c r="F1148" s="1462" t="s">
        <v>136</v>
      </c>
      <c r="G1148" s="1311" t="s">
        <v>1828</v>
      </c>
      <c r="H1148" s="1172"/>
      <c r="I1148" s="1172"/>
      <c r="J1148" s="1172">
        <f>-1600000-432000</f>
        <v>-2032000</v>
      </c>
      <c r="K1148" s="1172"/>
      <c r="L1148" s="1173"/>
      <c r="M1148" s="1172"/>
      <c r="N1148" s="1172"/>
      <c r="O1148" s="1172"/>
      <c r="P1148" s="1174"/>
      <c r="Q1148" s="1175"/>
      <c r="R1148" s="1172"/>
      <c r="S1148" s="1172"/>
      <c r="T1148" s="1172"/>
      <c r="U1148" s="1172"/>
      <c r="V1148" s="1172"/>
      <c r="W1148" s="1172"/>
      <c r="X1148" s="1176"/>
    </row>
    <row r="1149" spans="1:24" ht="21.75" customHeight="1" x14ac:dyDescent="0.2">
      <c r="A1149" s="2053"/>
      <c r="B1149" s="2059"/>
      <c r="C1149" s="2057"/>
      <c r="D1149" s="1170" t="s">
        <v>193</v>
      </c>
      <c r="E1149" s="1462" t="s">
        <v>626</v>
      </c>
      <c r="F1149" s="1462" t="s">
        <v>136</v>
      </c>
      <c r="G1149" s="1311" t="s">
        <v>1829</v>
      </c>
      <c r="H1149" s="1172"/>
      <c r="I1149" s="1172"/>
      <c r="J1149" s="1172"/>
      <c r="K1149" s="1172"/>
      <c r="L1149" s="1173"/>
      <c r="M1149" s="1172">
        <f>1600000+432000</f>
        <v>2032000</v>
      </c>
      <c r="N1149" s="1172"/>
      <c r="O1149" s="1172"/>
      <c r="P1149" s="1174"/>
      <c r="Q1149" s="1175"/>
      <c r="R1149" s="1172"/>
      <c r="S1149" s="1172"/>
      <c r="T1149" s="1172"/>
      <c r="U1149" s="1172"/>
      <c r="V1149" s="1172"/>
      <c r="W1149" s="1172"/>
      <c r="X1149" s="1176"/>
    </row>
    <row r="1150" spans="1:24" ht="29.25" customHeight="1" x14ac:dyDescent="0.2">
      <c r="A1150" s="2052" t="s">
        <v>3056</v>
      </c>
      <c r="B1150" s="2058" t="s">
        <v>198</v>
      </c>
      <c r="C1150" s="2056" t="s">
        <v>3370</v>
      </c>
      <c r="D1150" s="1170" t="s">
        <v>195</v>
      </c>
      <c r="E1150" s="1462" t="s">
        <v>74</v>
      </c>
      <c r="F1150" s="1462" t="s">
        <v>1870</v>
      </c>
      <c r="G1150" s="1311" t="s">
        <v>1828</v>
      </c>
      <c r="H1150" s="1172"/>
      <c r="I1150" s="1172"/>
      <c r="J1150" s="1172"/>
      <c r="K1150" s="1172"/>
      <c r="L1150" s="1173">
        <v>-6350000</v>
      </c>
      <c r="M1150" s="1172"/>
      <c r="N1150" s="1172"/>
      <c r="O1150" s="1172"/>
      <c r="P1150" s="1174"/>
      <c r="Q1150" s="1175"/>
      <c r="R1150" s="1172"/>
      <c r="S1150" s="1172"/>
      <c r="T1150" s="1172"/>
      <c r="U1150" s="1172"/>
      <c r="V1150" s="1172"/>
      <c r="W1150" s="1172"/>
      <c r="X1150" s="1176"/>
    </row>
    <row r="1151" spans="1:24" ht="29.25" customHeight="1" x14ac:dyDescent="0.2">
      <c r="A1151" s="2053"/>
      <c r="B1151" s="2059"/>
      <c r="C1151" s="2057"/>
      <c r="D1151" s="1170" t="s">
        <v>193</v>
      </c>
      <c r="E1151" s="1462" t="s">
        <v>131</v>
      </c>
      <c r="F1151" s="1462" t="s">
        <v>1883</v>
      </c>
      <c r="G1151" s="1311" t="s">
        <v>1829</v>
      </c>
      <c r="H1151" s="1172"/>
      <c r="I1151" s="1172"/>
      <c r="J1151" s="1172"/>
      <c r="K1151" s="1172"/>
      <c r="L1151" s="1173"/>
      <c r="M1151" s="1172">
        <f>5000000+1350000</f>
        <v>6350000</v>
      </c>
      <c r="N1151" s="1172"/>
      <c r="O1151" s="1172"/>
      <c r="P1151" s="1174"/>
      <c r="Q1151" s="1175"/>
      <c r="R1151" s="1172"/>
      <c r="S1151" s="1172"/>
      <c r="T1151" s="1172"/>
      <c r="U1151" s="1172"/>
      <c r="V1151" s="1172"/>
      <c r="W1151" s="1172"/>
      <c r="X1151" s="1176"/>
    </row>
    <row r="1152" spans="1:24" ht="32.25" customHeight="1" x14ac:dyDescent="0.2">
      <c r="A1152" s="2052" t="s">
        <v>3059</v>
      </c>
      <c r="B1152" s="2058" t="s">
        <v>225</v>
      </c>
      <c r="C1152" s="2056" t="s">
        <v>3372</v>
      </c>
      <c r="D1152" s="1170" t="s">
        <v>195</v>
      </c>
      <c r="E1152" s="1462" t="s">
        <v>74</v>
      </c>
      <c r="F1152" s="1462" t="s">
        <v>1870</v>
      </c>
      <c r="G1152" s="1311" t="s">
        <v>1828</v>
      </c>
      <c r="H1152" s="1172"/>
      <c r="I1152" s="1172"/>
      <c r="J1152" s="1172"/>
      <c r="K1152" s="1172"/>
      <c r="L1152" s="1173">
        <v>-2501900</v>
      </c>
      <c r="M1152" s="1172"/>
      <c r="N1152" s="1172"/>
      <c r="O1152" s="1172"/>
      <c r="P1152" s="1174"/>
      <c r="Q1152" s="1175"/>
      <c r="R1152" s="1172"/>
      <c r="S1152" s="1172"/>
      <c r="T1152" s="1172"/>
      <c r="U1152" s="1172"/>
      <c r="V1152" s="1172"/>
      <c r="W1152" s="1172"/>
      <c r="X1152" s="1176"/>
    </row>
    <row r="1153" spans="1:24" ht="32.25" customHeight="1" x14ac:dyDescent="0.2">
      <c r="A1153" s="2053"/>
      <c r="B1153" s="2059"/>
      <c r="C1153" s="2057"/>
      <c r="D1153" s="1170" t="s">
        <v>193</v>
      </c>
      <c r="E1153" s="1462" t="s">
        <v>545</v>
      </c>
      <c r="F1153" s="1462" t="s">
        <v>831</v>
      </c>
      <c r="G1153" s="1311" t="s">
        <v>1829</v>
      </c>
      <c r="H1153" s="1172"/>
      <c r="I1153" s="1172"/>
      <c r="J1153" s="1172"/>
      <c r="K1153" s="1172"/>
      <c r="L1153" s="1173"/>
      <c r="M1153" s="1172">
        <f>1970000+531900</f>
        <v>2501900</v>
      </c>
      <c r="N1153" s="1172"/>
      <c r="O1153" s="1172"/>
      <c r="P1153" s="1174"/>
      <c r="Q1153" s="1175"/>
      <c r="R1153" s="1172"/>
      <c r="S1153" s="1172"/>
      <c r="T1153" s="1172"/>
      <c r="U1153" s="1172"/>
      <c r="V1153" s="1172"/>
      <c r="W1153" s="1172"/>
      <c r="X1153" s="1176"/>
    </row>
    <row r="1154" spans="1:24" ht="24" customHeight="1" x14ac:dyDescent="0.2">
      <c r="A1154" s="2052" t="s">
        <v>3062</v>
      </c>
      <c r="B1154" s="2054" t="s">
        <v>226</v>
      </c>
      <c r="C1154" s="2056" t="s">
        <v>3373</v>
      </c>
      <c r="D1154" s="1170" t="s">
        <v>188</v>
      </c>
      <c r="E1154" s="1462" t="s">
        <v>626</v>
      </c>
      <c r="F1154" s="1462" t="s">
        <v>136</v>
      </c>
      <c r="G1154" s="1311" t="s">
        <v>1828</v>
      </c>
      <c r="H1154" s="1172">
        <v>-4618559</v>
      </c>
      <c r="I1154" s="1172">
        <v>-333541</v>
      </c>
      <c r="J1154" s="1172"/>
      <c r="K1154" s="1172"/>
      <c r="L1154" s="1173"/>
      <c r="M1154" s="1172"/>
      <c r="N1154" s="1172"/>
      <c r="O1154" s="1172"/>
      <c r="P1154" s="1174"/>
      <c r="Q1154" s="1175"/>
      <c r="R1154" s="1172"/>
      <c r="S1154" s="1172"/>
      <c r="T1154" s="1172"/>
      <c r="U1154" s="1172"/>
      <c r="V1154" s="1172"/>
      <c r="W1154" s="1172"/>
      <c r="X1154" s="1176"/>
    </row>
    <row r="1155" spans="1:24" ht="24" customHeight="1" x14ac:dyDescent="0.2">
      <c r="A1155" s="2061"/>
      <c r="B1155" s="2060"/>
      <c r="C1155" s="2065"/>
      <c r="D1155" s="1170" t="s">
        <v>188</v>
      </c>
      <c r="E1155" s="1462" t="s">
        <v>131</v>
      </c>
      <c r="F1155" s="1462" t="s">
        <v>444</v>
      </c>
      <c r="G1155" s="1311" t="s">
        <v>1828</v>
      </c>
      <c r="H1155" s="1172">
        <v>-1499952</v>
      </c>
      <c r="I1155" s="1172"/>
      <c r="J1155" s="1172"/>
      <c r="K1155" s="1172"/>
      <c r="L1155" s="1173"/>
      <c r="M1155" s="1172"/>
      <c r="N1155" s="1172"/>
      <c r="O1155" s="1172"/>
      <c r="P1155" s="1174"/>
      <c r="Q1155" s="1175"/>
      <c r="R1155" s="1172"/>
      <c r="S1155" s="1172"/>
      <c r="T1155" s="1172"/>
      <c r="U1155" s="1172"/>
      <c r="V1155" s="1172"/>
      <c r="W1155" s="1172"/>
      <c r="X1155" s="1176"/>
    </row>
    <row r="1156" spans="1:24" ht="24" customHeight="1" x14ac:dyDescent="0.2">
      <c r="A1156" s="2061"/>
      <c r="B1156" s="2060"/>
      <c r="C1156" s="2065"/>
      <c r="D1156" s="1170" t="s">
        <v>188</v>
      </c>
      <c r="E1156" s="1462" t="s">
        <v>74</v>
      </c>
      <c r="F1156" s="1462" t="s">
        <v>538</v>
      </c>
      <c r="G1156" s="1311" t="s">
        <v>1829</v>
      </c>
      <c r="H1156" s="1172">
        <f>3630000+1499952</f>
        <v>5129952</v>
      </c>
      <c r="I1156" s="1172"/>
      <c r="J1156" s="1172"/>
      <c r="K1156" s="1172"/>
      <c r="L1156" s="1173"/>
      <c r="M1156" s="1172"/>
      <c r="N1156" s="1172"/>
      <c r="O1156" s="1172"/>
      <c r="P1156" s="1174"/>
      <c r="Q1156" s="1175"/>
      <c r="R1156" s="1172"/>
      <c r="S1156" s="1172"/>
      <c r="T1156" s="1172"/>
      <c r="U1156" s="1172"/>
      <c r="V1156" s="1172"/>
      <c r="W1156" s="1172"/>
      <c r="X1156" s="1176"/>
    </row>
    <row r="1157" spans="1:24" ht="24" customHeight="1" x14ac:dyDescent="0.2">
      <c r="A1157" s="2061"/>
      <c r="B1157" s="2060"/>
      <c r="C1157" s="2065"/>
      <c r="D1157" s="1170" t="s">
        <v>188</v>
      </c>
      <c r="E1157" s="1462" t="s">
        <v>590</v>
      </c>
      <c r="F1157" s="1462" t="s">
        <v>442</v>
      </c>
      <c r="G1157" s="1311" t="s">
        <v>1837</v>
      </c>
      <c r="H1157" s="1172">
        <f>-90000+90000</f>
        <v>0</v>
      </c>
      <c r="I1157" s="1172"/>
      <c r="J1157" s="1172"/>
      <c r="K1157" s="1172"/>
      <c r="L1157" s="1173"/>
      <c r="M1157" s="1172"/>
      <c r="N1157" s="1172"/>
      <c r="O1157" s="1172"/>
      <c r="P1157" s="1174"/>
      <c r="Q1157" s="1175"/>
      <c r="R1157" s="1172"/>
      <c r="S1157" s="1172"/>
      <c r="T1157" s="1172"/>
      <c r="U1157" s="1172"/>
      <c r="V1157" s="1172"/>
      <c r="W1157" s="1172"/>
      <c r="X1157" s="1176"/>
    </row>
    <row r="1158" spans="1:24" ht="24" customHeight="1" x14ac:dyDescent="0.2">
      <c r="A1158" s="2061"/>
      <c r="B1158" s="2060"/>
      <c r="C1158" s="2065"/>
      <c r="D1158" s="1170" t="s">
        <v>188</v>
      </c>
      <c r="E1158" s="1462" t="s">
        <v>542</v>
      </c>
      <c r="F1158" s="1462" t="s">
        <v>447</v>
      </c>
      <c r="G1158" s="1311" t="s">
        <v>1837</v>
      </c>
      <c r="H1158" s="1172">
        <f>-9000+9000</f>
        <v>0</v>
      </c>
      <c r="I1158" s="1172">
        <v>104130</v>
      </c>
      <c r="J1158" s="1172"/>
      <c r="K1158" s="1172"/>
      <c r="L1158" s="1173"/>
      <c r="M1158" s="1172"/>
      <c r="N1158" s="1172"/>
      <c r="O1158" s="1172"/>
      <c r="P1158" s="1174"/>
      <c r="Q1158" s="1175"/>
      <c r="R1158" s="1172"/>
      <c r="S1158" s="1172"/>
      <c r="T1158" s="1172"/>
      <c r="U1158" s="1172"/>
      <c r="V1158" s="1172"/>
      <c r="W1158" s="1172"/>
      <c r="X1158" s="1176"/>
    </row>
    <row r="1159" spans="1:24" ht="24" customHeight="1" x14ac:dyDescent="0.2">
      <c r="A1159" s="2061"/>
      <c r="B1159" s="2060"/>
      <c r="C1159" s="2065"/>
      <c r="D1159" s="1170" t="s">
        <v>188</v>
      </c>
      <c r="E1159" s="1462" t="s">
        <v>542</v>
      </c>
      <c r="F1159" s="1462" t="s">
        <v>449</v>
      </c>
      <c r="G1159" s="1311" t="s">
        <v>1837</v>
      </c>
      <c r="H1159" s="1172">
        <f>-40000+40000</f>
        <v>0</v>
      </c>
      <c r="I1159" s="1172">
        <v>-104130</v>
      </c>
      <c r="J1159" s="1172"/>
      <c r="K1159" s="1172"/>
      <c r="L1159" s="1173"/>
      <c r="M1159" s="1172"/>
      <c r="N1159" s="1172"/>
      <c r="O1159" s="1172"/>
      <c r="P1159" s="1174"/>
      <c r="Q1159" s="1175"/>
      <c r="R1159" s="1172"/>
      <c r="S1159" s="1172"/>
      <c r="T1159" s="1172"/>
      <c r="U1159" s="1172"/>
      <c r="V1159" s="1172"/>
      <c r="W1159" s="1172"/>
      <c r="X1159" s="1176"/>
    </row>
    <row r="1160" spans="1:24" ht="24" customHeight="1" x14ac:dyDescent="0.2">
      <c r="A1160" s="2053"/>
      <c r="B1160" s="2055"/>
      <c r="C1160" s="2057"/>
      <c r="D1160" s="1170" t="s">
        <v>188</v>
      </c>
      <c r="E1160" s="1462" t="s">
        <v>64</v>
      </c>
      <c r="F1160" s="1462" t="s">
        <v>526</v>
      </c>
      <c r="G1160" s="1311" t="s">
        <v>1829</v>
      </c>
      <c r="H1160" s="1172">
        <v>988559</v>
      </c>
      <c r="I1160" s="1172">
        <v>333541</v>
      </c>
      <c r="J1160" s="1172"/>
      <c r="K1160" s="1172"/>
      <c r="L1160" s="1173"/>
      <c r="M1160" s="1172"/>
      <c r="N1160" s="1172"/>
      <c r="O1160" s="1172"/>
      <c r="P1160" s="1174"/>
      <c r="Q1160" s="1175"/>
      <c r="R1160" s="1172"/>
      <c r="S1160" s="1172"/>
      <c r="T1160" s="1172"/>
      <c r="U1160" s="1172"/>
      <c r="V1160" s="1172"/>
      <c r="W1160" s="1172"/>
      <c r="X1160" s="1176"/>
    </row>
    <row r="1161" spans="1:24" ht="29.25" customHeight="1" x14ac:dyDescent="0.2">
      <c r="A1161" s="2052" t="s">
        <v>3064</v>
      </c>
      <c r="B1161" s="2054" t="s">
        <v>228</v>
      </c>
      <c r="C1161" s="2056" t="s">
        <v>3375</v>
      </c>
      <c r="D1161" s="1170" t="s">
        <v>195</v>
      </c>
      <c r="E1161" s="1462" t="s">
        <v>74</v>
      </c>
      <c r="F1161" s="1462" t="s">
        <v>1870</v>
      </c>
      <c r="G1161" s="1311" t="s">
        <v>1828</v>
      </c>
      <c r="H1161" s="1172"/>
      <c r="I1161" s="1172"/>
      <c r="J1161" s="1172"/>
      <c r="K1161" s="1172"/>
      <c r="L1161" s="1173">
        <v>-4448858</v>
      </c>
      <c r="M1161" s="1172"/>
      <c r="N1161" s="1172"/>
      <c r="O1161" s="1172"/>
      <c r="P1161" s="1174"/>
      <c r="Q1161" s="1175"/>
      <c r="R1161" s="1172"/>
      <c r="S1161" s="1172"/>
      <c r="T1161" s="1172"/>
      <c r="U1161" s="1172"/>
      <c r="V1161" s="1172"/>
      <c r="W1161" s="1172"/>
      <c r="X1161" s="1176"/>
    </row>
    <row r="1162" spans="1:24" ht="29.25" customHeight="1" x14ac:dyDescent="0.2">
      <c r="A1162" s="2053"/>
      <c r="B1162" s="2055"/>
      <c r="C1162" s="2057"/>
      <c r="D1162" s="1170" t="s">
        <v>197</v>
      </c>
      <c r="E1162" s="1462" t="s">
        <v>1288</v>
      </c>
      <c r="F1162" s="1462" t="s">
        <v>535</v>
      </c>
      <c r="G1162" s="1311" t="s">
        <v>1829</v>
      </c>
      <c r="H1162" s="1172"/>
      <c r="I1162" s="1172"/>
      <c r="J1162" s="1172"/>
      <c r="K1162" s="1172"/>
      <c r="L1162" s="1173"/>
      <c r="M1162" s="1172"/>
      <c r="N1162" s="1172"/>
      <c r="O1162" s="1172"/>
      <c r="P1162" s="1174">
        <v>4448858</v>
      </c>
      <c r="Q1162" s="1175"/>
      <c r="R1162" s="1172"/>
      <c r="S1162" s="1172"/>
      <c r="T1162" s="1172"/>
      <c r="U1162" s="1172"/>
      <c r="V1162" s="1172"/>
      <c r="W1162" s="1172"/>
      <c r="X1162" s="1176"/>
    </row>
    <row r="1163" spans="1:24" ht="53.25" customHeight="1" x14ac:dyDescent="0.2">
      <c r="A1163" s="2052" t="s">
        <v>3065</v>
      </c>
      <c r="B1163" s="2054" t="s">
        <v>229</v>
      </c>
      <c r="C1163" s="2056" t="s">
        <v>3377</v>
      </c>
      <c r="D1163" s="1170" t="s">
        <v>196</v>
      </c>
      <c r="E1163" s="1462" t="s">
        <v>2832</v>
      </c>
      <c r="F1163" s="1462" t="s">
        <v>3378</v>
      </c>
      <c r="G1163" s="1311" t="s">
        <v>1828</v>
      </c>
      <c r="H1163" s="1172"/>
      <c r="I1163" s="1172"/>
      <c r="J1163" s="1172"/>
      <c r="K1163" s="1172">
        <v>-700000</v>
      </c>
      <c r="L1163" s="1173"/>
      <c r="M1163" s="1172"/>
      <c r="N1163" s="1172"/>
      <c r="O1163" s="1172"/>
      <c r="P1163" s="1174"/>
      <c r="Q1163" s="1175"/>
      <c r="R1163" s="1172"/>
      <c r="S1163" s="1172"/>
      <c r="T1163" s="1172"/>
      <c r="U1163" s="1172"/>
      <c r="V1163" s="1172"/>
      <c r="W1163" s="1172"/>
      <c r="X1163" s="1176"/>
    </row>
    <row r="1164" spans="1:24" ht="53.25" customHeight="1" x14ac:dyDescent="0.2">
      <c r="A1164" s="2053"/>
      <c r="B1164" s="2055"/>
      <c r="C1164" s="2057"/>
      <c r="D1164" s="1170" t="s">
        <v>196</v>
      </c>
      <c r="E1164" s="1462" t="s">
        <v>2832</v>
      </c>
      <c r="F1164" s="1462" t="s">
        <v>3379</v>
      </c>
      <c r="G1164" s="1311" t="s">
        <v>1829</v>
      </c>
      <c r="H1164" s="1172"/>
      <c r="I1164" s="1172"/>
      <c r="J1164" s="1172"/>
      <c r="K1164" s="1172">
        <v>700000</v>
      </c>
      <c r="L1164" s="1173"/>
      <c r="M1164" s="1172"/>
      <c r="N1164" s="1172"/>
      <c r="O1164" s="1172"/>
      <c r="P1164" s="1174"/>
      <c r="Q1164" s="1175"/>
      <c r="R1164" s="1172"/>
      <c r="S1164" s="1172"/>
      <c r="T1164" s="1172"/>
      <c r="U1164" s="1172"/>
      <c r="V1164" s="1172"/>
      <c r="W1164" s="1172"/>
      <c r="X1164" s="1176"/>
    </row>
    <row r="1165" spans="1:24" ht="33" customHeight="1" x14ac:dyDescent="0.2">
      <c r="A1165" s="2052" t="s">
        <v>3068</v>
      </c>
      <c r="B1165" s="2054" t="s">
        <v>3380</v>
      </c>
      <c r="C1165" s="2056" t="s">
        <v>3381</v>
      </c>
      <c r="D1165" s="1170" t="s">
        <v>196</v>
      </c>
      <c r="E1165" s="1462" t="s">
        <v>2832</v>
      </c>
      <c r="F1165" s="1462" t="s">
        <v>3378</v>
      </c>
      <c r="G1165" s="1311" t="s">
        <v>1828</v>
      </c>
      <c r="H1165" s="1172"/>
      <c r="I1165" s="1172"/>
      <c r="J1165" s="1172"/>
      <c r="K1165" s="1172">
        <v>-200000</v>
      </c>
      <c r="L1165" s="1173"/>
      <c r="M1165" s="1172"/>
      <c r="N1165" s="1172"/>
      <c r="O1165" s="1172"/>
      <c r="P1165" s="1174"/>
      <c r="Q1165" s="1175"/>
      <c r="R1165" s="1172"/>
      <c r="S1165" s="1172"/>
      <c r="T1165" s="1172"/>
      <c r="U1165" s="1172"/>
      <c r="V1165" s="1172"/>
      <c r="W1165" s="1172"/>
      <c r="X1165" s="1176"/>
    </row>
    <row r="1166" spans="1:24" ht="33" customHeight="1" x14ac:dyDescent="0.2">
      <c r="A1166" s="2053"/>
      <c r="B1166" s="2055"/>
      <c r="C1166" s="2057"/>
      <c r="D1166" s="1170" t="s">
        <v>196</v>
      </c>
      <c r="E1166" s="1462" t="s">
        <v>2832</v>
      </c>
      <c r="F1166" s="1462" t="s">
        <v>3379</v>
      </c>
      <c r="G1166" s="1311" t="s">
        <v>1829</v>
      </c>
      <c r="H1166" s="1172"/>
      <c r="I1166" s="1172"/>
      <c r="J1166" s="1172"/>
      <c r="K1166" s="1172">
        <v>200000</v>
      </c>
      <c r="L1166" s="1173"/>
      <c r="M1166" s="1172"/>
      <c r="N1166" s="1172"/>
      <c r="O1166" s="1172"/>
      <c r="P1166" s="1174"/>
      <c r="Q1166" s="1175"/>
      <c r="R1166" s="1172"/>
      <c r="S1166" s="1172"/>
      <c r="T1166" s="1172"/>
      <c r="U1166" s="1172"/>
      <c r="V1166" s="1172"/>
      <c r="W1166" s="1172"/>
      <c r="X1166" s="1176"/>
    </row>
    <row r="1167" spans="1:24" ht="34.5" customHeight="1" x14ac:dyDescent="0.2">
      <c r="A1167" s="2052" t="s">
        <v>3071</v>
      </c>
      <c r="B1167" s="2054" t="s">
        <v>232</v>
      </c>
      <c r="C1167" s="2056" t="s">
        <v>3382</v>
      </c>
      <c r="D1167" s="1170" t="s">
        <v>195</v>
      </c>
      <c r="E1167" s="1462" t="s">
        <v>74</v>
      </c>
      <c r="F1167" s="1462" t="s">
        <v>1870</v>
      </c>
      <c r="G1167" s="1311" t="s">
        <v>1828</v>
      </c>
      <c r="H1167" s="1172"/>
      <c r="I1167" s="1172"/>
      <c r="J1167" s="1172"/>
      <c r="K1167" s="1172"/>
      <c r="L1167" s="1173">
        <v>-1717265</v>
      </c>
      <c r="M1167" s="1172"/>
      <c r="N1167" s="1172"/>
      <c r="O1167" s="1172"/>
      <c r="P1167" s="1174"/>
      <c r="Q1167" s="1175"/>
      <c r="R1167" s="1172"/>
      <c r="S1167" s="1172"/>
      <c r="T1167" s="1172"/>
      <c r="U1167" s="1172"/>
      <c r="V1167" s="1172"/>
      <c r="W1167" s="1172"/>
      <c r="X1167" s="1176"/>
    </row>
    <row r="1168" spans="1:24" ht="34.5" customHeight="1" x14ac:dyDescent="0.2">
      <c r="A1168" s="2053"/>
      <c r="B1168" s="2055"/>
      <c r="C1168" s="2057"/>
      <c r="D1168" s="1170" t="s">
        <v>197</v>
      </c>
      <c r="E1168" s="1462" t="s">
        <v>1288</v>
      </c>
      <c r="F1168" s="1462" t="s">
        <v>535</v>
      </c>
      <c r="G1168" s="1311" t="s">
        <v>1829</v>
      </c>
      <c r="H1168" s="1172"/>
      <c r="I1168" s="1172"/>
      <c r="J1168" s="1172"/>
      <c r="K1168" s="1172"/>
      <c r="L1168" s="1173"/>
      <c r="M1168" s="1172"/>
      <c r="N1168" s="1172"/>
      <c r="O1168" s="1172"/>
      <c r="P1168" s="1174">
        <v>1717265</v>
      </c>
      <c r="Q1168" s="1175"/>
      <c r="R1168" s="1172"/>
      <c r="S1168" s="1172"/>
      <c r="T1168" s="1172"/>
      <c r="U1168" s="1172"/>
      <c r="V1168" s="1172"/>
      <c r="W1168" s="1172"/>
      <c r="X1168" s="1176"/>
    </row>
    <row r="1169" spans="1:24" ht="25.5" customHeight="1" x14ac:dyDescent="0.2">
      <c r="A1169" s="2052">
        <v>545</v>
      </c>
      <c r="B1169" s="2054" t="s">
        <v>233</v>
      </c>
      <c r="C1169" s="2056" t="s">
        <v>3384</v>
      </c>
      <c r="D1169" s="1170" t="s">
        <v>195</v>
      </c>
      <c r="E1169" s="1462" t="s">
        <v>74</v>
      </c>
      <c r="F1169" s="1462" t="s">
        <v>1870</v>
      </c>
      <c r="G1169" s="1311" t="s">
        <v>1828</v>
      </c>
      <c r="H1169" s="1172"/>
      <c r="I1169" s="1172"/>
      <c r="J1169" s="1172"/>
      <c r="K1169" s="1172"/>
      <c r="L1169" s="1173">
        <v>-165100</v>
      </c>
      <c r="M1169" s="1172"/>
      <c r="N1169" s="1172"/>
      <c r="O1169" s="1172"/>
      <c r="P1169" s="1174"/>
      <c r="Q1169" s="1175"/>
      <c r="R1169" s="1172"/>
      <c r="S1169" s="1172"/>
      <c r="T1169" s="1172"/>
      <c r="U1169" s="1172"/>
      <c r="V1169" s="1172"/>
      <c r="W1169" s="1172"/>
      <c r="X1169" s="1176"/>
    </row>
    <row r="1170" spans="1:24" ht="25.5" customHeight="1" x14ac:dyDescent="0.2">
      <c r="A1170" s="2053"/>
      <c r="B1170" s="2055"/>
      <c r="C1170" s="2057"/>
      <c r="D1170" s="1170" t="s">
        <v>193</v>
      </c>
      <c r="E1170" s="1462" t="s">
        <v>620</v>
      </c>
      <c r="F1170" s="1462" t="s">
        <v>3018</v>
      </c>
      <c r="G1170" s="1311" t="s">
        <v>1829</v>
      </c>
      <c r="H1170" s="1172"/>
      <c r="I1170" s="1172"/>
      <c r="J1170" s="1172"/>
      <c r="K1170" s="1172"/>
      <c r="L1170" s="1173"/>
      <c r="M1170" s="1172">
        <f>130000+35100</f>
        <v>165100</v>
      </c>
      <c r="N1170" s="1172"/>
      <c r="O1170" s="1172"/>
      <c r="P1170" s="1174"/>
      <c r="Q1170" s="1175"/>
      <c r="R1170" s="1172"/>
      <c r="S1170" s="1172"/>
      <c r="T1170" s="1172"/>
      <c r="U1170" s="1172"/>
      <c r="V1170" s="1172"/>
      <c r="W1170" s="1172"/>
      <c r="X1170" s="1176"/>
    </row>
    <row r="1171" spans="1:24" ht="24.75" customHeight="1" x14ac:dyDescent="0.2">
      <c r="A1171" s="2052" t="s">
        <v>3081</v>
      </c>
      <c r="B1171" s="2054" t="s">
        <v>3386</v>
      </c>
      <c r="C1171" s="2056" t="s">
        <v>3387</v>
      </c>
      <c r="D1171" s="1170" t="s">
        <v>195</v>
      </c>
      <c r="E1171" s="1462" t="s">
        <v>74</v>
      </c>
      <c r="F1171" s="1462" t="s">
        <v>1870</v>
      </c>
      <c r="G1171" s="1311" t="s">
        <v>1828</v>
      </c>
      <c r="H1171" s="1172"/>
      <c r="I1171" s="1172"/>
      <c r="J1171" s="1172"/>
      <c r="K1171" s="1172"/>
      <c r="L1171" s="1173">
        <v>-1249000</v>
      </c>
      <c r="M1171" s="1172"/>
      <c r="N1171" s="1172"/>
      <c r="O1171" s="1172"/>
      <c r="P1171" s="1174"/>
      <c r="Q1171" s="1175"/>
      <c r="R1171" s="1172"/>
      <c r="S1171" s="1172"/>
      <c r="T1171" s="1172"/>
      <c r="U1171" s="1172"/>
      <c r="V1171" s="1172"/>
      <c r="W1171" s="1172"/>
      <c r="X1171" s="1176"/>
    </row>
    <row r="1172" spans="1:24" ht="24.75" customHeight="1" x14ac:dyDescent="0.2">
      <c r="A1172" s="2053"/>
      <c r="B1172" s="2055"/>
      <c r="C1172" s="2057"/>
      <c r="D1172" s="1170" t="s">
        <v>188</v>
      </c>
      <c r="E1172" s="1462" t="s">
        <v>2271</v>
      </c>
      <c r="F1172" s="1462" t="s">
        <v>2269</v>
      </c>
      <c r="G1172" s="1311" t="s">
        <v>1829</v>
      </c>
      <c r="H1172" s="1172"/>
      <c r="I1172" s="1172"/>
      <c r="J1172" s="1172">
        <f>983465+265535</f>
        <v>1249000</v>
      </c>
      <c r="K1172" s="1172"/>
      <c r="L1172" s="1173"/>
      <c r="M1172" s="1172"/>
      <c r="N1172" s="1172"/>
      <c r="O1172" s="1172"/>
      <c r="P1172" s="1174"/>
      <c r="Q1172" s="1175"/>
      <c r="R1172" s="1172"/>
      <c r="S1172" s="1172"/>
      <c r="T1172" s="1172"/>
      <c r="U1172" s="1172"/>
      <c r="V1172" s="1172"/>
      <c r="W1172" s="1172"/>
      <c r="X1172" s="1176"/>
    </row>
    <row r="1173" spans="1:24" ht="22.5" customHeight="1" x14ac:dyDescent="0.2">
      <c r="A1173" s="2052" t="s">
        <v>3084</v>
      </c>
      <c r="B1173" s="2054" t="s">
        <v>262</v>
      </c>
      <c r="C1173" s="2056" t="s">
        <v>3388</v>
      </c>
      <c r="D1173" s="1170" t="s">
        <v>195</v>
      </c>
      <c r="E1173" s="1462" t="s">
        <v>74</v>
      </c>
      <c r="F1173" s="1462" t="s">
        <v>1870</v>
      </c>
      <c r="G1173" s="1311" t="s">
        <v>1828</v>
      </c>
      <c r="H1173" s="1172"/>
      <c r="I1173" s="1172"/>
      <c r="J1173" s="1172"/>
      <c r="K1173" s="1172"/>
      <c r="L1173" s="1173">
        <v>-44450</v>
      </c>
      <c r="M1173" s="1172"/>
      <c r="N1173" s="1172"/>
      <c r="O1173" s="1172"/>
      <c r="P1173" s="1174"/>
      <c r="Q1173" s="1175"/>
      <c r="R1173" s="1172"/>
      <c r="S1173" s="1172"/>
      <c r="T1173" s="1172"/>
      <c r="U1173" s="1172"/>
      <c r="V1173" s="1172"/>
      <c r="W1173" s="1172"/>
      <c r="X1173" s="1176"/>
    </row>
    <row r="1174" spans="1:24" ht="22.5" customHeight="1" x14ac:dyDescent="0.2">
      <c r="A1174" s="2053"/>
      <c r="B1174" s="2055"/>
      <c r="C1174" s="2057"/>
      <c r="D1174" s="1170" t="s">
        <v>188</v>
      </c>
      <c r="E1174" s="1462" t="s">
        <v>620</v>
      </c>
      <c r="F1174" s="1462" t="s">
        <v>68</v>
      </c>
      <c r="G1174" s="1311" t="s">
        <v>1829</v>
      </c>
      <c r="H1174" s="1172"/>
      <c r="I1174" s="1172"/>
      <c r="J1174" s="1172">
        <f>35000+9450</f>
        <v>44450</v>
      </c>
      <c r="K1174" s="1172"/>
      <c r="L1174" s="1173"/>
      <c r="M1174" s="1172"/>
      <c r="N1174" s="1172"/>
      <c r="O1174" s="1172"/>
      <c r="P1174" s="1174"/>
      <c r="Q1174" s="1175"/>
      <c r="R1174" s="1172"/>
      <c r="S1174" s="1172"/>
      <c r="T1174" s="1172"/>
      <c r="U1174" s="1172"/>
      <c r="V1174" s="1172"/>
      <c r="W1174" s="1172"/>
      <c r="X1174" s="1176"/>
    </row>
    <row r="1175" spans="1:24" ht="44.25" customHeight="1" x14ac:dyDescent="0.2">
      <c r="A1175" s="1491" t="s">
        <v>3087</v>
      </c>
      <c r="B1175" s="1490" t="s">
        <v>3389</v>
      </c>
      <c r="C1175" s="1631" t="s">
        <v>3390</v>
      </c>
      <c r="D1175" s="1170" t="s">
        <v>188</v>
      </c>
      <c r="E1175" s="1462" t="s">
        <v>131</v>
      </c>
      <c r="F1175" s="1462" t="s">
        <v>444</v>
      </c>
      <c r="G1175" s="1311" t="s">
        <v>1837</v>
      </c>
      <c r="H1175" s="1172"/>
      <c r="I1175" s="1172"/>
      <c r="J1175" s="1172">
        <f>-200000+100000+100000</f>
        <v>0</v>
      </c>
      <c r="K1175" s="1172"/>
      <c r="L1175" s="1173"/>
      <c r="M1175" s="1172"/>
      <c r="N1175" s="1172"/>
      <c r="O1175" s="1172"/>
      <c r="P1175" s="1174"/>
      <c r="Q1175" s="1175"/>
      <c r="R1175" s="1172"/>
      <c r="S1175" s="1172"/>
      <c r="T1175" s="1172"/>
      <c r="U1175" s="1172"/>
      <c r="V1175" s="1172"/>
      <c r="W1175" s="1172"/>
      <c r="X1175" s="1176"/>
    </row>
    <row r="1176" spans="1:24" ht="53.25" customHeight="1" x14ac:dyDescent="0.2">
      <c r="A1176" s="1491" t="s">
        <v>3092</v>
      </c>
      <c r="B1176" s="1490" t="s">
        <v>265</v>
      </c>
      <c r="C1176" s="1631" t="s">
        <v>3391</v>
      </c>
      <c r="D1176" s="1170" t="s">
        <v>188</v>
      </c>
      <c r="E1176" s="1462" t="s">
        <v>1868</v>
      </c>
      <c r="F1176" s="1462" t="s">
        <v>1867</v>
      </c>
      <c r="G1176" s="1311" t="s">
        <v>1829</v>
      </c>
      <c r="H1176" s="1172"/>
      <c r="I1176" s="1172"/>
      <c r="J1176" s="1172">
        <v>500000</v>
      </c>
      <c r="K1176" s="1172"/>
      <c r="L1176" s="1173"/>
      <c r="M1176" s="1172"/>
      <c r="N1176" s="1172"/>
      <c r="O1176" s="1172"/>
      <c r="P1176" s="1174"/>
      <c r="Q1176" s="1175"/>
      <c r="R1176" s="1172"/>
      <c r="S1176" s="1172"/>
      <c r="T1176" s="1172"/>
      <c r="U1176" s="1172"/>
      <c r="V1176" s="1172">
        <v>500000</v>
      </c>
      <c r="W1176" s="1172"/>
      <c r="X1176" s="1176"/>
    </row>
    <row r="1177" spans="1:24" ht="33" customHeight="1" x14ac:dyDescent="0.2">
      <c r="A1177" s="2052" t="s">
        <v>3095</v>
      </c>
      <c r="B1177" s="2054" t="s">
        <v>266</v>
      </c>
      <c r="C1177" s="2056" t="s">
        <v>3392</v>
      </c>
      <c r="D1177" s="1170" t="s">
        <v>195</v>
      </c>
      <c r="E1177" s="1462" t="s">
        <v>74</v>
      </c>
      <c r="F1177" s="1462" t="s">
        <v>1870</v>
      </c>
      <c r="G1177" s="1311" t="s">
        <v>1828</v>
      </c>
      <c r="H1177" s="1172"/>
      <c r="I1177" s="1172"/>
      <c r="J1177" s="1172"/>
      <c r="K1177" s="1172"/>
      <c r="L1177" s="1173">
        <v>-7344880</v>
      </c>
      <c r="M1177" s="1172"/>
      <c r="N1177" s="1172"/>
      <c r="O1177" s="1172"/>
      <c r="P1177" s="1174"/>
      <c r="Q1177" s="1175"/>
      <c r="R1177" s="1172"/>
      <c r="S1177" s="1172"/>
      <c r="T1177" s="1172"/>
      <c r="U1177" s="1172"/>
      <c r="V1177" s="1172"/>
      <c r="W1177" s="1172"/>
      <c r="X1177" s="1176"/>
    </row>
    <row r="1178" spans="1:24" ht="33" customHeight="1" x14ac:dyDescent="0.2">
      <c r="A1178" s="2053"/>
      <c r="B1178" s="2055"/>
      <c r="C1178" s="2057"/>
      <c r="D1178" s="1170" t="s">
        <v>188</v>
      </c>
      <c r="E1178" s="1462" t="s">
        <v>1868</v>
      </c>
      <c r="F1178" s="1462" t="s">
        <v>1867</v>
      </c>
      <c r="G1178" s="1311" t="s">
        <v>1829</v>
      </c>
      <c r="H1178" s="1172"/>
      <c r="I1178" s="1172"/>
      <c r="J1178" s="1172">
        <f>5783370+1561510</f>
        <v>7344880</v>
      </c>
      <c r="K1178" s="1172"/>
      <c r="L1178" s="1173"/>
      <c r="M1178" s="1172"/>
      <c r="N1178" s="1172"/>
      <c r="O1178" s="1172"/>
      <c r="P1178" s="1174"/>
      <c r="Q1178" s="1175"/>
      <c r="R1178" s="1172"/>
      <c r="S1178" s="1172"/>
      <c r="T1178" s="1172"/>
      <c r="U1178" s="1172"/>
      <c r="V1178" s="1172"/>
      <c r="W1178" s="1172"/>
      <c r="X1178" s="1176"/>
    </row>
    <row r="1179" spans="1:24" ht="26.25" customHeight="1" x14ac:dyDescent="0.2">
      <c r="A1179" s="2052" t="s">
        <v>3098</v>
      </c>
      <c r="B1179" s="2054" t="s">
        <v>267</v>
      </c>
      <c r="C1179" s="2056" t="s">
        <v>3393</v>
      </c>
      <c r="D1179" s="1170" t="s">
        <v>188</v>
      </c>
      <c r="E1179" s="1462" t="s">
        <v>545</v>
      </c>
      <c r="F1179" s="1462" t="s">
        <v>830</v>
      </c>
      <c r="G1179" s="1311" t="s">
        <v>1829</v>
      </c>
      <c r="H1179" s="1172"/>
      <c r="I1179" s="1172"/>
      <c r="J1179" s="1172"/>
      <c r="K1179" s="1172"/>
      <c r="L1179" s="1173"/>
      <c r="M1179" s="1172"/>
      <c r="N1179" s="1172"/>
      <c r="O1179" s="1172"/>
      <c r="P1179" s="1174"/>
      <c r="Q1179" s="1175"/>
      <c r="R1179" s="1172">
        <v>54720000</v>
      </c>
      <c r="S1179" s="1172"/>
      <c r="T1179" s="1172"/>
      <c r="U1179" s="1172"/>
      <c r="V1179" s="1172"/>
      <c r="W1179" s="1172"/>
      <c r="X1179" s="1176"/>
    </row>
    <row r="1180" spans="1:24" ht="26.25" customHeight="1" x14ac:dyDescent="0.2">
      <c r="A1180" s="2053"/>
      <c r="B1180" s="2055"/>
      <c r="C1180" s="2057"/>
      <c r="D1180" s="1170" t="s">
        <v>193</v>
      </c>
      <c r="E1180" s="1462" t="s">
        <v>545</v>
      </c>
      <c r="F1180" s="1462" t="s">
        <v>830</v>
      </c>
      <c r="G1180" s="1311" t="s">
        <v>1829</v>
      </c>
      <c r="H1180" s="1172"/>
      <c r="I1180" s="1172"/>
      <c r="J1180" s="1172"/>
      <c r="K1180" s="1172"/>
      <c r="L1180" s="1173"/>
      <c r="M1180" s="1172">
        <f>43086614+11633386</f>
        <v>54720000</v>
      </c>
      <c r="N1180" s="1172"/>
      <c r="O1180" s="1172"/>
      <c r="P1180" s="1174"/>
      <c r="Q1180" s="1175"/>
      <c r="R1180" s="1172"/>
      <c r="S1180" s="1172"/>
      <c r="T1180" s="1172"/>
      <c r="U1180" s="1172"/>
      <c r="V1180" s="1172"/>
      <c r="W1180" s="1172"/>
      <c r="X1180" s="1176"/>
    </row>
    <row r="1181" spans="1:24" ht="25.5" customHeight="1" x14ac:dyDescent="0.2">
      <c r="A1181" s="2052" t="s">
        <v>3100</v>
      </c>
      <c r="B1181" s="2054" t="s">
        <v>268</v>
      </c>
      <c r="C1181" s="2056" t="s">
        <v>3397</v>
      </c>
      <c r="D1181" s="1170" t="s">
        <v>188</v>
      </c>
      <c r="E1181" s="1462" t="s">
        <v>131</v>
      </c>
      <c r="F1181" s="1462" t="s">
        <v>1856</v>
      </c>
      <c r="G1181" s="1311" t="s">
        <v>1829</v>
      </c>
      <c r="H1181" s="1172"/>
      <c r="I1181" s="1172"/>
      <c r="J1181" s="1172"/>
      <c r="K1181" s="1172"/>
      <c r="L1181" s="1173"/>
      <c r="M1181" s="1172"/>
      <c r="N1181" s="1172"/>
      <c r="O1181" s="1172"/>
      <c r="P1181" s="1174"/>
      <c r="Q1181" s="1175"/>
      <c r="R1181" s="1172"/>
      <c r="S1181" s="1172"/>
      <c r="T1181" s="1172">
        <v>550000</v>
      </c>
      <c r="U1181" s="1172"/>
      <c r="V1181" s="1172"/>
      <c r="W1181" s="1172"/>
      <c r="X1181" s="1176"/>
    </row>
    <row r="1182" spans="1:24" ht="25.5" customHeight="1" x14ac:dyDescent="0.2">
      <c r="A1182" s="2053"/>
      <c r="B1182" s="2055"/>
      <c r="C1182" s="2057"/>
      <c r="D1182" s="1170" t="s">
        <v>195</v>
      </c>
      <c r="E1182" s="1462" t="s">
        <v>74</v>
      </c>
      <c r="F1182" s="1462" t="s">
        <v>1870</v>
      </c>
      <c r="G1182" s="1311" t="s">
        <v>1829</v>
      </c>
      <c r="H1182" s="1172"/>
      <c r="I1182" s="1172"/>
      <c r="J1182" s="1172"/>
      <c r="K1182" s="1172"/>
      <c r="L1182" s="1173">
        <v>550000</v>
      </c>
      <c r="M1182" s="1172"/>
      <c r="N1182" s="1172"/>
      <c r="O1182" s="1172"/>
      <c r="P1182" s="1174"/>
      <c r="Q1182" s="1175"/>
      <c r="R1182" s="1172"/>
      <c r="S1182" s="1172"/>
      <c r="T1182" s="1172"/>
      <c r="U1182" s="1172"/>
      <c r="V1182" s="1172"/>
      <c r="W1182" s="1172"/>
      <c r="X1182" s="1176"/>
    </row>
    <row r="1183" spans="1:24" ht="28.5" customHeight="1" x14ac:dyDescent="0.2">
      <c r="A1183" s="1491" t="s">
        <v>3102</v>
      </c>
      <c r="B1183" s="1490" t="s">
        <v>269</v>
      </c>
      <c r="C1183" s="1631" t="s">
        <v>3398</v>
      </c>
      <c r="D1183" s="1170" t="s">
        <v>188</v>
      </c>
      <c r="E1183" s="1462" t="s">
        <v>542</v>
      </c>
      <c r="F1183" s="1462" t="s">
        <v>449</v>
      </c>
      <c r="G1183" s="1311" t="s">
        <v>1829</v>
      </c>
      <c r="H1183" s="1172"/>
      <c r="I1183" s="1172"/>
      <c r="J1183" s="1172">
        <f>30000+1000000+1111732+578268</f>
        <v>2720000</v>
      </c>
      <c r="K1183" s="1172"/>
      <c r="L1183" s="1173"/>
      <c r="M1183" s="1172"/>
      <c r="N1183" s="1172"/>
      <c r="O1183" s="1172"/>
      <c r="P1183" s="1174"/>
      <c r="Q1183" s="1175"/>
      <c r="R1183" s="1172"/>
      <c r="S1183" s="1172"/>
      <c r="T1183" s="1172">
        <f>2000000+720000</f>
        <v>2720000</v>
      </c>
      <c r="U1183" s="1172"/>
      <c r="V1183" s="1172"/>
      <c r="W1183" s="1172"/>
      <c r="X1183" s="1176"/>
    </row>
    <row r="1184" spans="1:24" ht="45.75" customHeight="1" x14ac:dyDescent="0.2">
      <c r="A1184" s="1491" t="s">
        <v>3104</v>
      </c>
      <c r="B1184" s="1490" t="s">
        <v>270</v>
      </c>
      <c r="C1184" s="1631" t="s">
        <v>3046</v>
      </c>
      <c r="D1184" s="1170" t="s">
        <v>188</v>
      </c>
      <c r="E1184" s="1462" t="s">
        <v>1861</v>
      </c>
      <c r="F1184" s="1462" t="s">
        <v>1859</v>
      </c>
      <c r="G1184" s="1311" t="s">
        <v>1829</v>
      </c>
      <c r="H1184" s="1172"/>
      <c r="I1184" s="1172"/>
      <c r="J1184" s="1172">
        <f>380000+100000</f>
        <v>480000</v>
      </c>
      <c r="K1184" s="1172"/>
      <c r="L1184" s="1173"/>
      <c r="M1184" s="1172"/>
      <c r="N1184" s="1172"/>
      <c r="O1184" s="1172"/>
      <c r="P1184" s="1174"/>
      <c r="Q1184" s="1175"/>
      <c r="R1184" s="1172"/>
      <c r="S1184" s="1172"/>
      <c r="T1184" s="1172">
        <f>380000+100000</f>
        <v>480000</v>
      </c>
      <c r="U1184" s="1172"/>
      <c r="V1184" s="1172"/>
      <c r="W1184" s="1172"/>
      <c r="X1184" s="1176"/>
    </row>
    <row r="1185" spans="1:24" ht="39.75" customHeight="1" x14ac:dyDescent="0.2">
      <c r="A1185" s="1491" t="s">
        <v>3111</v>
      </c>
      <c r="B1185" s="1490" t="s">
        <v>271</v>
      </c>
      <c r="C1185" s="1631" t="s">
        <v>3255</v>
      </c>
      <c r="D1185" s="1170" t="s">
        <v>188</v>
      </c>
      <c r="E1185" s="1462" t="s">
        <v>590</v>
      </c>
      <c r="F1185" s="1462" t="s">
        <v>442</v>
      </c>
      <c r="G1185" s="1311" t="s">
        <v>1829</v>
      </c>
      <c r="H1185" s="1172"/>
      <c r="I1185" s="1172"/>
      <c r="J1185" s="1172">
        <f>1968504+531496</f>
        <v>2500000</v>
      </c>
      <c r="K1185" s="1172"/>
      <c r="L1185" s="1173"/>
      <c r="M1185" s="1172"/>
      <c r="N1185" s="1172"/>
      <c r="O1185" s="1172"/>
      <c r="P1185" s="1174"/>
      <c r="Q1185" s="1175"/>
      <c r="R1185" s="1172"/>
      <c r="S1185" s="1172"/>
      <c r="T1185" s="1172">
        <v>2500000</v>
      </c>
      <c r="U1185" s="1172"/>
      <c r="V1185" s="1172"/>
      <c r="W1185" s="1172"/>
      <c r="X1185" s="1176"/>
    </row>
    <row r="1186" spans="1:24" ht="27.75" customHeight="1" x14ac:dyDescent="0.2">
      <c r="A1186" s="2052" t="s">
        <v>3113</v>
      </c>
      <c r="B1186" s="2054" t="s">
        <v>272</v>
      </c>
      <c r="C1186" s="2056" t="s">
        <v>3399</v>
      </c>
      <c r="D1186" s="1170" t="s">
        <v>195</v>
      </c>
      <c r="E1186" s="1462" t="s">
        <v>74</v>
      </c>
      <c r="F1186" s="1462" t="s">
        <v>1870</v>
      </c>
      <c r="G1186" s="1311" t="s">
        <v>1828</v>
      </c>
      <c r="H1186" s="1172"/>
      <c r="I1186" s="1172"/>
      <c r="J1186" s="1172"/>
      <c r="K1186" s="1172"/>
      <c r="L1186" s="1173">
        <v>-20320000</v>
      </c>
      <c r="M1186" s="1172"/>
      <c r="N1186" s="1172"/>
      <c r="O1186" s="1172"/>
      <c r="P1186" s="1174"/>
      <c r="Q1186" s="1175"/>
      <c r="R1186" s="1172"/>
      <c r="S1186" s="1172"/>
      <c r="T1186" s="1172"/>
      <c r="U1186" s="1172"/>
      <c r="V1186" s="1172"/>
      <c r="W1186" s="1172"/>
      <c r="X1186" s="1176"/>
    </row>
    <row r="1187" spans="1:24" ht="27.75" customHeight="1" x14ac:dyDescent="0.2">
      <c r="A1187" s="2053"/>
      <c r="B1187" s="2055"/>
      <c r="C1187" s="2057"/>
      <c r="D1187" s="1170" t="s">
        <v>188</v>
      </c>
      <c r="E1187" s="1462" t="s">
        <v>584</v>
      </c>
      <c r="F1187" s="1462" t="s">
        <v>825</v>
      </c>
      <c r="G1187" s="1311" t="s">
        <v>1829</v>
      </c>
      <c r="H1187" s="1172"/>
      <c r="I1187" s="1172"/>
      <c r="J1187" s="1172">
        <f>16000000+4320000</f>
        <v>20320000</v>
      </c>
      <c r="K1187" s="1172"/>
      <c r="L1187" s="1173"/>
      <c r="M1187" s="1172"/>
      <c r="N1187" s="1172"/>
      <c r="O1187" s="1172"/>
      <c r="P1187" s="1174"/>
      <c r="Q1187" s="1175"/>
      <c r="R1187" s="1172"/>
      <c r="S1187" s="1172"/>
      <c r="T1187" s="1172"/>
      <c r="U1187" s="1172"/>
      <c r="V1187" s="1172"/>
      <c r="W1187" s="1172"/>
      <c r="X1187" s="1176"/>
    </row>
    <row r="1188" spans="1:24" ht="29.25" customHeight="1" x14ac:dyDescent="0.2">
      <c r="A1188" s="2052" t="s">
        <v>3115</v>
      </c>
      <c r="B1188" s="2054" t="s">
        <v>276</v>
      </c>
      <c r="C1188" s="2056" t="s">
        <v>3400</v>
      </c>
      <c r="D1188" s="1170" t="s">
        <v>198</v>
      </c>
      <c r="E1188" s="1462" t="s">
        <v>1868</v>
      </c>
      <c r="F1188" s="1462" t="s">
        <v>1878</v>
      </c>
      <c r="G1188" s="1311" t="s">
        <v>1829</v>
      </c>
      <c r="H1188" s="1172"/>
      <c r="I1188" s="1172"/>
      <c r="J1188" s="1172"/>
      <c r="K1188" s="1172"/>
      <c r="L1188" s="1173"/>
      <c r="M1188" s="1172"/>
      <c r="N1188" s="1172"/>
      <c r="O1188" s="1172"/>
      <c r="P1188" s="1174"/>
      <c r="Q1188" s="1175"/>
      <c r="R1188" s="1172"/>
      <c r="S1188" s="1172"/>
      <c r="T1188" s="1172"/>
      <c r="U1188" s="1172"/>
      <c r="V1188" s="1172"/>
      <c r="W1188" s="1172"/>
      <c r="X1188" s="1176">
        <v>77084029</v>
      </c>
    </row>
    <row r="1189" spans="1:24" ht="29.25" customHeight="1" x14ac:dyDescent="0.2">
      <c r="A1189" s="2053"/>
      <c r="B1189" s="2055"/>
      <c r="C1189" s="2057"/>
      <c r="D1189" s="1170" t="s">
        <v>195</v>
      </c>
      <c r="E1189" s="1462" t="s">
        <v>74</v>
      </c>
      <c r="F1189" s="1462" t="s">
        <v>1870</v>
      </c>
      <c r="G1189" s="1311" t="s">
        <v>1829</v>
      </c>
      <c r="H1189" s="1172"/>
      <c r="I1189" s="1172"/>
      <c r="J1189" s="1172"/>
      <c r="K1189" s="1172"/>
      <c r="L1189" s="1173">
        <v>77084029</v>
      </c>
      <c r="M1189" s="1172"/>
      <c r="N1189" s="1172"/>
      <c r="O1189" s="1172"/>
      <c r="P1189" s="1174"/>
      <c r="Q1189" s="1175"/>
      <c r="R1189" s="1172"/>
      <c r="S1189" s="1172"/>
      <c r="T1189" s="1172"/>
      <c r="U1189" s="1172"/>
      <c r="V1189" s="1172"/>
      <c r="W1189" s="1172"/>
      <c r="X1189" s="1176"/>
    </row>
    <row r="1190" spans="1:24" ht="47.25" customHeight="1" x14ac:dyDescent="0.2">
      <c r="A1190" s="1491" t="s">
        <v>3127</v>
      </c>
      <c r="B1190" s="1490" t="s">
        <v>277</v>
      </c>
      <c r="C1190" s="1631" t="s">
        <v>3402</v>
      </c>
      <c r="D1190" s="1170" t="s">
        <v>188</v>
      </c>
      <c r="E1190" s="1462" t="s">
        <v>74</v>
      </c>
      <c r="F1190" s="1462" t="s">
        <v>538</v>
      </c>
      <c r="G1190" s="1311" t="s">
        <v>1837</v>
      </c>
      <c r="H1190" s="1172"/>
      <c r="I1190" s="1172"/>
      <c r="J1190" s="1172">
        <f>-200000+200000</f>
        <v>0</v>
      </c>
      <c r="K1190" s="1172"/>
      <c r="L1190" s="1173"/>
      <c r="M1190" s="1172"/>
      <c r="N1190" s="1172"/>
      <c r="O1190" s="1172"/>
      <c r="P1190" s="1174"/>
      <c r="Q1190" s="1175"/>
      <c r="R1190" s="1172"/>
      <c r="S1190" s="1172"/>
      <c r="T1190" s="1172"/>
      <c r="U1190" s="1172"/>
      <c r="V1190" s="1172"/>
      <c r="W1190" s="1172"/>
      <c r="X1190" s="1176"/>
    </row>
    <row r="1191" spans="1:24" ht="27.75" customHeight="1" x14ac:dyDescent="0.2">
      <c r="A1191" s="2052" t="s">
        <v>3405</v>
      </c>
      <c r="B1191" s="2054" t="s">
        <v>278</v>
      </c>
      <c r="C1191" s="2056" t="s">
        <v>3406</v>
      </c>
      <c r="D1191" s="1170" t="s">
        <v>198</v>
      </c>
      <c r="E1191" s="1462" t="s">
        <v>1375</v>
      </c>
      <c r="F1191" s="1462" t="s">
        <v>1878</v>
      </c>
      <c r="G1191" s="1311" t="s">
        <v>1829</v>
      </c>
      <c r="H1191" s="1172"/>
      <c r="I1191" s="1172"/>
      <c r="J1191" s="1172"/>
      <c r="K1191" s="1172"/>
      <c r="L1191" s="1173"/>
      <c r="M1191" s="1172"/>
      <c r="N1191" s="1172"/>
      <c r="O1191" s="1172"/>
      <c r="P1191" s="1174"/>
      <c r="Q1191" s="1175">
        <v>2618056</v>
      </c>
      <c r="R1191" s="1172"/>
      <c r="S1191" s="1172"/>
      <c r="T1191" s="1172"/>
      <c r="U1191" s="1172"/>
      <c r="V1191" s="1172"/>
      <c r="W1191" s="1172"/>
      <c r="X1191" s="1176"/>
    </row>
    <row r="1192" spans="1:24" ht="27.75" customHeight="1" x14ac:dyDescent="0.2">
      <c r="A1192" s="2053"/>
      <c r="B1192" s="2055"/>
      <c r="C1192" s="2057"/>
      <c r="D1192" s="1170" t="s">
        <v>195</v>
      </c>
      <c r="E1192" s="1462" t="s">
        <v>74</v>
      </c>
      <c r="F1192" s="1462" t="s">
        <v>1870</v>
      </c>
      <c r="G1192" s="1311" t="s">
        <v>1829</v>
      </c>
      <c r="H1192" s="1172"/>
      <c r="I1192" s="1172"/>
      <c r="J1192" s="1172"/>
      <c r="K1192" s="1172"/>
      <c r="L1192" s="1173">
        <v>2618056</v>
      </c>
      <c r="M1192" s="1172"/>
      <c r="N1192" s="1172"/>
      <c r="O1192" s="1172"/>
      <c r="P1192" s="1174"/>
      <c r="Q1192" s="1175"/>
      <c r="R1192" s="1172"/>
      <c r="S1192" s="1172"/>
      <c r="T1192" s="1172"/>
      <c r="U1192" s="1172"/>
      <c r="V1192" s="1172"/>
      <c r="W1192" s="1172"/>
      <c r="X1192" s="1176"/>
    </row>
    <row r="1193" spans="1:24" ht="24.75" customHeight="1" x14ac:dyDescent="0.2">
      <c r="A1193" s="2052" t="s">
        <v>3407</v>
      </c>
      <c r="B1193" s="2054" t="s">
        <v>279</v>
      </c>
      <c r="C1193" s="2056" t="s">
        <v>3434</v>
      </c>
      <c r="D1193" s="1170" t="s">
        <v>198</v>
      </c>
      <c r="E1193" s="1462" t="s">
        <v>1375</v>
      </c>
      <c r="F1193" s="1462" t="s">
        <v>1878</v>
      </c>
      <c r="G1193" s="1311" t="s">
        <v>1829</v>
      </c>
      <c r="H1193" s="1172"/>
      <c r="I1193" s="1172"/>
      <c r="J1193" s="1172"/>
      <c r="K1193" s="1172"/>
      <c r="L1193" s="1173"/>
      <c r="M1193" s="1172"/>
      <c r="N1193" s="1172"/>
      <c r="O1193" s="1172"/>
      <c r="P1193" s="1174"/>
      <c r="Q1193" s="1175">
        <f>883830+10886810-57411809</f>
        <v>-45641169</v>
      </c>
      <c r="R1193" s="1172"/>
      <c r="S1193" s="1172"/>
      <c r="T1193" s="1172"/>
      <c r="U1193" s="1172"/>
      <c r="V1193" s="1172"/>
      <c r="W1193" s="1172"/>
      <c r="X1193" s="1176"/>
    </row>
    <row r="1194" spans="1:24" ht="24.75" customHeight="1" x14ac:dyDescent="0.2">
      <c r="A1194" s="2053"/>
      <c r="B1194" s="2055"/>
      <c r="C1194" s="2057"/>
      <c r="D1194" s="1170" t="s">
        <v>195</v>
      </c>
      <c r="E1194" s="1462" t="s">
        <v>74</v>
      </c>
      <c r="F1194" s="1462" t="s">
        <v>1870</v>
      </c>
      <c r="G1194" s="1311" t="s">
        <v>1829</v>
      </c>
      <c r="H1194" s="1172"/>
      <c r="I1194" s="1172"/>
      <c r="J1194" s="1172"/>
      <c r="K1194" s="1172"/>
      <c r="L1194" s="1173">
        <v>-45641169</v>
      </c>
      <c r="M1194" s="1172"/>
      <c r="N1194" s="1172"/>
      <c r="O1194" s="1172"/>
      <c r="P1194" s="1174"/>
      <c r="Q1194" s="1175"/>
      <c r="R1194" s="1172"/>
      <c r="S1194" s="1172"/>
      <c r="T1194" s="1172"/>
      <c r="U1194" s="1172"/>
      <c r="V1194" s="1172"/>
      <c r="W1194" s="1172"/>
      <c r="X1194" s="1176"/>
    </row>
    <row r="1195" spans="1:24" ht="52.5" customHeight="1" x14ac:dyDescent="0.2">
      <c r="A1195" s="2052" t="s">
        <v>3134</v>
      </c>
      <c r="B1195" s="2054" t="s">
        <v>280</v>
      </c>
      <c r="C1195" s="2056" t="s">
        <v>3408</v>
      </c>
      <c r="D1195" s="1170" t="s">
        <v>195</v>
      </c>
      <c r="E1195" s="1462" t="s">
        <v>74</v>
      </c>
      <c r="F1195" s="1462" t="s">
        <v>1870</v>
      </c>
      <c r="G1195" s="1311" t="s">
        <v>1828</v>
      </c>
      <c r="H1195" s="1172"/>
      <c r="I1195" s="1172"/>
      <c r="J1195" s="1172"/>
      <c r="K1195" s="1172"/>
      <c r="L1195" s="1173">
        <v>-21659800</v>
      </c>
      <c r="M1195" s="1172"/>
      <c r="N1195" s="1172"/>
      <c r="O1195" s="1172"/>
      <c r="P1195" s="1174"/>
      <c r="Q1195" s="1175"/>
      <c r="R1195" s="1172"/>
      <c r="S1195" s="1172"/>
      <c r="T1195" s="1172"/>
      <c r="U1195" s="1172"/>
      <c r="V1195" s="1172"/>
      <c r="W1195" s="1172"/>
      <c r="X1195" s="1176"/>
    </row>
    <row r="1196" spans="1:24" ht="52.5" customHeight="1" x14ac:dyDescent="0.2">
      <c r="A1196" s="2053"/>
      <c r="B1196" s="2055"/>
      <c r="C1196" s="2057"/>
      <c r="D1196" s="1170" t="s">
        <v>194</v>
      </c>
      <c r="E1196" s="1462" t="s">
        <v>130</v>
      </c>
      <c r="F1196" s="1462" t="s">
        <v>129</v>
      </c>
      <c r="G1196" s="1311" t="s">
        <v>1829</v>
      </c>
      <c r="H1196" s="1172"/>
      <c r="I1196" s="1172"/>
      <c r="J1196" s="1172"/>
      <c r="K1196" s="1172"/>
      <c r="L1196" s="1173"/>
      <c r="M1196" s="1172"/>
      <c r="N1196" s="1172">
        <v>21659800</v>
      </c>
      <c r="O1196" s="1172"/>
      <c r="P1196" s="1174"/>
      <c r="Q1196" s="1175"/>
      <c r="R1196" s="1172"/>
      <c r="S1196" s="1172"/>
      <c r="T1196" s="1172"/>
      <c r="U1196" s="1172"/>
      <c r="V1196" s="1172"/>
      <c r="W1196" s="1172"/>
      <c r="X1196" s="1176"/>
    </row>
    <row r="1197" spans="1:24" ht="23.25" customHeight="1" x14ac:dyDescent="0.2">
      <c r="A1197" s="2052" t="s">
        <v>3136</v>
      </c>
      <c r="B1197" s="2054" t="s">
        <v>281</v>
      </c>
      <c r="C1197" s="2056" t="s">
        <v>3409</v>
      </c>
      <c r="D1197" s="1170" t="s">
        <v>188</v>
      </c>
      <c r="E1197" s="1462" t="s">
        <v>130</v>
      </c>
      <c r="F1197" s="1462" t="s">
        <v>129</v>
      </c>
      <c r="G1197" s="1311" t="s">
        <v>1828</v>
      </c>
      <c r="H1197" s="1172"/>
      <c r="I1197" s="1172"/>
      <c r="J1197" s="1172"/>
      <c r="K1197" s="1172"/>
      <c r="L1197" s="1173"/>
      <c r="M1197" s="1172"/>
      <c r="N1197" s="1172"/>
      <c r="O1197" s="1172"/>
      <c r="P1197" s="1174"/>
      <c r="Q1197" s="1175"/>
      <c r="R1197" s="1172"/>
      <c r="S1197" s="1172"/>
      <c r="T1197" s="1172">
        <f>-51181103-13818897</f>
        <v>-65000000</v>
      </c>
      <c r="U1197" s="1172"/>
      <c r="V1197" s="1172"/>
      <c r="W1197" s="1172"/>
      <c r="X1197" s="1176"/>
    </row>
    <row r="1198" spans="1:24" ht="23.25" customHeight="1" x14ac:dyDescent="0.2">
      <c r="A1198" s="2061"/>
      <c r="B1198" s="2060"/>
      <c r="C1198" s="2065"/>
      <c r="D1198" s="1170" t="s">
        <v>188</v>
      </c>
      <c r="E1198" s="1462" t="s">
        <v>547</v>
      </c>
      <c r="F1198" s="1462" t="s">
        <v>748</v>
      </c>
      <c r="G1198" s="1311" t="s">
        <v>1828</v>
      </c>
      <c r="H1198" s="1172"/>
      <c r="I1198" s="1172"/>
      <c r="J1198" s="1172"/>
      <c r="K1198" s="1172"/>
      <c r="L1198" s="1173"/>
      <c r="M1198" s="1172"/>
      <c r="N1198" s="1172"/>
      <c r="O1198" s="1172"/>
      <c r="P1198" s="1174"/>
      <c r="Q1198" s="1175"/>
      <c r="R1198" s="1172"/>
      <c r="S1198" s="1172"/>
      <c r="T1198" s="1172">
        <f>-51181103-13818897</f>
        <v>-65000000</v>
      </c>
      <c r="U1198" s="1172"/>
      <c r="V1198" s="1172"/>
      <c r="W1198" s="1172"/>
      <c r="X1198" s="1176"/>
    </row>
    <row r="1199" spans="1:24" ht="23.25" customHeight="1" x14ac:dyDescent="0.2">
      <c r="A1199" s="2061"/>
      <c r="B1199" s="2060"/>
      <c r="C1199" s="2065"/>
      <c r="D1199" s="1170" t="s">
        <v>194</v>
      </c>
      <c r="E1199" s="1462" t="s">
        <v>130</v>
      </c>
      <c r="F1199" s="1462" t="s">
        <v>129</v>
      </c>
      <c r="G1199" s="1311" t="s">
        <v>1828</v>
      </c>
      <c r="H1199" s="1172"/>
      <c r="I1199" s="1172"/>
      <c r="J1199" s="1172"/>
      <c r="K1199" s="1172"/>
      <c r="L1199" s="1173"/>
      <c r="M1199" s="1172"/>
      <c r="N1199" s="1172">
        <f>-51181102-13818898</f>
        <v>-65000000</v>
      </c>
      <c r="O1199" s="1172"/>
      <c r="P1199" s="1174"/>
      <c r="Q1199" s="1175"/>
      <c r="R1199" s="1172"/>
      <c r="S1199" s="1172"/>
      <c r="T1199" s="1172"/>
      <c r="U1199" s="1172"/>
      <c r="V1199" s="1172"/>
      <c r="W1199" s="1172"/>
      <c r="X1199" s="1176"/>
    </row>
    <row r="1200" spans="1:24" ht="23.25" customHeight="1" x14ac:dyDescent="0.2">
      <c r="A1200" s="2053"/>
      <c r="B1200" s="2055"/>
      <c r="C1200" s="2057"/>
      <c r="D1200" s="1170" t="s">
        <v>194</v>
      </c>
      <c r="E1200" s="1462" t="s">
        <v>547</v>
      </c>
      <c r="F1200" s="1462" t="s">
        <v>748</v>
      </c>
      <c r="G1200" s="1311" t="s">
        <v>1828</v>
      </c>
      <c r="H1200" s="1172"/>
      <c r="I1200" s="1172"/>
      <c r="J1200" s="1172"/>
      <c r="K1200" s="1172"/>
      <c r="L1200" s="1173"/>
      <c r="M1200" s="1172"/>
      <c r="N1200" s="1172">
        <f>-51181102-13818898</f>
        <v>-65000000</v>
      </c>
      <c r="O1200" s="1172"/>
      <c r="P1200" s="1174"/>
      <c r="Q1200" s="1175"/>
      <c r="R1200" s="1172"/>
      <c r="S1200" s="1172"/>
      <c r="T1200" s="1172"/>
      <c r="U1200" s="1172"/>
      <c r="V1200" s="1172"/>
      <c r="W1200" s="1172"/>
      <c r="X1200" s="1176"/>
    </row>
    <row r="1201" spans="1:24" ht="30" customHeight="1" x14ac:dyDescent="0.2">
      <c r="A1201" s="2052" t="s">
        <v>3138</v>
      </c>
      <c r="B1201" s="2054" t="s">
        <v>282</v>
      </c>
      <c r="C1201" s="2056" t="s">
        <v>3410</v>
      </c>
      <c r="D1201" s="1170" t="s">
        <v>195</v>
      </c>
      <c r="E1201" s="1462" t="s">
        <v>74</v>
      </c>
      <c r="F1201" s="1462" t="s">
        <v>1870</v>
      </c>
      <c r="G1201" s="1311" t="s">
        <v>1828</v>
      </c>
      <c r="H1201" s="1172"/>
      <c r="I1201" s="1172"/>
      <c r="J1201" s="1172"/>
      <c r="K1201" s="1172"/>
      <c r="L1201" s="1173">
        <v>-12552411</v>
      </c>
      <c r="M1201" s="1172"/>
      <c r="N1201" s="1172"/>
      <c r="O1201" s="1172"/>
      <c r="P1201" s="1174"/>
      <c r="Q1201" s="1175"/>
      <c r="R1201" s="1172"/>
      <c r="S1201" s="1172"/>
      <c r="T1201" s="1172"/>
      <c r="U1201" s="1172"/>
      <c r="V1201" s="1172"/>
      <c r="W1201" s="1172"/>
      <c r="X1201" s="1176"/>
    </row>
    <row r="1202" spans="1:24" ht="30" customHeight="1" x14ac:dyDescent="0.2">
      <c r="A1202" s="2053"/>
      <c r="B1202" s="2055"/>
      <c r="C1202" s="2057"/>
      <c r="D1202" s="1170" t="s">
        <v>193</v>
      </c>
      <c r="E1202" s="1462" t="s">
        <v>545</v>
      </c>
      <c r="F1202" s="1462" t="s">
        <v>2435</v>
      </c>
      <c r="G1202" s="1311" t="s">
        <v>1829</v>
      </c>
      <c r="H1202" s="1172"/>
      <c r="I1202" s="1172"/>
      <c r="J1202" s="1172"/>
      <c r="K1202" s="1172"/>
      <c r="L1202" s="1173"/>
      <c r="M1202" s="1172">
        <f>9883788+2668623</f>
        <v>12552411</v>
      </c>
      <c r="N1202" s="1172"/>
      <c r="O1202" s="1172"/>
      <c r="P1202" s="1174"/>
      <c r="Q1202" s="1175"/>
      <c r="R1202" s="1172"/>
      <c r="S1202" s="1172"/>
      <c r="T1202" s="1172"/>
      <c r="U1202" s="1172"/>
      <c r="V1202" s="1172"/>
      <c r="W1202" s="1172"/>
      <c r="X1202" s="1176"/>
    </row>
    <row r="1203" spans="1:24" ht="24.75" customHeight="1" x14ac:dyDescent="0.2">
      <c r="A1203" s="2052" t="s">
        <v>3140</v>
      </c>
      <c r="B1203" s="2054" t="s">
        <v>283</v>
      </c>
      <c r="C1203" s="2056" t="s">
        <v>3411</v>
      </c>
      <c r="D1203" s="1170" t="s">
        <v>195</v>
      </c>
      <c r="E1203" s="1462" t="s">
        <v>74</v>
      </c>
      <c r="F1203" s="1462" t="s">
        <v>1870</v>
      </c>
      <c r="G1203" s="1311" t="s">
        <v>1828</v>
      </c>
      <c r="H1203" s="1172"/>
      <c r="I1203" s="1172"/>
      <c r="J1203" s="1172"/>
      <c r="K1203" s="1172"/>
      <c r="L1203" s="1173">
        <v>-150000</v>
      </c>
      <c r="M1203" s="1172"/>
      <c r="N1203" s="1172"/>
      <c r="O1203" s="1172"/>
      <c r="P1203" s="1174"/>
      <c r="Q1203" s="1175"/>
      <c r="R1203" s="1172"/>
      <c r="S1203" s="1172"/>
      <c r="T1203" s="1172"/>
      <c r="U1203" s="1172"/>
      <c r="V1203" s="1172"/>
      <c r="W1203" s="1172"/>
      <c r="X1203" s="1176"/>
    </row>
    <row r="1204" spans="1:24" ht="24.75" customHeight="1" x14ac:dyDescent="0.2">
      <c r="A1204" s="2053"/>
      <c r="B1204" s="2055"/>
      <c r="C1204" s="2057"/>
      <c r="D1204" s="1170" t="s">
        <v>188</v>
      </c>
      <c r="E1204" s="1462" t="s">
        <v>2102</v>
      </c>
      <c r="F1204" s="1462" t="s">
        <v>2101</v>
      </c>
      <c r="G1204" s="1311" t="s">
        <v>1829</v>
      </c>
      <c r="H1204" s="1172"/>
      <c r="I1204" s="1172"/>
      <c r="J1204" s="1172">
        <f>118110+31890</f>
        <v>150000</v>
      </c>
      <c r="K1204" s="1172"/>
      <c r="L1204" s="1173"/>
      <c r="M1204" s="1172"/>
      <c r="N1204" s="1172"/>
      <c r="O1204" s="1172"/>
      <c r="P1204" s="1174"/>
      <c r="Q1204" s="1175"/>
      <c r="R1204" s="1172"/>
      <c r="S1204" s="1172"/>
      <c r="T1204" s="1172"/>
      <c r="U1204" s="1172"/>
      <c r="V1204" s="1172"/>
      <c r="W1204" s="1172"/>
      <c r="X1204" s="1176"/>
    </row>
    <row r="1205" spans="1:24" ht="27.75" customHeight="1" x14ac:dyDescent="0.2">
      <c r="A1205" s="2052" t="s">
        <v>3142</v>
      </c>
      <c r="B1205" s="2054" t="s">
        <v>284</v>
      </c>
      <c r="C1205" s="2056" t="s">
        <v>3412</v>
      </c>
      <c r="D1205" s="1170" t="s">
        <v>195</v>
      </c>
      <c r="E1205" s="1462" t="s">
        <v>74</v>
      </c>
      <c r="F1205" s="1462" t="s">
        <v>1870</v>
      </c>
      <c r="G1205" s="1311" t="s">
        <v>1828</v>
      </c>
      <c r="H1205" s="1172"/>
      <c r="I1205" s="1172"/>
      <c r="J1205" s="1172"/>
      <c r="K1205" s="1172"/>
      <c r="L1205" s="1173">
        <v>-3937000</v>
      </c>
      <c r="M1205" s="1172"/>
      <c r="N1205" s="1172"/>
      <c r="O1205" s="1172"/>
      <c r="P1205" s="1174"/>
      <c r="Q1205" s="1175"/>
      <c r="R1205" s="1172"/>
      <c r="S1205" s="1172"/>
      <c r="T1205" s="1172"/>
      <c r="U1205" s="1172"/>
      <c r="V1205" s="1172"/>
      <c r="W1205" s="1172"/>
      <c r="X1205" s="1176"/>
    </row>
    <row r="1206" spans="1:24" ht="27.75" customHeight="1" x14ac:dyDescent="0.2">
      <c r="A1206" s="2053"/>
      <c r="B1206" s="2055"/>
      <c r="C1206" s="2057"/>
      <c r="D1206" s="1170" t="s">
        <v>193</v>
      </c>
      <c r="E1206" s="1462" t="s">
        <v>130</v>
      </c>
      <c r="F1206" s="1462" t="s">
        <v>152</v>
      </c>
      <c r="G1206" s="1311" t="s">
        <v>1829</v>
      </c>
      <c r="H1206" s="1172"/>
      <c r="I1206" s="1172"/>
      <c r="J1206" s="1172"/>
      <c r="K1206" s="1172"/>
      <c r="L1206" s="1173"/>
      <c r="M1206" s="1172">
        <f>3100000+837000</f>
        <v>3937000</v>
      </c>
      <c r="N1206" s="1172"/>
      <c r="O1206" s="1172"/>
      <c r="P1206" s="1174"/>
      <c r="Q1206" s="1175"/>
      <c r="R1206" s="1172"/>
      <c r="S1206" s="1172"/>
      <c r="T1206" s="1172"/>
      <c r="U1206" s="1172"/>
      <c r="V1206" s="1172"/>
      <c r="W1206" s="1172"/>
      <c r="X1206" s="1176"/>
    </row>
    <row r="1207" spans="1:24" ht="27.75" customHeight="1" x14ac:dyDescent="0.2">
      <c r="A1207" s="2052" t="s">
        <v>3143</v>
      </c>
      <c r="B1207" s="2054" t="s">
        <v>285</v>
      </c>
      <c r="C1207" s="2056" t="s">
        <v>3413</v>
      </c>
      <c r="D1207" s="1170" t="s">
        <v>195</v>
      </c>
      <c r="E1207" s="1462" t="s">
        <v>74</v>
      </c>
      <c r="F1207" s="1462" t="s">
        <v>1870</v>
      </c>
      <c r="G1207" s="1311" t="s">
        <v>1828</v>
      </c>
      <c r="H1207" s="1172"/>
      <c r="I1207" s="1172"/>
      <c r="J1207" s="1172"/>
      <c r="K1207" s="1172"/>
      <c r="L1207" s="1173">
        <v>-393700</v>
      </c>
      <c r="M1207" s="1172"/>
      <c r="N1207" s="1172"/>
      <c r="O1207" s="1172"/>
      <c r="P1207" s="1174"/>
      <c r="Q1207" s="1175"/>
      <c r="R1207" s="1172"/>
      <c r="S1207" s="1172"/>
      <c r="T1207" s="1172"/>
      <c r="U1207" s="1172"/>
      <c r="V1207" s="1172"/>
      <c r="W1207" s="1172"/>
      <c r="X1207" s="1176"/>
    </row>
    <row r="1208" spans="1:24" ht="27.75" customHeight="1" x14ac:dyDescent="0.2">
      <c r="A1208" s="2053"/>
      <c r="B1208" s="2055"/>
      <c r="C1208" s="2057"/>
      <c r="D1208" s="1170" t="s">
        <v>193</v>
      </c>
      <c r="E1208" s="1462" t="s">
        <v>620</v>
      </c>
      <c r="F1208" s="1462" t="s">
        <v>134</v>
      </c>
      <c r="G1208" s="1311" t="s">
        <v>1829</v>
      </c>
      <c r="H1208" s="1172"/>
      <c r="I1208" s="1172"/>
      <c r="J1208" s="1172"/>
      <c r="K1208" s="1172"/>
      <c r="L1208" s="1173"/>
      <c r="M1208" s="1172">
        <f>310000+83700</f>
        <v>393700</v>
      </c>
      <c r="N1208" s="1172"/>
      <c r="O1208" s="1172"/>
      <c r="P1208" s="1174"/>
      <c r="Q1208" s="1175"/>
      <c r="R1208" s="1172"/>
      <c r="S1208" s="1172"/>
      <c r="T1208" s="1172"/>
      <c r="U1208" s="1172"/>
      <c r="V1208" s="1172"/>
      <c r="W1208" s="1172"/>
      <c r="X1208" s="1176"/>
    </row>
    <row r="1209" spans="1:24" ht="36" customHeight="1" x14ac:dyDescent="0.2">
      <c r="A1209" s="2052" t="s">
        <v>3150</v>
      </c>
      <c r="B1209" s="2054" t="s">
        <v>286</v>
      </c>
      <c r="C1209" s="2056" t="s">
        <v>3415</v>
      </c>
      <c r="D1209" s="1170" t="s">
        <v>195</v>
      </c>
      <c r="E1209" s="1462" t="s">
        <v>74</v>
      </c>
      <c r="F1209" s="1462" t="s">
        <v>1870</v>
      </c>
      <c r="G1209" s="1311" t="s">
        <v>1828</v>
      </c>
      <c r="H1209" s="1172"/>
      <c r="I1209" s="1172"/>
      <c r="J1209" s="1172"/>
      <c r="K1209" s="1172"/>
      <c r="L1209" s="1173">
        <v>-51181</v>
      </c>
      <c r="M1209" s="1172"/>
      <c r="N1209" s="1172"/>
      <c r="O1209" s="1172"/>
      <c r="P1209" s="1174"/>
      <c r="Q1209" s="1175"/>
      <c r="R1209" s="1172"/>
      <c r="S1209" s="1172"/>
      <c r="T1209" s="1172"/>
      <c r="U1209" s="1172"/>
      <c r="V1209" s="1172"/>
      <c r="W1209" s="1172"/>
      <c r="X1209" s="1176"/>
    </row>
    <row r="1210" spans="1:24" ht="36" customHeight="1" x14ac:dyDescent="0.2">
      <c r="A1210" s="2053"/>
      <c r="B1210" s="2055"/>
      <c r="C1210" s="2057"/>
      <c r="D1210" s="1170" t="s">
        <v>188</v>
      </c>
      <c r="E1210" s="1462" t="s">
        <v>545</v>
      </c>
      <c r="F1210" s="1462" t="s">
        <v>830</v>
      </c>
      <c r="G1210" s="1311" t="s">
        <v>1829</v>
      </c>
      <c r="H1210" s="1172"/>
      <c r="I1210" s="1172"/>
      <c r="J1210" s="1172">
        <f>40300+10881</f>
        <v>51181</v>
      </c>
      <c r="K1210" s="1172"/>
      <c r="L1210" s="1173"/>
      <c r="M1210" s="1172"/>
      <c r="N1210" s="1172"/>
      <c r="O1210" s="1172"/>
      <c r="P1210" s="1174"/>
      <c r="Q1210" s="1175"/>
      <c r="R1210" s="1172"/>
      <c r="S1210" s="1172"/>
      <c r="T1210" s="1172"/>
      <c r="U1210" s="1172"/>
      <c r="V1210" s="1172"/>
      <c r="W1210" s="1172"/>
      <c r="X1210" s="1176"/>
    </row>
    <row r="1211" spans="1:24" ht="66.75" customHeight="1" x14ac:dyDescent="0.2">
      <c r="A1211" s="1494" t="s">
        <v>3152</v>
      </c>
      <c r="B1211" s="1493" t="s">
        <v>3416</v>
      </c>
      <c r="C1211" s="1492" t="s">
        <v>3417</v>
      </c>
      <c r="D1211" s="1170" t="s">
        <v>188</v>
      </c>
      <c r="E1211" s="1462" t="s">
        <v>1868</v>
      </c>
      <c r="F1211" s="1462" t="s">
        <v>1867</v>
      </c>
      <c r="G1211" s="1311" t="s">
        <v>1837</v>
      </c>
      <c r="H1211" s="1172">
        <v>-3779387</v>
      </c>
      <c r="I1211" s="1172"/>
      <c r="J1211" s="1172">
        <f>45881+3089601+70000+573905</f>
        <v>3779387</v>
      </c>
      <c r="K1211" s="1172"/>
      <c r="L1211" s="1173"/>
      <c r="M1211" s="1172"/>
      <c r="N1211" s="1172"/>
      <c r="O1211" s="1172"/>
      <c r="P1211" s="1174"/>
      <c r="Q1211" s="1175"/>
      <c r="R1211" s="1172"/>
      <c r="S1211" s="1172"/>
      <c r="T1211" s="1172"/>
      <c r="U1211" s="1172"/>
      <c r="V1211" s="1172"/>
      <c r="W1211" s="1172"/>
      <c r="X1211" s="1176"/>
    </row>
    <row r="1212" spans="1:24" ht="36" customHeight="1" x14ac:dyDescent="0.2">
      <c r="A1212" s="1494"/>
      <c r="B1212" s="1493"/>
      <c r="C1212" s="1492" t="s">
        <v>2302</v>
      </c>
      <c r="D1212" s="1170" t="s">
        <v>197</v>
      </c>
      <c r="E1212" s="1462" t="s">
        <v>1288</v>
      </c>
      <c r="F1212" s="1462" t="s">
        <v>535</v>
      </c>
      <c r="G1212" s="1311" t="s">
        <v>1837</v>
      </c>
      <c r="H1212" s="1172"/>
      <c r="I1212" s="1172"/>
      <c r="J1212" s="1172"/>
      <c r="K1212" s="1172"/>
      <c r="L1212" s="1173"/>
      <c r="M1212" s="1172"/>
      <c r="N1212" s="1172"/>
      <c r="O1212" s="1172"/>
      <c r="P1212" s="1174">
        <f>-254000+254000</f>
        <v>0</v>
      </c>
      <c r="Q1212" s="1175"/>
      <c r="R1212" s="1172"/>
      <c r="S1212" s="1172"/>
      <c r="T1212" s="1172"/>
      <c r="U1212" s="1172"/>
      <c r="V1212" s="1172"/>
      <c r="W1212" s="1172"/>
      <c r="X1212" s="1176"/>
    </row>
    <row r="1213" spans="1:24" ht="27.75" customHeight="1" x14ac:dyDescent="0.2">
      <c r="A1213" s="2052" t="s">
        <v>3154</v>
      </c>
      <c r="B1213" s="2054" t="s">
        <v>289</v>
      </c>
      <c r="C1213" s="2056" t="s">
        <v>3419</v>
      </c>
      <c r="D1213" s="1170" t="s">
        <v>195</v>
      </c>
      <c r="E1213" s="1462" t="s">
        <v>74</v>
      </c>
      <c r="F1213" s="1462" t="s">
        <v>1870</v>
      </c>
      <c r="G1213" s="1311" t="s">
        <v>1828</v>
      </c>
      <c r="H1213" s="1172"/>
      <c r="I1213" s="1172"/>
      <c r="J1213" s="1172"/>
      <c r="K1213" s="1172"/>
      <c r="L1213" s="1173">
        <v>-762000</v>
      </c>
      <c r="M1213" s="1172"/>
      <c r="N1213" s="1172"/>
      <c r="O1213" s="1172"/>
      <c r="P1213" s="1174"/>
      <c r="Q1213" s="1175"/>
      <c r="R1213" s="1172"/>
      <c r="S1213" s="1172"/>
      <c r="T1213" s="1172"/>
      <c r="U1213" s="1172"/>
      <c r="V1213" s="1172"/>
      <c r="W1213" s="1172"/>
      <c r="X1213" s="1176"/>
    </row>
    <row r="1214" spans="1:24" ht="27.75" customHeight="1" x14ac:dyDescent="0.2">
      <c r="A1214" s="2053"/>
      <c r="B1214" s="2055"/>
      <c r="C1214" s="2057"/>
      <c r="D1214" s="1170" t="s">
        <v>188</v>
      </c>
      <c r="E1214" s="1462" t="s">
        <v>1971</v>
      </c>
      <c r="F1214" s="1462" t="s">
        <v>1970</v>
      </c>
      <c r="G1214" s="1311" t="s">
        <v>1829</v>
      </c>
      <c r="H1214" s="1172"/>
      <c r="I1214" s="1172"/>
      <c r="J1214" s="1172">
        <f>600000+162000</f>
        <v>762000</v>
      </c>
      <c r="K1214" s="1172"/>
      <c r="L1214" s="1173"/>
      <c r="M1214" s="1172"/>
      <c r="N1214" s="1172"/>
      <c r="O1214" s="1172"/>
      <c r="P1214" s="1174"/>
      <c r="Q1214" s="1175"/>
      <c r="R1214" s="1172"/>
      <c r="S1214" s="1172"/>
      <c r="T1214" s="1172"/>
      <c r="U1214" s="1172"/>
      <c r="V1214" s="1172"/>
      <c r="W1214" s="1172"/>
      <c r="X1214" s="1176"/>
    </row>
    <row r="1215" spans="1:24" ht="36" customHeight="1" x14ac:dyDescent="0.2">
      <c r="A1215" s="1494" t="s">
        <v>3156</v>
      </c>
      <c r="B1215" s="1493" t="s">
        <v>290</v>
      </c>
      <c r="C1215" s="1492" t="s">
        <v>3048</v>
      </c>
      <c r="D1215" s="1170" t="s">
        <v>188</v>
      </c>
      <c r="E1215" s="1462" t="s">
        <v>64</v>
      </c>
      <c r="F1215" s="1462" t="s">
        <v>526</v>
      </c>
      <c r="G1215" s="1311" t="s">
        <v>1829</v>
      </c>
      <c r="H1215" s="1172"/>
      <c r="I1215" s="1172"/>
      <c r="J1215" s="1172">
        <f>6682677+1804323</f>
        <v>8487000</v>
      </c>
      <c r="K1215" s="1172"/>
      <c r="L1215" s="1173"/>
      <c r="M1215" s="1172"/>
      <c r="N1215" s="1172"/>
      <c r="O1215" s="1172"/>
      <c r="P1215" s="1174"/>
      <c r="Q1215" s="1175"/>
      <c r="R1215" s="1172"/>
      <c r="S1215" s="1172"/>
      <c r="T1215" s="1172">
        <f>304726+8100000+82274</f>
        <v>8487000</v>
      </c>
      <c r="U1215" s="1172"/>
      <c r="V1215" s="1172"/>
      <c r="W1215" s="1172"/>
      <c r="X1215" s="1176"/>
    </row>
    <row r="1216" spans="1:24" ht="32.25" customHeight="1" x14ac:dyDescent="0.2">
      <c r="A1216" s="1494" t="s">
        <v>3158</v>
      </c>
      <c r="B1216" s="1493" t="s">
        <v>291</v>
      </c>
      <c r="C1216" s="1492" t="s">
        <v>3105</v>
      </c>
      <c r="D1216" s="1170" t="s">
        <v>188</v>
      </c>
      <c r="E1216" s="1462" t="s">
        <v>542</v>
      </c>
      <c r="F1216" s="1462" t="s">
        <v>447</v>
      </c>
      <c r="G1216" s="1311" t="s">
        <v>1829</v>
      </c>
      <c r="H1216" s="1172"/>
      <c r="I1216" s="1172"/>
      <c r="J1216" s="1172">
        <v>86230</v>
      </c>
      <c r="K1216" s="1172"/>
      <c r="L1216" s="1173"/>
      <c r="M1216" s="1172"/>
      <c r="N1216" s="1172"/>
      <c r="O1216" s="1172"/>
      <c r="P1216" s="1174"/>
      <c r="Q1216" s="1175"/>
      <c r="R1216" s="1172"/>
      <c r="S1216" s="1172"/>
      <c r="T1216" s="1172">
        <v>86230</v>
      </c>
      <c r="U1216" s="1172"/>
      <c r="V1216" s="1172"/>
      <c r="W1216" s="1172"/>
      <c r="X1216" s="1176"/>
    </row>
    <row r="1217" spans="1:24" ht="30" customHeight="1" x14ac:dyDescent="0.2">
      <c r="A1217" s="1494" t="s">
        <v>3163</v>
      </c>
      <c r="B1217" s="1493" t="s">
        <v>292</v>
      </c>
      <c r="C1217" s="1492" t="s">
        <v>3420</v>
      </c>
      <c r="D1217" s="1170" t="s">
        <v>188</v>
      </c>
      <c r="E1217" s="1462" t="s">
        <v>1375</v>
      </c>
      <c r="F1217" s="1462" t="s">
        <v>1878</v>
      </c>
      <c r="G1217" s="1311" t="s">
        <v>1829</v>
      </c>
      <c r="H1217" s="1172"/>
      <c r="I1217" s="1172"/>
      <c r="J1217" s="1172"/>
      <c r="K1217" s="1172"/>
      <c r="L1217" s="1173"/>
      <c r="M1217" s="1172"/>
      <c r="N1217" s="1172"/>
      <c r="O1217" s="1172"/>
      <c r="P1217" s="1174">
        <v>69551614</v>
      </c>
      <c r="Q1217" s="1175"/>
      <c r="R1217" s="1172"/>
      <c r="S1217" s="1172"/>
      <c r="T1217" s="1172"/>
      <c r="U1217" s="1172"/>
      <c r="V1217" s="1172"/>
      <c r="W1217" s="1172"/>
      <c r="X1217" s="1176">
        <v>69551614</v>
      </c>
    </row>
    <row r="1218" spans="1:24" ht="67.5" customHeight="1" x14ac:dyDescent="0.2">
      <c r="A1218" s="1633" t="s">
        <v>3165</v>
      </c>
      <c r="B1218" s="1632" t="s">
        <v>293</v>
      </c>
      <c r="C1218" s="1630" t="s">
        <v>3421</v>
      </c>
      <c r="D1218" s="1170" t="s">
        <v>188</v>
      </c>
      <c r="E1218" s="1462" t="s">
        <v>620</v>
      </c>
      <c r="F1218" s="1462" t="s">
        <v>1857</v>
      </c>
      <c r="G1218" s="1311" t="s">
        <v>1837</v>
      </c>
      <c r="H1218" s="1172"/>
      <c r="I1218" s="1172"/>
      <c r="J1218" s="1172">
        <f>-300000+300000</f>
        <v>0</v>
      </c>
      <c r="K1218" s="1172"/>
      <c r="L1218" s="1173"/>
      <c r="M1218" s="1172"/>
      <c r="N1218" s="1172"/>
      <c r="O1218" s="1172"/>
      <c r="P1218" s="1174"/>
      <c r="Q1218" s="1175"/>
      <c r="R1218" s="1172"/>
      <c r="S1218" s="1172"/>
      <c r="T1218" s="1172"/>
      <c r="U1218" s="1172"/>
      <c r="V1218" s="1172"/>
      <c r="W1218" s="1172"/>
      <c r="X1218" s="1176"/>
    </row>
    <row r="1219" spans="1:24" ht="24" customHeight="1" x14ac:dyDescent="0.2">
      <c r="A1219" s="2052" t="s">
        <v>3167</v>
      </c>
      <c r="B1219" s="2054" t="s">
        <v>294</v>
      </c>
      <c r="C1219" s="2056" t="s">
        <v>3422</v>
      </c>
      <c r="D1219" s="1170" t="s">
        <v>188</v>
      </c>
      <c r="E1219" s="1462" t="s">
        <v>64</v>
      </c>
      <c r="F1219" s="1462" t="s">
        <v>526</v>
      </c>
      <c r="G1219" s="1311" t="s">
        <v>1828</v>
      </c>
      <c r="H1219" s="1172"/>
      <c r="I1219" s="1172"/>
      <c r="J1219" s="1172">
        <f>-400000-108000</f>
        <v>-508000</v>
      </c>
      <c r="K1219" s="1172"/>
      <c r="L1219" s="1173"/>
      <c r="M1219" s="1172"/>
      <c r="N1219" s="1172"/>
      <c r="O1219" s="1172"/>
      <c r="P1219" s="1174"/>
      <c r="Q1219" s="1175"/>
      <c r="R1219" s="1172"/>
      <c r="S1219" s="1172"/>
      <c r="T1219" s="1172"/>
      <c r="U1219" s="1172"/>
      <c r="V1219" s="1172"/>
      <c r="W1219" s="1172"/>
      <c r="X1219" s="1176"/>
    </row>
    <row r="1220" spans="1:24" ht="24" customHeight="1" x14ac:dyDescent="0.2">
      <c r="A1220" s="2053"/>
      <c r="B1220" s="2055"/>
      <c r="C1220" s="2057"/>
      <c r="D1220" s="1170" t="s">
        <v>193</v>
      </c>
      <c r="E1220" s="1462" t="s">
        <v>64</v>
      </c>
      <c r="F1220" s="1462" t="s">
        <v>526</v>
      </c>
      <c r="G1220" s="1311" t="s">
        <v>1829</v>
      </c>
      <c r="H1220" s="1172"/>
      <c r="I1220" s="1172"/>
      <c r="J1220" s="1172"/>
      <c r="K1220" s="1172"/>
      <c r="L1220" s="1173"/>
      <c r="M1220" s="1172">
        <f>400000+108000</f>
        <v>508000</v>
      </c>
      <c r="N1220" s="1172"/>
      <c r="O1220" s="1172"/>
      <c r="P1220" s="1174"/>
      <c r="Q1220" s="1175"/>
      <c r="R1220" s="1172"/>
      <c r="S1220" s="1172"/>
      <c r="T1220" s="1172"/>
      <c r="U1220" s="1172"/>
      <c r="V1220" s="1172"/>
      <c r="W1220" s="1172"/>
      <c r="X1220" s="1176"/>
    </row>
    <row r="1221" spans="1:24" ht="26.25" customHeight="1" x14ac:dyDescent="0.2">
      <c r="A1221" s="2052" t="s">
        <v>3170</v>
      </c>
      <c r="B1221" s="2054">
        <v>53</v>
      </c>
      <c r="C1221" s="2056" t="s">
        <v>3424</v>
      </c>
      <c r="D1221" s="1170" t="s">
        <v>188</v>
      </c>
      <c r="E1221" s="1462" t="s">
        <v>1985</v>
      </c>
      <c r="F1221" s="1462" t="s">
        <v>1984</v>
      </c>
      <c r="G1221" s="1311" t="s">
        <v>1828</v>
      </c>
      <c r="H1221" s="1172">
        <v>100000</v>
      </c>
      <c r="I1221" s="1172"/>
      <c r="J1221" s="1172">
        <f>-313370-3610+200000</f>
        <v>-116980</v>
      </c>
      <c r="K1221" s="1172"/>
      <c r="L1221" s="1173"/>
      <c r="M1221" s="1172"/>
      <c r="N1221" s="1172"/>
      <c r="O1221" s="1172"/>
      <c r="P1221" s="1174"/>
      <c r="Q1221" s="1175"/>
      <c r="R1221" s="1172"/>
      <c r="S1221" s="1172"/>
      <c r="T1221" s="1172"/>
      <c r="U1221" s="1172"/>
      <c r="V1221" s="1172"/>
      <c r="W1221" s="1172"/>
      <c r="X1221" s="1176"/>
    </row>
    <row r="1222" spans="1:24" ht="26.25" customHeight="1" x14ac:dyDescent="0.2">
      <c r="A1222" s="2053"/>
      <c r="B1222" s="2055"/>
      <c r="C1222" s="2057"/>
      <c r="D1222" s="1170" t="s">
        <v>193</v>
      </c>
      <c r="E1222" s="1462" t="s">
        <v>1985</v>
      </c>
      <c r="F1222" s="1462" t="s">
        <v>1984</v>
      </c>
      <c r="G1222" s="1311" t="s">
        <v>1829</v>
      </c>
      <c r="H1222" s="1172"/>
      <c r="I1222" s="1172"/>
      <c r="J1222" s="1172"/>
      <c r="K1222" s="1172"/>
      <c r="L1222" s="1173"/>
      <c r="M1222" s="1172">
        <f>13370+3610</f>
        <v>16980</v>
      </c>
      <c r="N1222" s="1172"/>
      <c r="O1222" s="1172"/>
      <c r="P1222" s="1174"/>
      <c r="Q1222" s="1175"/>
      <c r="R1222" s="1172"/>
      <c r="S1222" s="1172"/>
      <c r="T1222" s="1172"/>
      <c r="U1222" s="1172"/>
      <c r="V1222" s="1172"/>
      <c r="W1222" s="1172"/>
      <c r="X1222" s="1176"/>
    </row>
    <row r="1223" spans="1:24" ht="32.25" customHeight="1" x14ac:dyDescent="0.2">
      <c r="A1223" s="2052" t="s">
        <v>3174</v>
      </c>
      <c r="B1223" s="2054" t="s">
        <v>295</v>
      </c>
      <c r="C1223" s="2056" t="s">
        <v>2975</v>
      </c>
      <c r="D1223" s="1170" t="s">
        <v>188</v>
      </c>
      <c r="E1223" s="1462" t="s">
        <v>2458</v>
      </c>
      <c r="F1223" s="1462" t="s">
        <v>2457</v>
      </c>
      <c r="G1223" s="1311" t="s">
        <v>1829</v>
      </c>
      <c r="H1223" s="1172"/>
      <c r="I1223" s="1172"/>
      <c r="J1223" s="1172"/>
      <c r="K1223" s="1172"/>
      <c r="L1223" s="1173"/>
      <c r="M1223" s="1172"/>
      <c r="N1223" s="1172"/>
      <c r="O1223" s="1172"/>
      <c r="P1223" s="1174"/>
      <c r="Q1223" s="1175"/>
      <c r="R1223" s="1172"/>
      <c r="S1223" s="1172"/>
      <c r="T1223" s="1172">
        <v>75768375</v>
      </c>
      <c r="U1223" s="1172"/>
      <c r="V1223" s="1172"/>
      <c r="W1223" s="1172"/>
      <c r="X1223" s="1176"/>
    </row>
    <row r="1224" spans="1:24" ht="32.25" customHeight="1" x14ac:dyDescent="0.2">
      <c r="A1224" s="2053"/>
      <c r="B1224" s="2055"/>
      <c r="C1224" s="2057"/>
      <c r="D1224" s="1170" t="s">
        <v>195</v>
      </c>
      <c r="E1224" s="1462" t="s">
        <v>74</v>
      </c>
      <c r="F1224" s="1462" t="s">
        <v>1870</v>
      </c>
      <c r="G1224" s="1311" t="s">
        <v>1829</v>
      </c>
      <c r="H1224" s="1172"/>
      <c r="I1224" s="1172"/>
      <c r="J1224" s="1172"/>
      <c r="K1224" s="1172"/>
      <c r="L1224" s="1173">
        <v>75768375</v>
      </c>
      <c r="M1224" s="1172"/>
      <c r="N1224" s="1172"/>
      <c r="O1224" s="1172"/>
      <c r="P1224" s="1174"/>
      <c r="Q1224" s="1175"/>
      <c r="R1224" s="1172"/>
      <c r="S1224" s="1172"/>
      <c r="T1224" s="1172"/>
      <c r="U1224" s="1172"/>
      <c r="V1224" s="1172"/>
      <c r="W1224" s="1172"/>
      <c r="X1224" s="1176"/>
    </row>
    <row r="1225" spans="1:24" ht="24" customHeight="1" x14ac:dyDescent="0.2">
      <c r="A1225" s="2052" t="s">
        <v>3425</v>
      </c>
      <c r="B1225" s="2054" t="s">
        <v>731</v>
      </c>
      <c r="C1225" s="2056" t="s">
        <v>3151</v>
      </c>
      <c r="D1225" s="1170" t="s">
        <v>188</v>
      </c>
      <c r="E1225" s="1462" t="s">
        <v>131</v>
      </c>
      <c r="F1225" s="1462" t="s">
        <v>154</v>
      </c>
      <c r="G1225" s="1311" t="s">
        <v>1829</v>
      </c>
      <c r="H1225" s="1172"/>
      <c r="I1225" s="1172"/>
      <c r="J1225" s="1172"/>
      <c r="K1225" s="1172"/>
      <c r="L1225" s="1173"/>
      <c r="M1225" s="1172"/>
      <c r="N1225" s="1172"/>
      <c r="O1225" s="1172"/>
      <c r="P1225" s="1174"/>
      <c r="Q1225" s="1175"/>
      <c r="R1225" s="1172"/>
      <c r="S1225" s="1172"/>
      <c r="T1225" s="1172">
        <v>100000</v>
      </c>
      <c r="U1225" s="1172"/>
      <c r="V1225" s="1172"/>
      <c r="W1225" s="1172"/>
      <c r="X1225" s="1176"/>
    </row>
    <row r="1226" spans="1:24" ht="24" customHeight="1" x14ac:dyDescent="0.2">
      <c r="A1226" s="2053"/>
      <c r="B1226" s="2055"/>
      <c r="C1226" s="2057"/>
      <c r="D1226" s="1170" t="s">
        <v>195</v>
      </c>
      <c r="E1226" s="1462" t="s">
        <v>74</v>
      </c>
      <c r="F1226" s="1462" t="s">
        <v>1870</v>
      </c>
      <c r="G1226" s="1311" t="s">
        <v>1829</v>
      </c>
      <c r="H1226" s="1172"/>
      <c r="I1226" s="1172"/>
      <c r="J1226" s="1172"/>
      <c r="K1226" s="1172"/>
      <c r="L1226" s="1173">
        <v>100000</v>
      </c>
      <c r="M1226" s="1172"/>
      <c r="N1226" s="1172"/>
      <c r="O1226" s="1172"/>
      <c r="P1226" s="1174"/>
      <c r="Q1226" s="1175"/>
      <c r="R1226" s="1172"/>
      <c r="S1226" s="1172"/>
      <c r="T1226" s="1172"/>
      <c r="U1226" s="1172"/>
      <c r="V1226" s="1172"/>
      <c r="W1226" s="1172"/>
      <c r="X1226" s="1176"/>
    </row>
    <row r="1227" spans="1:24" ht="24" customHeight="1" x14ac:dyDescent="0.2">
      <c r="A1227" s="2052" t="s">
        <v>3177</v>
      </c>
      <c r="B1227" s="2054" t="s">
        <v>296</v>
      </c>
      <c r="C1227" s="2056" t="s">
        <v>3431</v>
      </c>
      <c r="D1227" s="1170" t="s">
        <v>188</v>
      </c>
      <c r="E1227" s="1462" t="s">
        <v>64</v>
      </c>
      <c r="F1227" s="1462" t="s">
        <v>526</v>
      </c>
      <c r="G1227" s="1311" t="s">
        <v>1828</v>
      </c>
      <c r="H1227" s="1172"/>
      <c r="I1227" s="1172"/>
      <c r="J1227" s="1172">
        <v>-300000</v>
      </c>
      <c r="K1227" s="1172"/>
      <c r="L1227" s="1173"/>
      <c r="M1227" s="1172"/>
      <c r="N1227" s="1172"/>
      <c r="O1227" s="1172"/>
      <c r="P1227" s="1174"/>
      <c r="Q1227" s="1175"/>
      <c r="R1227" s="1172"/>
      <c r="S1227" s="1172"/>
      <c r="T1227" s="1172"/>
      <c r="U1227" s="1172"/>
      <c r="V1227" s="1172"/>
      <c r="W1227" s="1172"/>
      <c r="X1227" s="1176"/>
    </row>
    <row r="1228" spans="1:24" ht="24" customHeight="1" x14ac:dyDescent="0.2">
      <c r="A1228" s="2053"/>
      <c r="B1228" s="2055"/>
      <c r="C1228" s="2057"/>
      <c r="D1228" s="1170" t="s">
        <v>193</v>
      </c>
      <c r="E1228" s="1462" t="s">
        <v>64</v>
      </c>
      <c r="F1228" s="1462" t="s">
        <v>526</v>
      </c>
      <c r="G1228" s="1311" t="s">
        <v>1829</v>
      </c>
      <c r="H1228" s="1172"/>
      <c r="I1228" s="1172"/>
      <c r="J1228" s="1172"/>
      <c r="K1228" s="1172"/>
      <c r="L1228" s="1173"/>
      <c r="M1228" s="1172">
        <v>300000</v>
      </c>
      <c r="N1228" s="1172"/>
      <c r="O1228" s="1172"/>
      <c r="P1228" s="1174"/>
      <c r="Q1228" s="1175"/>
      <c r="R1228" s="1172"/>
      <c r="S1228" s="1172"/>
      <c r="T1228" s="1172"/>
      <c r="U1228" s="1172"/>
      <c r="V1228" s="1172"/>
      <c r="W1228" s="1172"/>
      <c r="X1228" s="1176"/>
    </row>
    <row r="1229" spans="1:24" ht="24" customHeight="1" x14ac:dyDescent="0.2">
      <c r="A1229" s="2052" t="s">
        <v>3180</v>
      </c>
      <c r="B1229" s="2054" t="s">
        <v>297</v>
      </c>
      <c r="C1229" s="2056" t="s">
        <v>3432</v>
      </c>
      <c r="D1229" s="1170" t="s">
        <v>195</v>
      </c>
      <c r="E1229" s="1462" t="s">
        <v>74</v>
      </c>
      <c r="F1229" s="1462" t="s">
        <v>1870</v>
      </c>
      <c r="G1229" s="1311" t="s">
        <v>1828</v>
      </c>
      <c r="H1229" s="1172"/>
      <c r="I1229" s="1172"/>
      <c r="J1229" s="1172"/>
      <c r="K1229" s="1172"/>
      <c r="L1229" s="1173">
        <v>-109804</v>
      </c>
      <c r="M1229" s="1172"/>
      <c r="N1229" s="1172"/>
      <c r="O1229" s="1172"/>
      <c r="P1229" s="1174"/>
      <c r="Q1229" s="1175"/>
      <c r="R1229" s="1172"/>
      <c r="S1229" s="1172"/>
      <c r="T1229" s="1172"/>
      <c r="U1229" s="1172"/>
      <c r="V1229" s="1172"/>
      <c r="W1229" s="1172"/>
      <c r="X1229" s="1176"/>
    </row>
    <row r="1230" spans="1:24" ht="24" customHeight="1" x14ac:dyDescent="0.2">
      <c r="A1230" s="2053"/>
      <c r="B1230" s="2055"/>
      <c r="C1230" s="2057"/>
      <c r="D1230" s="1170" t="s">
        <v>193</v>
      </c>
      <c r="E1230" s="1462" t="s">
        <v>584</v>
      </c>
      <c r="F1230" s="1462" t="s">
        <v>135</v>
      </c>
      <c r="G1230" s="1311" t="s">
        <v>1829</v>
      </c>
      <c r="H1230" s="1172"/>
      <c r="I1230" s="1172"/>
      <c r="J1230" s="1172"/>
      <c r="K1230" s="1172"/>
      <c r="L1230" s="1173"/>
      <c r="M1230" s="1172">
        <f>86460+23344</f>
        <v>109804</v>
      </c>
      <c r="N1230" s="1172"/>
      <c r="O1230" s="1172"/>
      <c r="P1230" s="1174"/>
      <c r="Q1230" s="1175"/>
      <c r="R1230" s="1172"/>
      <c r="S1230" s="1172"/>
      <c r="T1230" s="1172"/>
      <c r="U1230" s="1172"/>
      <c r="V1230" s="1172"/>
      <c r="W1230" s="1172"/>
      <c r="X1230" s="1176"/>
    </row>
    <row r="1231" spans="1:24" ht="30" customHeight="1" x14ac:dyDescent="0.2">
      <c r="A1231" s="1494"/>
      <c r="B1231" s="1493"/>
      <c r="C1231" s="1492" t="s">
        <v>3439</v>
      </c>
      <c r="D1231" s="1170" t="s">
        <v>197</v>
      </c>
      <c r="E1231" s="1462" t="s">
        <v>1288</v>
      </c>
      <c r="F1231" s="1462" t="s">
        <v>535</v>
      </c>
      <c r="G1231" s="1311" t="s">
        <v>1837</v>
      </c>
      <c r="H1231" s="1172"/>
      <c r="I1231" s="1172"/>
      <c r="J1231" s="1172"/>
      <c r="K1231" s="1172"/>
      <c r="L1231" s="1173"/>
      <c r="M1231" s="1172"/>
      <c r="N1231" s="1172"/>
      <c r="O1231" s="1172"/>
      <c r="P1231" s="1174">
        <f>-756+756</f>
        <v>0</v>
      </c>
      <c r="Q1231" s="1175"/>
      <c r="R1231" s="1172"/>
      <c r="S1231" s="1172"/>
      <c r="T1231" s="1172"/>
      <c r="U1231" s="1172"/>
      <c r="V1231" s="1172"/>
      <c r="W1231" s="1172"/>
      <c r="X1231" s="1176"/>
    </row>
    <row r="1232" spans="1:24" ht="27" customHeight="1" x14ac:dyDescent="0.2">
      <c r="A1232" s="2052" t="s">
        <v>3440</v>
      </c>
      <c r="B1232" s="2054" t="s">
        <v>298</v>
      </c>
      <c r="C1232" s="2056" t="s">
        <v>3441</v>
      </c>
      <c r="D1232" s="1170" t="s">
        <v>192</v>
      </c>
      <c r="E1232" s="1462" t="s">
        <v>77</v>
      </c>
      <c r="F1232" s="1462" t="s">
        <v>1875</v>
      </c>
      <c r="G1232" s="1311" t="s">
        <v>1828</v>
      </c>
      <c r="H1232" s="1172"/>
      <c r="I1232" s="1172"/>
      <c r="J1232" s="1172"/>
      <c r="K1232" s="1172"/>
      <c r="L1232" s="1173">
        <v>-254495</v>
      </c>
      <c r="M1232" s="1172"/>
      <c r="N1232" s="1172"/>
      <c r="O1232" s="1172"/>
      <c r="P1232" s="1174"/>
      <c r="Q1232" s="1175"/>
      <c r="R1232" s="1172"/>
      <c r="S1232" s="1172"/>
      <c r="T1232" s="1172"/>
      <c r="U1232" s="1172"/>
      <c r="V1232" s="1172"/>
      <c r="W1232" s="1172"/>
      <c r="X1232" s="1176"/>
    </row>
    <row r="1233" spans="1:24" ht="27" customHeight="1" x14ac:dyDescent="0.2">
      <c r="A1233" s="2053"/>
      <c r="B1233" s="2055"/>
      <c r="C1233" s="2057"/>
      <c r="D1233" s="1170" t="s">
        <v>191</v>
      </c>
      <c r="E1233" s="1462" t="s">
        <v>77</v>
      </c>
      <c r="F1233" s="1462" t="s">
        <v>1875</v>
      </c>
      <c r="G1233" s="1311" t="s">
        <v>1829</v>
      </c>
      <c r="H1233" s="1172"/>
      <c r="I1233" s="1172"/>
      <c r="J1233" s="1172"/>
      <c r="K1233" s="1172"/>
      <c r="L1233" s="1173"/>
      <c r="M1233" s="1172"/>
      <c r="N1233" s="1172"/>
      <c r="O1233" s="1172">
        <v>254495</v>
      </c>
      <c r="P1233" s="1174"/>
      <c r="Q1233" s="1175"/>
      <c r="R1233" s="1172"/>
      <c r="S1233" s="1172"/>
      <c r="T1233" s="1172"/>
      <c r="U1233" s="1172"/>
      <c r="V1233" s="1172"/>
      <c r="W1233" s="1172"/>
      <c r="X1233" s="1176"/>
    </row>
    <row r="1234" spans="1:24" ht="26.25" customHeight="1" x14ac:dyDescent="0.2">
      <c r="A1234" s="2052" t="s">
        <v>3186</v>
      </c>
      <c r="B1234" s="2054" t="s">
        <v>299</v>
      </c>
      <c r="C1234" s="2056" t="s">
        <v>3445</v>
      </c>
      <c r="D1234" s="1170" t="s">
        <v>193</v>
      </c>
      <c r="E1234" s="1462" t="s">
        <v>583</v>
      </c>
      <c r="F1234" s="1462" t="s">
        <v>1457</v>
      </c>
      <c r="G1234" s="1311" t="s">
        <v>3120</v>
      </c>
      <c r="H1234" s="1172"/>
      <c r="I1234" s="1172"/>
      <c r="J1234" s="1172"/>
      <c r="K1234" s="1172"/>
      <c r="L1234" s="1173"/>
      <c r="M1234" s="1172">
        <f>-435000+435000</f>
        <v>0</v>
      </c>
      <c r="N1234" s="1172"/>
      <c r="O1234" s="1172"/>
      <c r="P1234" s="1174"/>
      <c r="Q1234" s="1175"/>
      <c r="R1234" s="1172"/>
      <c r="S1234" s="1172"/>
      <c r="T1234" s="1172"/>
      <c r="U1234" s="1172"/>
      <c r="V1234" s="1172"/>
      <c r="W1234" s="1172"/>
      <c r="X1234" s="1176"/>
    </row>
    <row r="1235" spans="1:24" ht="26.25" customHeight="1" x14ac:dyDescent="0.2">
      <c r="A1235" s="2053"/>
      <c r="B1235" s="2055"/>
      <c r="C1235" s="2057"/>
      <c r="D1235" s="1170" t="s">
        <v>193</v>
      </c>
      <c r="E1235" s="1462" t="s">
        <v>583</v>
      </c>
      <c r="F1235" s="1462" t="s">
        <v>2103</v>
      </c>
      <c r="G1235" s="1311" t="s">
        <v>3120</v>
      </c>
      <c r="H1235" s="1172"/>
      <c r="I1235" s="1172"/>
      <c r="J1235" s="1172"/>
      <c r="K1235" s="1172"/>
      <c r="L1235" s="1173"/>
      <c r="M1235" s="1172">
        <f>-1750000+1750000</f>
        <v>0</v>
      </c>
      <c r="N1235" s="1172"/>
      <c r="O1235" s="1172"/>
      <c r="P1235" s="1174"/>
      <c r="Q1235" s="1175"/>
      <c r="R1235" s="1172"/>
      <c r="S1235" s="1172"/>
      <c r="T1235" s="1172"/>
      <c r="U1235" s="1172"/>
      <c r="V1235" s="1172"/>
      <c r="W1235" s="1172"/>
      <c r="X1235" s="1176"/>
    </row>
    <row r="1236" spans="1:24" ht="39.75" customHeight="1" x14ac:dyDescent="0.2">
      <c r="A1236" s="2052" t="s">
        <v>3190</v>
      </c>
      <c r="B1236" s="2054" t="s">
        <v>300</v>
      </c>
      <c r="C1236" s="2056" t="s">
        <v>3448</v>
      </c>
      <c r="D1236" s="1170" t="s">
        <v>195</v>
      </c>
      <c r="E1236" s="1462" t="s">
        <v>74</v>
      </c>
      <c r="F1236" s="1462" t="s">
        <v>1870</v>
      </c>
      <c r="G1236" s="1311" t="s">
        <v>1828</v>
      </c>
      <c r="H1236" s="1172"/>
      <c r="I1236" s="1172"/>
      <c r="J1236" s="1172"/>
      <c r="K1236" s="1172"/>
      <c r="L1236" s="1173">
        <v>-6235700</v>
      </c>
      <c r="M1236" s="1172"/>
      <c r="N1236" s="1172"/>
      <c r="O1236" s="1172"/>
      <c r="P1236" s="1174"/>
      <c r="Q1236" s="1175"/>
      <c r="R1236" s="1172"/>
      <c r="S1236" s="1172"/>
      <c r="T1236" s="1172"/>
      <c r="U1236" s="1172"/>
      <c r="V1236" s="1172"/>
      <c r="W1236" s="1172"/>
      <c r="X1236" s="1176"/>
    </row>
    <row r="1237" spans="1:24" ht="39.75" customHeight="1" x14ac:dyDescent="0.2">
      <c r="A1237" s="2053"/>
      <c r="B1237" s="2055"/>
      <c r="C1237" s="2057"/>
      <c r="D1237" s="1170" t="s">
        <v>193</v>
      </c>
      <c r="E1237" s="1462" t="s">
        <v>545</v>
      </c>
      <c r="F1237" s="1462" t="s">
        <v>831</v>
      </c>
      <c r="G1237" s="1311" t="s">
        <v>1829</v>
      </c>
      <c r="H1237" s="1172"/>
      <c r="I1237" s="1172"/>
      <c r="J1237" s="1172"/>
      <c r="K1237" s="1172"/>
      <c r="L1237" s="1173"/>
      <c r="M1237" s="1172">
        <f>4910000+1325700</f>
        <v>6235700</v>
      </c>
      <c r="N1237" s="1172"/>
      <c r="O1237" s="1172"/>
      <c r="P1237" s="1174"/>
      <c r="Q1237" s="1175"/>
      <c r="R1237" s="1172"/>
      <c r="S1237" s="1172"/>
      <c r="T1237" s="1172"/>
      <c r="U1237" s="1172"/>
      <c r="V1237" s="1172"/>
      <c r="W1237" s="1172"/>
      <c r="X1237" s="1176"/>
    </row>
    <row r="1238" spans="1:24" ht="36" customHeight="1" x14ac:dyDescent="0.2">
      <c r="A1238" s="2052" t="s">
        <v>3192</v>
      </c>
      <c r="B1238" s="2054" t="s">
        <v>301</v>
      </c>
      <c r="C1238" s="2056" t="s">
        <v>3449</v>
      </c>
      <c r="D1238" s="1170" t="s">
        <v>195</v>
      </c>
      <c r="E1238" s="1462" t="s">
        <v>74</v>
      </c>
      <c r="F1238" s="1462" t="s">
        <v>1870</v>
      </c>
      <c r="G1238" s="1311" t="s">
        <v>1828</v>
      </c>
      <c r="H1238" s="1172"/>
      <c r="I1238" s="1172"/>
      <c r="J1238" s="1172"/>
      <c r="K1238" s="1172"/>
      <c r="L1238" s="1173">
        <v>-2926500</v>
      </c>
      <c r="M1238" s="1172"/>
      <c r="N1238" s="1172"/>
      <c r="O1238" s="1172"/>
      <c r="P1238" s="1174"/>
      <c r="Q1238" s="1175"/>
      <c r="R1238" s="1172"/>
      <c r="S1238" s="1172"/>
      <c r="T1238" s="1172"/>
      <c r="U1238" s="1172"/>
      <c r="V1238" s="1172"/>
      <c r="W1238" s="1172"/>
      <c r="X1238" s="1176"/>
    </row>
    <row r="1239" spans="1:24" ht="36" customHeight="1" x14ac:dyDescent="0.2">
      <c r="A1239" s="2053"/>
      <c r="B1239" s="2055"/>
      <c r="C1239" s="2057"/>
      <c r="D1239" s="1170" t="s">
        <v>188</v>
      </c>
      <c r="E1239" s="1462" t="s">
        <v>813</v>
      </c>
      <c r="F1239" s="1462" t="s">
        <v>2803</v>
      </c>
      <c r="G1239" s="1311" t="s">
        <v>1829</v>
      </c>
      <c r="H1239" s="1172"/>
      <c r="I1239" s="1172"/>
      <c r="J1239" s="1172">
        <f>2304331+622169</f>
        <v>2926500</v>
      </c>
      <c r="K1239" s="1172"/>
      <c r="L1239" s="1173"/>
      <c r="M1239" s="1172"/>
      <c r="N1239" s="1172"/>
      <c r="O1239" s="1172"/>
      <c r="P1239" s="1174"/>
      <c r="Q1239" s="1175"/>
      <c r="R1239" s="1172"/>
      <c r="S1239" s="1172"/>
      <c r="T1239" s="1172"/>
      <c r="U1239" s="1172"/>
      <c r="V1239" s="1172"/>
      <c r="W1239" s="1172"/>
      <c r="X1239" s="1176"/>
    </row>
    <row r="1240" spans="1:24" ht="36" customHeight="1" x14ac:dyDescent="0.2">
      <c r="A1240" s="2052" t="s">
        <v>3195</v>
      </c>
      <c r="B1240" s="2054" t="s">
        <v>302</v>
      </c>
      <c r="C1240" s="2056" t="s">
        <v>3450</v>
      </c>
      <c r="D1240" s="1170" t="s">
        <v>195</v>
      </c>
      <c r="E1240" s="1462" t="s">
        <v>74</v>
      </c>
      <c r="F1240" s="1462" t="s">
        <v>1870</v>
      </c>
      <c r="G1240" s="1311" t="s">
        <v>1828</v>
      </c>
      <c r="H1240" s="1172"/>
      <c r="I1240" s="1172"/>
      <c r="J1240" s="1172"/>
      <c r="K1240" s="1172"/>
      <c r="L1240" s="1173">
        <v>-3998980</v>
      </c>
      <c r="M1240" s="1172"/>
      <c r="N1240" s="1172"/>
      <c r="O1240" s="1172"/>
      <c r="P1240" s="1174"/>
      <c r="Q1240" s="1175"/>
      <c r="R1240" s="1172"/>
      <c r="S1240" s="1172"/>
      <c r="T1240" s="1172"/>
      <c r="U1240" s="1172"/>
      <c r="V1240" s="1172"/>
      <c r="W1240" s="1172"/>
      <c r="X1240" s="1176"/>
    </row>
    <row r="1241" spans="1:24" ht="36" customHeight="1" x14ac:dyDescent="0.2">
      <c r="A1241" s="2053"/>
      <c r="B1241" s="2055"/>
      <c r="C1241" s="2057"/>
      <c r="D1241" s="1170" t="s">
        <v>188</v>
      </c>
      <c r="E1241" s="1462" t="s">
        <v>545</v>
      </c>
      <c r="F1241" s="1462" t="s">
        <v>831</v>
      </c>
      <c r="G1241" s="1311" t="s">
        <v>1829</v>
      </c>
      <c r="H1241" s="1172"/>
      <c r="I1241" s="1172"/>
      <c r="J1241" s="1172">
        <f>3574000+424980</f>
        <v>3998980</v>
      </c>
      <c r="K1241" s="1172"/>
      <c r="L1241" s="1173"/>
      <c r="M1241" s="1172"/>
      <c r="N1241" s="1172"/>
      <c r="O1241" s="1172"/>
      <c r="P1241" s="1174"/>
      <c r="Q1241" s="1175"/>
      <c r="R1241" s="1172"/>
      <c r="S1241" s="1172"/>
      <c r="T1241" s="1172"/>
      <c r="U1241" s="1172"/>
      <c r="V1241" s="1172"/>
      <c r="W1241" s="1172"/>
      <c r="X1241" s="1176"/>
    </row>
    <row r="1242" spans="1:24" ht="26.25" customHeight="1" x14ac:dyDescent="0.2">
      <c r="A1242" s="2052" t="s">
        <v>3198</v>
      </c>
      <c r="B1242" s="2054" t="s">
        <v>303</v>
      </c>
      <c r="C1242" s="2056" t="s">
        <v>3313</v>
      </c>
      <c r="D1242" s="1170" t="s">
        <v>188</v>
      </c>
      <c r="E1242" s="1462" t="s">
        <v>1399</v>
      </c>
      <c r="F1242" s="1462" t="s">
        <v>1389</v>
      </c>
      <c r="G1242" s="1311" t="s">
        <v>1829</v>
      </c>
      <c r="H1242" s="1172"/>
      <c r="I1242" s="1172"/>
      <c r="J1242" s="1172"/>
      <c r="K1242" s="1172"/>
      <c r="L1242" s="1173"/>
      <c r="M1242" s="1172"/>
      <c r="N1242" s="1172"/>
      <c r="O1242" s="1172"/>
      <c r="P1242" s="1174"/>
      <c r="Q1242" s="1175"/>
      <c r="R1242" s="1172"/>
      <c r="S1242" s="1172">
        <f>24578635+47403683+299521</f>
        <v>72281839</v>
      </c>
      <c r="T1242" s="1172"/>
      <c r="U1242" s="1172"/>
      <c r="V1242" s="1172"/>
      <c r="W1242" s="1172"/>
      <c r="X1242" s="1176"/>
    </row>
    <row r="1243" spans="1:24" ht="26.25" customHeight="1" x14ac:dyDescent="0.2">
      <c r="A1243" s="2053"/>
      <c r="B1243" s="2055"/>
      <c r="C1243" s="2057"/>
      <c r="D1243" s="1170" t="s">
        <v>195</v>
      </c>
      <c r="E1243" s="1462" t="s">
        <v>74</v>
      </c>
      <c r="F1243" s="1462" t="s">
        <v>1870</v>
      </c>
      <c r="G1243" s="1311" t="s">
        <v>1829</v>
      </c>
      <c r="H1243" s="1172"/>
      <c r="I1243" s="1172"/>
      <c r="J1243" s="1172"/>
      <c r="K1243" s="1172"/>
      <c r="L1243" s="1173">
        <v>72281839</v>
      </c>
      <c r="M1243" s="1172"/>
      <c r="N1243" s="1172"/>
      <c r="O1243" s="1172"/>
      <c r="P1243" s="1174"/>
      <c r="Q1243" s="1175"/>
      <c r="R1243" s="1172"/>
      <c r="S1243" s="1172"/>
      <c r="T1243" s="1172"/>
      <c r="U1243" s="1172"/>
      <c r="V1243" s="1172"/>
      <c r="W1243" s="1172"/>
      <c r="X1243" s="1176"/>
    </row>
    <row r="1244" spans="1:24" ht="26.25" customHeight="1" x14ac:dyDescent="0.2">
      <c r="A1244" s="2052" t="s">
        <v>3200</v>
      </c>
      <c r="B1244" s="2054" t="s">
        <v>304</v>
      </c>
      <c r="C1244" s="2056" t="s">
        <v>3473</v>
      </c>
      <c r="D1244" s="1170" t="s">
        <v>188</v>
      </c>
      <c r="E1244" s="1462" t="s">
        <v>130</v>
      </c>
      <c r="F1244" s="1462" t="s">
        <v>3270</v>
      </c>
      <c r="G1244" s="1311" t="s">
        <v>1829</v>
      </c>
      <c r="H1244" s="1172"/>
      <c r="I1244" s="1172"/>
      <c r="J1244" s="1172"/>
      <c r="K1244" s="1172"/>
      <c r="L1244" s="1173"/>
      <c r="M1244" s="1172"/>
      <c r="N1244" s="1172"/>
      <c r="O1244" s="1172"/>
      <c r="P1244" s="1174"/>
      <c r="Q1244" s="1175"/>
      <c r="R1244" s="1172"/>
      <c r="S1244" s="1172"/>
      <c r="T1244" s="1172"/>
      <c r="U1244" s="1172"/>
      <c r="V1244" s="1172"/>
      <c r="W1244" s="1172">
        <v>2023579</v>
      </c>
      <c r="X1244" s="1176"/>
    </row>
    <row r="1245" spans="1:24" ht="26.25" customHeight="1" x14ac:dyDescent="0.2">
      <c r="A1245" s="2053"/>
      <c r="B1245" s="2055"/>
      <c r="C1245" s="2057"/>
      <c r="D1245" s="1170" t="s">
        <v>195</v>
      </c>
      <c r="E1245" s="1462" t="s">
        <v>74</v>
      </c>
      <c r="F1245" s="1462" t="s">
        <v>1870</v>
      </c>
      <c r="G1245" s="1311" t="s">
        <v>1829</v>
      </c>
      <c r="H1245" s="1172"/>
      <c r="I1245" s="1172"/>
      <c r="J1245" s="1172"/>
      <c r="K1245" s="1172"/>
      <c r="L1245" s="1173">
        <v>2023579</v>
      </c>
      <c r="M1245" s="1172"/>
      <c r="N1245" s="1172"/>
      <c r="O1245" s="1172"/>
      <c r="P1245" s="1174"/>
      <c r="Q1245" s="1175"/>
      <c r="R1245" s="1172"/>
      <c r="S1245" s="1172"/>
      <c r="T1245" s="1172"/>
      <c r="U1245" s="1172"/>
      <c r="V1245" s="1172"/>
      <c r="W1245" s="1172"/>
      <c r="X1245" s="1176"/>
    </row>
    <row r="1246" spans="1:24" ht="26.25" customHeight="1" x14ac:dyDescent="0.2">
      <c r="A1246" s="2052" t="s">
        <v>3202</v>
      </c>
      <c r="B1246" s="2054" t="s">
        <v>3455</v>
      </c>
      <c r="C1246" s="2056" t="s">
        <v>3454</v>
      </c>
      <c r="D1246" s="1170" t="s">
        <v>193</v>
      </c>
      <c r="E1246" s="1462" t="s">
        <v>547</v>
      </c>
      <c r="F1246" s="1462" t="s">
        <v>133</v>
      </c>
      <c r="G1246" s="1311" t="s">
        <v>1828</v>
      </c>
      <c r="H1246" s="1172"/>
      <c r="I1246" s="1172"/>
      <c r="J1246" s="1172"/>
      <c r="K1246" s="1172"/>
      <c r="L1246" s="1173"/>
      <c r="M1246" s="1172">
        <f>-10946000-216000</f>
        <v>-11162000</v>
      </c>
      <c r="N1246" s="1172"/>
      <c r="O1246" s="1172"/>
      <c r="P1246" s="1174"/>
      <c r="Q1246" s="1175"/>
      <c r="R1246" s="1172"/>
      <c r="S1246" s="1172"/>
      <c r="T1246" s="1172"/>
      <c r="U1246" s="1172"/>
      <c r="V1246" s="1172"/>
      <c r="W1246" s="1172"/>
      <c r="X1246" s="1176"/>
    </row>
    <row r="1247" spans="1:24" ht="26.25" customHeight="1" x14ac:dyDescent="0.2">
      <c r="A1247" s="2053"/>
      <c r="B1247" s="2055"/>
      <c r="C1247" s="2057"/>
      <c r="D1247" s="1170" t="s">
        <v>193</v>
      </c>
      <c r="E1247" s="1462" t="s">
        <v>547</v>
      </c>
      <c r="F1247" s="1462" t="s">
        <v>748</v>
      </c>
      <c r="G1247" s="1311" t="s">
        <v>1829</v>
      </c>
      <c r="H1247" s="1172"/>
      <c r="I1247" s="1172"/>
      <c r="J1247" s="1172"/>
      <c r="K1247" s="1172"/>
      <c r="L1247" s="1173"/>
      <c r="M1247" s="1172">
        <f>10946000+216000</f>
        <v>11162000</v>
      </c>
      <c r="N1247" s="1172"/>
      <c r="O1247" s="1172"/>
      <c r="P1247" s="1174"/>
      <c r="Q1247" s="1175"/>
      <c r="R1247" s="1172"/>
      <c r="S1247" s="1172"/>
      <c r="T1247" s="1172"/>
      <c r="U1247" s="1172"/>
      <c r="V1247" s="1172"/>
      <c r="W1247" s="1172"/>
      <c r="X1247" s="1176"/>
    </row>
    <row r="1248" spans="1:24" ht="27.75" customHeight="1" x14ac:dyDescent="0.2">
      <c r="A1248" s="2052" t="s">
        <v>3206</v>
      </c>
      <c r="B1248" s="2054" t="s">
        <v>307</v>
      </c>
      <c r="C1248" s="2056" t="s">
        <v>3456</v>
      </c>
      <c r="D1248" s="1170" t="s">
        <v>193</v>
      </c>
      <c r="E1248" s="1462" t="s">
        <v>547</v>
      </c>
      <c r="F1248" s="1462" t="s">
        <v>133</v>
      </c>
      <c r="G1248" s="1311" t="s">
        <v>1828</v>
      </c>
      <c r="H1248" s="1172"/>
      <c r="I1248" s="1172"/>
      <c r="J1248" s="1172"/>
      <c r="K1248" s="1172"/>
      <c r="L1248" s="1173"/>
      <c r="M1248" s="1172">
        <f>-1200000-324000</f>
        <v>-1524000</v>
      </c>
      <c r="N1248" s="1172"/>
      <c r="O1248" s="1172"/>
      <c r="P1248" s="1174"/>
      <c r="Q1248" s="1175"/>
      <c r="R1248" s="1172"/>
      <c r="S1248" s="1172"/>
      <c r="T1248" s="1172"/>
      <c r="U1248" s="1172"/>
      <c r="V1248" s="1172"/>
      <c r="W1248" s="1172"/>
      <c r="X1248" s="1176"/>
    </row>
    <row r="1249" spans="1:24" ht="27.75" customHeight="1" x14ac:dyDescent="0.2">
      <c r="A1249" s="2053"/>
      <c r="B1249" s="2055"/>
      <c r="C1249" s="2057"/>
      <c r="D1249" s="1170" t="s">
        <v>193</v>
      </c>
      <c r="E1249" s="1462" t="s">
        <v>547</v>
      </c>
      <c r="F1249" s="1462" t="s">
        <v>748</v>
      </c>
      <c r="G1249" s="1311" t="s">
        <v>1829</v>
      </c>
      <c r="H1249" s="1172"/>
      <c r="I1249" s="1172"/>
      <c r="J1249" s="1172"/>
      <c r="K1249" s="1172"/>
      <c r="L1249" s="1173"/>
      <c r="M1249" s="1172">
        <f>1200000+324000</f>
        <v>1524000</v>
      </c>
      <c r="N1249" s="1172"/>
      <c r="O1249" s="1172"/>
      <c r="P1249" s="1174"/>
      <c r="Q1249" s="1175"/>
      <c r="R1249" s="1172"/>
      <c r="S1249" s="1172"/>
      <c r="T1249" s="1172"/>
      <c r="U1249" s="1172"/>
      <c r="V1249" s="1172"/>
      <c r="W1249" s="1172"/>
      <c r="X1249" s="1176"/>
    </row>
    <row r="1250" spans="1:24" ht="30" customHeight="1" x14ac:dyDescent="0.2">
      <c r="A1250" s="2052" t="s">
        <v>3209</v>
      </c>
      <c r="B1250" s="2054" t="s">
        <v>3458</v>
      </c>
      <c r="C1250" s="2056" t="s">
        <v>3457</v>
      </c>
      <c r="D1250" s="1170" t="s">
        <v>193</v>
      </c>
      <c r="E1250" s="1462" t="s">
        <v>130</v>
      </c>
      <c r="F1250" s="1462" t="s">
        <v>152</v>
      </c>
      <c r="G1250" s="1311" t="s">
        <v>1828</v>
      </c>
      <c r="H1250" s="1172"/>
      <c r="I1250" s="1172"/>
      <c r="J1250" s="1172"/>
      <c r="K1250" s="1172"/>
      <c r="L1250" s="1173"/>
      <c r="M1250" s="1172">
        <f>-6650000-9200000-229500</f>
        <v>-16079500</v>
      </c>
      <c r="N1250" s="1172"/>
      <c r="O1250" s="1172"/>
      <c r="P1250" s="1174"/>
      <c r="Q1250" s="1175"/>
      <c r="R1250" s="1172"/>
      <c r="S1250" s="1172"/>
      <c r="T1250" s="1172"/>
      <c r="U1250" s="1172"/>
      <c r="V1250" s="1172"/>
      <c r="W1250" s="1172"/>
      <c r="X1250" s="1176"/>
    </row>
    <row r="1251" spans="1:24" ht="30" customHeight="1" x14ac:dyDescent="0.2">
      <c r="A1251" s="2053"/>
      <c r="B1251" s="2055"/>
      <c r="C1251" s="2057"/>
      <c r="D1251" s="1170" t="s">
        <v>193</v>
      </c>
      <c r="E1251" s="1462" t="s">
        <v>130</v>
      </c>
      <c r="F1251" s="1462" t="s">
        <v>129</v>
      </c>
      <c r="G1251" s="1311" t="s">
        <v>1829</v>
      </c>
      <c r="H1251" s="1172"/>
      <c r="I1251" s="1172"/>
      <c r="J1251" s="1172"/>
      <c r="K1251" s="1172"/>
      <c r="L1251" s="1173"/>
      <c r="M1251" s="1172">
        <f>6650000+9200000+229500</f>
        <v>16079500</v>
      </c>
      <c r="N1251" s="1172"/>
      <c r="O1251" s="1172"/>
      <c r="P1251" s="1174"/>
      <c r="Q1251" s="1175"/>
      <c r="R1251" s="1172"/>
      <c r="S1251" s="1172"/>
      <c r="T1251" s="1172"/>
      <c r="U1251" s="1172"/>
      <c r="V1251" s="1172"/>
      <c r="W1251" s="1172"/>
      <c r="X1251" s="1176"/>
    </row>
    <row r="1252" spans="1:24" ht="22.5" customHeight="1" x14ac:dyDescent="0.2">
      <c r="A1252" s="2052" t="s">
        <v>3212</v>
      </c>
      <c r="B1252" s="2054" t="s">
        <v>732</v>
      </c>
      <c r="C1252" s="2056" t="s">
        <v>3459</v>
      </c>
      <c r="D1252" s="1170" t="s">
        <v>188</v>
      </c>
      <c r="E1252" s="1462" t="s">
        <v>590</v>
      </c>
      <c r="F1252" s="1462" t="s">
        <v>442</v>
      </c>
      <c r="G1252" s="1311" t="s">
        <v>1828</v>
      </c>
      <c r="H1252" s="1172"/>
      <c r="I1252" s="1172"/>
      <c r="J1252" s="1172">
        <f>-100000-27000</f>
        <v>-127000</v>
      </c>
      <c r="K1252" s="1172"/>
      <c r="L1252" s="1173"/>
      <c r="M1252" s="1172"/>
      <c r="N1252" s="1172"/>
      <c r="O1252" s="1172"/>
      <c r="P1252" s="1174"/>
      <c r="Q1252" s="1175"/>
      <c r="R1252" s="1172"/>
      <c r="S1252" s="1172"/>
      <c r="T1252" s="1172"/>
      <c r="U1252" s="1172"/>
      <c r="V1252" s="1172"/>
      <c r="W1252" s="1172"/>
      <c r="X1252" s="1176"/>
    </row>
    <row r="1253" spans="1:24" ht="22.5" customHeight="1" x14ac:dyDescent="0.2">
      <c r="A1253" s="2053"/>
      <c r="B1253" s="2055"/>
      <c r="C1253" s="2057"/>
      <c r="D1253" s="1170" t="s">
        <v>193</v>
      </c>
      <c r="E1253" s="1462" t="s">
        <v>590</v>
      </c>
      <c r="F1253" s="1462" t="s">
        <v>442</v>
      </c>
      <c r="G1253" s="1311" t="s">
        <v>1829</v>
      </c>
      <c r="H1253" s="1172"/>
      <c r="I1253" s="1172"/>
      <c r="J1253" s="1172"/>
      <c r="K1253" s="1172"/>
      <c r="L1253" s="1173"/>
      <c r="M1253" s="1172">
        <f>100000+27000</f>
        <v>127000</v>
      </c>
      <c r="N1253" s="1172"/>
      <c r="O1253" s="1172"/>
      <c r="P1253" s="1174"/>
      <c r="Q1253" s="1175"/>
      <c r="R1253" s="1172"/>
      <c r="S1253" s="1172"/>
      <c r="T1253" s="1172"/>
      <c r="U1253" s="1172"/>
      <c r="V1253" s="1172"/>
      <c r="W1253" s="1172"/>
      <c r="X1253" s="1176"/>
    </row>
    <row r="1254" spans="1:24" ht="34.5" customHeight="1" x14ac:dyDescent="0.2">
      <c r="A1254" s="1491" t="s">
        <v>3460</v>
      </c>
      <c r="B1254" s="1490" t="s">
        <v>310</v>
      </c>
      <c r="C1254" s="1631" t="s">
        <v>3461</v>
      </c>
      <c r="D1254" s="1170" t="s">
        <v>188</v>
      </c>
      <c r="E1254" s="1462" t="s">
        <v>590</v>
      </c>
      <c r="F1254" s="1462" t="s">
        <v>442</v>
      </c>
      <c r="G1254" s="1311" t="s">
        <v>1828</v>
      </c>
      <c r="H1254" s="1172"/>
      <c r="I1254" s="1172"/>
      <c r="J1254" s="1172">
        <f>-944359-1618601</f>
        <v>-2562960</v>
      </c>
      <c r="K1254" s="1172"/>
      <c r="L1254" s="1173"/>
      <c r="M1254" s="1172"/>
      <c r="N1254" s="1172"/>
      <c r="O1254" s="1172"/>
      <c r="P1254" s="1174"/>
      <c r="Q1254" s="1175"/>
      <c r="R1254" s="1172"/>
      <c r="S1254" s="1172"/>
      <c r="T1254" s="1172">
        <f>-944359-1618601</f>
        <v>-2562960</v>
      </c>
      <c r="U1254" s="1172"/>
      <c r="V1254" s="1172"/>
      <c r="W1254" s="1172"/>
      <c r="X1254" s="1176"/>
    </row>
    <row r="1255" spans="1:24" ht="23.25" customHeight="1" x14ac:dyDescent="0.2">
      <c r="A1255" s="2052" t="s">
        <v>3216</v>
      </c>
      <c r="B1255" s="2054" t="s">
        <v>311</v>
      </c>
      <c r="C1255" s="2056" t="s">
        <v>3462</v>
      </c>
      <c r="D1255" s="1170" t="s">
        <v>188</v>
      </c>
      <c r="E1255" s="1462" t="s">
        <v>620</v>
      </c>
      <c r="F1255" s="1462" t="s">
        <v>68</v>
      </c>
      <c r="G1255" s="1311" t="s">
        <v>1828</v>
      </c>
      <c r="H1255" s="1172"/>
      <c r="I1255" s="1172"/>
      <c r="J1255" s="1172"/>
      <c r="K1255" s="1172"/>
      <c r="L1255" s="1173"/>
      <c r="M1255" s="1172"/>
      <c r="N1255" s="1172"/>
      <c r="O1255" s="1172"/>
      <c r="P1255" s="1174"/>
      <c r="Q1255" s="1175"/>
      <c r="R1255" s="1172"/>
      <c r="S1255" s="1172"/>
      <c r="T1255" s="1172"/>
      <c r="U1255" s="1172">
        <v>-522522</v>
      </c>
      <c r="V1255" s="1172"/>
      <c r="W1255" s="1172"/>
      <c r="X1255" s="1176"/>
    </row>
    <row r="1256" spans="1:24" ht="23.25" customHeight="1" x14ac:dyDescent="0.2">
      <c r="A1256" s="2053"/>
      <c r="B1256" s="2055"/>
      <c r="C1256" s="2057"/>
      <c r="D1256" s="1170" t="s">
        <v>195</v>
      </c>
      <c r="E1256" s="1462" t="s">
        <v>74</v>
      </c>
      <c r="F1256" s="1462" t="s">
        <v>1870</v>
      </c>
      <c r="G1256" s="1311" t="s">
        <v>1829</v>
      </c>
      <c r="H1256" s="1172"/>
      <c r="I1256" s="1172"/>
      <c r="J1256" s="1172"/>
      <c r="K1256" s="1172"/>
      <c r="L1256" s="1173">
        <v>-522522</v>
      </c>
      <c r="M1256" s="1172"/>
      <c r="N1256" s="1172"/>
      <c r="O1256" s="1172"/>
      <c r="P1256" s="1174"/>
      <c r="Q1256" s="1175"/>
      <c r="R1256" s="1172"/>
      <c r="S1256" s="1172"/>
      <c r="T1256" s="1172"/>
      <c r="U1256" s="1172"/>
      <c r="V1256" s="1172"/>
      <c r="W1256" s="1172"/>
      <c r="X1256" s="1176"/>
    </row>
    <row r="1257" spans="1:24" ht="24" customHeight="1" x14ac:dyDescent="0.2">
      <c r="A1257" s="2052" t="s">
        <v>3218</v>
      </c>
      <c r="B1257" s="2054" t="s">
        <v>733</v>
      </c>
      <c r="C1257" s="2056" t="s">
        <v>3463</v>
      </c>
      <c r="D1257" s="1170" t="s">
        <v>188</v>
      </c>
      <c r="E1257" s="1462" t="s">
        <v>131</v>
      </c>
      <c r="F1257" s="1462" t="s">
        <v>1856</v>
      </c>
      <c r="G1257" s="1311" t="s">
        <v>1828</v>
      </c>
      <c r="H1257" s="1172"/>
      <c r="I1257" s="1172"/>
      <c r="J1257" s="1172"/>
      <c r="K1257" s="1172"/>
      <c r="L1257" s="1173"/>
      <c r="M1257" s="1172"/>
      <c r="N1257" s="1172"/>
      <c r="O1257" s="1172"/>
      <c r="P1257" s="1174"/>
      <c r="Q1257" s="1175"/>
      <c r="R1257" s="1172"/>
      <c r="S1257" s="1172"/>
      <c r="T1257" s="1172">
        <v>-430631</v>
      </c>
      <c r="U1257" s="1172"/>
      <c r="V1257" s="1172"/>
      <c r="W1257" s="1172"/>
      <c r="X1257" s="1176"/>
    </row>
    <row r="1258" spans="1:24" ht="24" customHeight="1" x14ac:dyDescent="0.2">
      <c r="A1258" s="2053"/>
      <c r="B1258" s="2055"/>
      <c r="C1258" s="2057"/>
      <c r="D1258" s="1170" t="s">
        <v>195</v>
      </c>
      <c r="E1258" s="1462" t="s">
        <v>74</v>
      </c>
      <c r="F1258" s="1462" t="s">
        <v>1870</v>
      </c>
      <c r="G1258" s="1311" t="s">
        <v>1828</v>
      </c>
      <c r="H1258" s="1172"/>
      <c r="I1258" s="1172"/>
      <c r="J1258" s="1172"/>
      <c r="K1258" s="1172"/>
      <c r="L1258" s="1173">
        <v>-430631</v>
      </c>
      <c r="M1258" s="1172"/>
      <c r="N1258" s="1172"/>
      <c r="O1258" s="1172"/>
      <c r="P1258" s="1174"/>
      <c r="Q1258" s="1175"/>
      <c r="R1258" s="1172"/>
      <c r="S1258" s="1172"/>
      <c r="T1258" s="1172"/>
      <c r="U1258" s="1172"/>
      <c r="V1258" s="1172"/>
      <c r="W1258" s="1172"/>
      <c r="X1258" s="1176"/>
    </row>
    <row r="1259" spans="1:24" ht="33.75" customHeight="1" x14ac:dyDescent="0.2">
      <c r="A1259" s="1491" t="s">
        <v>3221</v>
      </c>
      <c r="B1259" s="1490" t="s">
        <v>734</v>
      </c>
      <c r="C1259" s="1631" t="s">
        <v>3464</v>
      </c>
      <c r="D1259" s="1170" t="s">
        <v>188</v>
      </c>
      <c r="E1259" s="1462" t="s">
        <v>620</v>
      </c>
      <c r="F1259" s="1462" t="s">
        <v>1857</v>
      </c>
      <c r="G1259" s="1311" t="s">
        <v>1828</v>
      </c>
      <c r="H1259" s="1172"/>
      <c r="I1259" s="1172"/>
      <c r="J1259" s="1172">
        <f>-906733-2579</f>
        <v>-909312</v>
      </c>
      <c r="K1259" s="1172"/>
      <c r="L1259" s="1173"/>
      <c r="M1259" s="1172"/>
      <c r="N1259" s="1172"/>
      <c r="O1259" s="1172"/>
      <c r="P1259" s="1174"/>
      <c r="Q1259" s="1175"/>
      <c r="R1259" s="1172"/>
      <c r="S1259" s="1172"/>
      <c r="T1259" s="1172">
        <f>-897164-2579-9569</f>
        <v>-909312</v>
      </c>
      <c r="U1259" s="1172"/>
      <c r="V1259" s="1172"/>
      <c r="W1259" s="1172"/>
      <c r="X1259" s="1176"/>
    </row>
    <row r="1260" spans="1:24" ht="26.25" customHeight="1" x14ac:dyDescent="0.2">
      <c r="A1260" s="2052" t="s">
        <v>3223</v>
      </c>
      <c r="B1260" s="2054" t="s">
        <v>156</v>
      </c>
      <c r="C1260" s="2056" t="s">
        <v>3465</v>
      </c>
      <c r="D1260" s="1170" t="s">
        <v>188</v>
      </c>
      <c r="E1260" s="1462" t="s">
        <v>542</v>
      </c>
      <c r="F1260" s="1462" t="s">
        <v>447</v>
      </c>
      <c r="G1260" s="1311" t="s">
        <v>1828</v>
      </c>
      <c r="H1260" s="1172"/>
      <c r="I1260" s="1172"/>
      <c r="J1260" s="1172">
        <f>-116221-72147</f>
        <v>-188368</v>
      </c>
      <c r="K1260" s="1172"/>
      <c r="L1260" s="1173"/>
      <c r="M1260" s="1172"/>
      <c r="N1260" s="1172"/>
      <c r="O1260" s="1172"/>
      <c r="P1260" s="1174"/>
      <c r="Q1260" s="1175"/>
      <c r="R1260" s="1172"/>
      <c r="S1260" s="1172"/>
      <c r="T1260" s="1172">
        <f>-72147-116221</f>
        <v>-188368</v>
      </c>
      <c r="U1260" s="1172"/>
      <c r="V1260" s="1172"/>
      <c r="W1260" s="1172"/>
      <c r="X1260" s="1176"/>
    </row>
    <row r="1261" spans="1:24" ht="26.25" customHeight="1" x14ac:dyDescent="0.2">
      <c r="A1261" s="2053"/>
      <c r="B1261" s="2055"/>
      <c r="C1261" s="2057"/>
      <c r="D1261" s="1170" t="s">
        <v>188</v>
      </c>
      <c r="E1261" s="1462" t="s">
        <v>542</v>
      </c>
      <c r="F1261" s="1462" t="s">
        <v>449</v>
      </c>
      <c r="G1261" s="1311" t="s">
        <v>1828</v>
      </c>
      <c r="H1261" s="1172"/>
      <c r="I1261" s="1172"/>
      <c r="J1261" s="1172">
        <f>-797441-85334</f>
        <v>-882775</v>
      </c>
      <c r="K1261" s="1172"/>
      <c r="L1261" s="1173"/>
      <c r="M1261" s="1172"/>
      <c r="N1261" s="1172"/>
      <c r="O1261" s="1172"/>
      <c r="P1261" s="1174"/>
      <c r="Q1261" s="1175"/>
      <c r="R1261" s="1172"/>
      <c r="S1261" s="1172"/>
      <c r="T1261" s="1172">
        <f>-583013-214428-85334</f>
        <v>-882775</v>
      </c>
      <c r="U1261" s="1172"/>
      <c r="V1261" s="1172"/>
      <c r="W1261" s="1172"/>
      <c r="X1261" s="1176"/>
    </row>
    <row r="1262" spans="1:24" ht="39.75" customHeight="1" x14ac:dyDescent="0.2">
      <c r="A1262" s="1491" t="s">
        <v>3225</v>
      </c>
      <c r="B1262" s="1490" t="s">
        <v>312</v>
      </c>
      <c r="C1262" s="1631" t="s">
        <v>3466</v>
      </c>
      <c r="D1262" s="1170" t="s">
        <v>188</v>
      </c>
      <c r="E1262" s="1462" t="s">
        <v>1861</v>
      </c>
      <c r="F1262" s="1462" t="s">
        <v>1859</v>
      </c>
      <c r="G1262" s="1311" t="s">
        <v>1828</v>
      </c>
      <c r="H1262" s="1172"/>
      <c r="I1262" s="1172"/>
      <c r="J1262" s="1172">
        <f>-308261-80574</f>
        <v>-388835</v>
      </c>
      <c r="K1262" s="1172"/>
      <c r="L1262" s="1173"/>
      <c r="M1262" s="1172"/>
      <c r="N1262" s="1172"/>
      <c r="O1262" s="1172"/>
      <c r="P1262" s="1174"/>
      <c r="Q1262" s="1175"/>
      <c r="R1262" s="1172"/>
      <c r="S1262" s="1172"/>
      <c r="T1262" s="1172">
        <f>-308261-80574</f>
        <v>-388835</v>
      </c>
      <c r="U1262" s="1172"/>
      <c r="V1262" s="1172"/>
      <c r="W1262" s="1172"/>
      <c r="X1262" s="1176"/>
    </row>
    <row r="1263" spans="1:24" ht="24.75" customHeight="1" x14ac:dyDescent="0.2">
      <c r="A1263" s="2052" t="s">
        <v>3227</v>
      </c>
      <c r="B1263" s="2054" t="s">
        <v>735</v>
      </c>
      <c r="C1263" s="2056" t="s">
        <v>3467</v>
      </c>
      <c r="D1263" s="1170" t="s">
        <v>188</v>
      </c>
      <c r="E1263" s="1462" t="s">
        <v>131</v>
      </c>
      <c r="F1263" s="1462" t="s">
        <v>153</v>
      </c>
      <c r="G1263" s="1311" t="s">
        <v>1828</v>
      </c>
      <c r="H1263" s="1172"/>
      <c r="I1263" s="1172"/>
      <c r="J1263" s="1172">
        <f>-6666333-7558459</f>
        <v>-14224792</v>
      </c>
      <c r="K1263" s="1172"/>
      <c r="L1263" s="1173"/>
      <c r="M1263" s="1172"/>
      <c r="N1263" s="1172"/>
      <c r="O1263" s="1172"/>
      <c r="P1263" s="1174"/>
      <c r="Q1263" s="1175"/>
      <c r="R1263" s="1172"/>
      <c r="S1263" s="1172"/>
      <c r="T1263" s="1172">
        <f>-7405229-7203049</f>
        <v>-14608278</v>
      </c>
      <c r="U1263" s="1172"/>
      <c r="V1263" s="1172"/>
      <c r="W1263" s="1172"/>
      <c r="X1263" s="1176"/>
    </row>
    <row r="1264" spans="1:24" ht="24.75" customHeight="1" x14ac:dyDescent="0.2">
      <c r="A1264" s="2061"/>
      <c r="B1264" s="2060"/>
      <c r="C1264" s="2065"/>
      <c r="D1264" s="1170" t="s">
        <v>188</v>
      </c>
      <c r="E1264" s="1462" t="s">
        <v>131</v>
      </c>
      <c r="F1264" s="1462" t="s">
        <v>154</v>
      </c>
      <c r="G1264" s="1311" t="s">
        <v>1828</v>
      </c>
      <c r="H1264" s="1172"/>
      <c r="I1264" s="1172"/>
      <c r="J1264" s="1172"/>
      <c r="K1264" s="1172"/>
      <c r="L1264" s="1173"/>
      <c r="M1264" s="1172"/>
      <c r="N1264" s="1172"/>
      <c r="O1264" s="1172"/>
      <c r="P1264" s="1174"/>
      <c r="Q1264" s="1175"/>
      <c r="R1264" s="1172"/>
      <c r="S1264" s="1172"/>
      <c r="T1264" s="1172">
        <v>-86298</v>
      </c>
      <c r="U1264" s="1172"/>
      <c r="V1264" s="1172"/>
      <c r="W1264" s="1172"/>
      <c r="X1264" s="1176"/>
    </row>
    <row r="1265" spans="1:24" ht="24.75" customHeight="1" x14ac:dyDescent="0.2">
      <c r="A1265" s="2061"/>
      <c r="B1265" s="2060"/>
      <c r="C1265" s="2065"/>
      <c r="D1265" s="1170" t="s">
        <v>188</v>
      </c>
      <c r="E1265" s="1462" t="s">
        <v>1399</v>
      </c>
      <c r="F1265" s="1462" t="s">
        <v>1389</v>
      </c>
      <c r="G1265" s="1311" t="s">
        <v>1828</v>
      </c>
      <c r="H1265" s="1172"/>
      <c r="I1265" s="1172"/>
      <c r="J1265" s="1172"/>
      <c r="K1265" s="1172"/>
      <c r="L1265" s="1173"/>
      <c r="M1265" s="1172"/>
      <c r="N1265" s="1172"/>
      <c r="O1265" s="1172"/>
      <c r="P1265" s="1174"/>
      <c r="Q1265" s="1175"/>
      <c r="R1265" s="1172"/>
      <c r="S1265" s="1172">
        <v>-7329220</v>
      </c>
      <c r="T1265" s="1172"/>
      <c r="U1265" s="1172"/>
      <c r="V1265" s="1172"/>
      <c r="W1265" s="1172"/>
      <c r="X1265" s="1176"/>
    </row>
    <row r="1266" spans="1:24" ht="24.75" customHeight="1" x14ac:dyDescent="0.2">
      <c r="A1266" s="2053"/>
      <c r="B1266" s="2055"/>
      <c r="C1266" s="2057"/>
      <c r="D1266" s="1170" t="s">
        <v>195</v>
      </c>
      <c r="E1266" s="1462" t="s">
        <v>74</v>
      </c>
      <c r="F1266" s="1462" t="s">
        <v>1870</v>
      </c>
      <c r="G1266" s="1311" t="s">
        <v>1828</v>
      </c>
      <c r="H1266" s="1172"/>
      <c r="I1266" s="1172"/>
      <c r="J1266" s="1172"/>
      <c r="K1266" s="1172"/>
      <c r="L1266" s="1173">
        <v>-7799004</v>
      </c>
      <c r="M1266" s="1172"/>
      <c r="N1266" s="1172"/>
      <c r="O1266" s="1172"/>
      <c r="P1266" s="1174"/>
      <c r="Q1266" s="1175"/>
      <c r="R1266" s="1172"/>
      <c r="S1266" s="1172"/>
      <c r="T1266" s="1172"/>
      <c r="U1266" s="1172"/>
      <c r="V1266" s="1172"/>
      <c r="W1266" s="1172"/>
      <c r="X1266" s="1176"/>
    </row>
    <row r="1267" spans="1:24" ht="20.25" customHeight="1" x14ac:dyDescent="0.2">
      <c r="A1267" s="1635"/>
      <c r="B1267" s="1637"/>
      <c r="C1267" s="1563"/>
      <c r="D1267" s="1170"/>
      <c r="E1267" s="1462"/>
      <c r="F1267" s="1462"/>
      <c r="G1267" s="1311"/>
      <c r="H1267" s="1172"/>
      <c r="I1267" s="1172"/>
      <c r="J1267" s="1172"/>
      <c r="K1267" s="1172"/>
      <c r="L1267" s="1173"/>
      <c r="M1267" s="1172"/>
      <c r="N1267" s="1172"/>
      <c r="O1267" s="1172"/>
      <c r="P1267" s="1174"/>
      <c r="Q1267" s="1175"/>
      <c r="R1267" s="1172"/>
      <c r="S1267" s="1172"/>
      <c r="T1267" s="1172"/>
      <c r="U1267" s="1172"/>
      <c r="V1267" s="1172"/>
      <c r="W1267" s="1172"/>
      <c r="X1267" s="1176"/>
    </row>
    <row r="1268" spans="1:24" ht="18.75" x14ac:dyDescent="0.3">
      <c r="A1268" s="2082" t="s">
        <v>1749</v>
      </c>
      <c r="B1268" s="2083"/>
      <c r="C1268" s="2084"/>
      <c r="D1268" s="1179"/>
      <c r="E1268" s="1179"/>
      <c r="F1268" s="1179"/>
      <c r="G1268" s="1179"/>
      <c r="H1268" s="1365">
        <f t="shared" ref="H1268:X1268" si="3">SUM(H903:H1267)+H886</f>
        <v>39048393</v>
      </c>
      <c r="I1268" s="1365">
        <f t="shared" si="3"/>
        <v>4863045</v>
      </c>
      <c r="J1268" s="1365">
        <f t="shared" si="3"/>
        <v>783138158</v>
      </c>
      <c r="K1268" s="1365">
        <f t="shared" si="3"/>
        <v>0</v>
      </c>
      <c r="L1268" s="1365">
        <f t="shared" si="3"/>
        <v>1487643678</v>
      </c>
      <c r="M1268" s="1365">
        <f t="shared" si="3"/>
        <v>879552911</v>
      </c>
      <c r="N1268" s="1365">
        <f t="shared" si="3"/>
        <v>68067759</v>
      </c>
      <c r="O1268" s="1365">
        <f t="shared" si="3"/>
        <v>10657245</v>
      </c>
      <c r="P1268" s="1366">
        <f t="shared" si="3"/>
        <v>525210162</v>
      </c>
      <c r="Q1268" s="1367">
        <f t="shared" si="3"/>
        <v>448271647</v>
      </c>
      <c r="R1268" s="1365">
        <f t="shared" si="3"/>
        <v>369680630</v>
      </c>
      <c r="S1268" s="1365">
        <f t="shared" si="3"/>
        <v>1897511439</v>
      </c>
      <c r="T1268" s="1365">
        <f t="shared" si="3"/>
        <v>281529598</v>
      </c>
      <c r="U1268" s="1365">
        <f t="shared" si="3"/>
        <v>-50004281</v>
      </c>
      <c r="V1268" s="1365">
        <f t="shared" si="3"/>
        <v>500000</v>
      </c>
      <c r="W1268" s="1365">
        <f t="shared" si="3"/>
        <v>3348750</v>
      </c>
      <c r="X1268" s="1366">
        <f t="shared" si="3"/>
        <v>847343568</v>
      </c>
    </row>
    <row r="1269" spans="1:24" ht="15.75" customHeight="1" x14ac:dyDescent="0.2">
      <c r="A1269" s="1144"/>
      <c r="B1269" s="1144"/>
      <c r="C1269" s="1183"/>
      <c r="D1269" s="1184"/>
      <c r="E1269" s="1184"/>
      <c r="F1269" s="1184"/>
      <c r="G1269" s="1184"/>
      <c r="H1269" s="1185">
        <f>+'1.b sz. Önkormányzat  '!CE8-'1.b sz. Önkormányzat  '!CD8</f>
        <v>39048393</v>
      </c>
      <c r="I1269" s="1185">
        <f>+'1.b sz. Önkormányzat  '!CE9-'1.b sz. Önkormányzat  '!CD9</f>
        <v>4863045</v>
      </c>
      <c r="J1269" s="1185">
        <f>+'1.b sz. Önkormányzat  '!CE10-'1.b sz. Önkormányzat  '!CD10</f>
        <v>783138158</v>
      </c>
      <c r="K1269" s="1185">
        <f>+'1.b sz. Önkormányzat  '!CE11-'1.b sz. Önkormányzat  '!CD11</f>
        <v>0</v>
      </c>
      <c r="L1269" s="1185">
        <f>+'1.b sz. Önkormányzat  '!CE12-'1.b sz. Önkormányzat  '!CD12</f>
        <v>1487643678</v>
      </c>
      <c r="M1269" s="1185">
        <f>+'1.b sz. Önkormányzat  '!CE16-'1.b sz. Önkormányzat  '!CD16</f>
        <v>879552911</v>
      </c>
      <c r="N1269" s="1185">
        <f>+'1.b sz. Önkormányzat  '!CE17+-'1.b sz. Önkormányzat  '!CD17</f>
        <v>68067759</v>
      </c>
      <c r="O1269" s="1185">
        <f>+'1.b sz. Önkormányzat  '!CE18-'1.b sz. Önkormányzat  '!CD18</f>
        <v>10657245</v>
      </c>
      <c r="P1269" s="1185">
        <f>+'1.b sz. Önkormányzat  '!CE21+-'1.b sz. Önkormányzat  '!CD21</f>
        <v>525210162</v>
      </c>
      <c r="Q1269" s="1185">
        <f>+'1.b sz. Önkormányzat  '!CE30-'1.b sz. Önkormányzat  '!CD30</f>
        <v>448271647</v>
      </c>
      <c r="R1269" s="1185">
        <f>+'1.b sz. Önkormányzat  '!CE31-'1.b sz. Önkormányzat  '!CD31</f>
        <v>369680630</v>
      </c>
      <c r="S1269" s="1185">
        <f>+'1.b sz. Önkormányzat  '!CE32-'1.b sz. Önkormányzat  '!CD32</f>
        <v>1897511439</v>
      </c>
      <c r="T1269" s="1185">
        <f>+'1.b sz. Önkormányzat  '!CE33-'1.b sz. Önkormányzat  '!CD33</f>
        <v>281529598</v>
      </c>
      <c r="U1269" s="1185">
        <f>+'1.b sz. Önkormányzat  '!CE34-'1.b sz. Önkormányzat  '!CD34</f>
        <v>-50004281</v>
      </c>
      <c r="V1269" s="1185">
        <f>+'1.b sz. Önkormányzat  '!CE35-'1.b sz. Önkormányzat  '!CD35</f>
        <v>500000</v>
      </c>
      <c r="W1269" s="1185">
        <f>+'1.b sz. Önkormányzat  '!CE36-'1.b sz. Önkormányzat  '!CD36</f>
        <v>3348750</v>
      </c>
      <c r="X1269" s="1185">
        <f>+'1.b sz. Önkormányzat  '!CE38-'1.b sz. Önkormányzat  '!CD38</f>
        <v>847343568</v>
      </c>
    </row>
    <row r="1270" spans="1:24" ht="17.25" customHeight="1" x14ac:dyDescent="0.2">
      <c r="A1270" s="1144"/>
      <c r="B1270" s="1144"/>
      <c r="C1270" s="1183"/>
      <c r="D1270" s="1184"/>
      <c r="E1270" s="1184"/>
      <c r="F1270" s="1184"/>
      <c r="G1270" s="1184"/>
      <c r="H1270" s="1185">
        <f>+H1269-H1268</f>
        <v>0</v>
      </c>
      <c r="I1270" s="1185">
        <f t="shared" ref="I1270" si="4">+I1269-I1268</f>
        <v>0</v>
      </c>
      <c r="J1270" s="1185">
        <f>+J1269-J1268</f>
        <v>0</v>
      </c>
      <c r="K1270" s="1185">
        <f t="shared" ref="K1270" si="5">+K1269-K1268</f>
        <v>0</v>
      </c>
      <c r="L1270" s="1185">
        <f>+L1269-L1268</f>
        <v>0</v>
      </c>
      <c r="M1270" s="1185">
        <f>+M1269-M1268</f>
        <v>0</v>
      </c>
      <c r="N1270" s="1185">
        <f t="shared" ref="N1270:O1270" si="6">+N1269-N1268</f>
        <v>0</v>
      </c>
      <c r="O1270" s="1185">
        <f t="shared" si="6"/>
        <v>0</v>
      </c>
      <c r="P1270" s="1185">
        <f>+P1269-P1268</f>
        <v>0</v>
      </c>
      <c r="Q1270" s="1185">
        <f t="shared" ref="Q1270:T1270" si="7">+Q1269-Q1268</f>
        <v>0</v>
      </c>
      <c r="R1270" s="1185">
        <f t="shared" si="7"/>
        <v>0</v>
      </c>
      <c r="S1270" s="1185">
        <f t="shared" si="7"/>
        <v>0</v>
      </c>
      <c r="T1270" s="1185">
        <f t="shared" si="7"/>
        <v>0</v>
      </c>
      <c r="U1270" s="1185">
        <f>+U1269-U1268</f>
        <v>0</v>
      </c>
      <c r="V1270" s="1185">
        <f t="shared" ref="V1270:W1270" si="8">+V1269-V1268</f>
        <v>0</v>
      </c>
      <c r="W1270" s="1185">
        <f t="shared" si="8"/>
        <v>0</v>
      </c>
      <c r="X1270" s="1185">
        <f>+X1269-X1268</f>
        <v>0</v>
      </c>
    </row>
    <row r="1271" spans="1:24" ht="15" x14ac:dyDescent="0.2">
      <c r="A1271" s="1186"/>
      <c r="B1271" s="1186"/>
      <c r="C1271" s="1187"/>
      <c r="D1271" s="1188"/>
      <c r="E1271" s="1188"/>
      <c r="F1271" s="1188"/>
      <c r="G1271" s="1188"/>
      <c r="H1271" s="1189"/>
      <c r="I1271" s="1189"/>
      <c r="J1271" s="1189"/>
      <c r="K1271" s="1189"/>
      <c r="L1271" s="1189"/>
      <c r="M1271" s="1189"/>
      <c r="N1271" s="1189"/>
      <c r="O1271" s="1189"/>
      <c r="P1271" s="1189"/>
      <c r="Q1271" s="1189"/>
      <c r="R1271" s="1189"/>
      <c r="S1271" s="1189"/>
      <c r="T1271" s="1189"/>
      <c r="U1271" s="1189"/>
      <c r="V1271" s="1189"/>
      <c r="W1271" s="1189"/>
      <c r="X1271" s="1189"/>
    </row>
    <row r="1272" spans="1:24" ht="15" x14ac:dyDescent="0.2">
      <c r="A1272" s="1186"/>
      <c r="B1272" s="1186"/>
      <c r="C1272" s="1187"/>
      <c r="D1272" s="1188"/>
      <c r="E1272" s="1188"/>
      <c r="F1272" s="1188"/>
      <c r="G1272" s="1188"/>
      <c r="H1272" s="1189"/>
      <c r="I1272" s="1189"/>
      <c r="J1272" s="1189"/>
      <c r="K1272" s="1189"/>
      <c r="L1272" s="1189"/>
      <c r="M1272" s="1189"/>
      <c r="N1272" s="1189"/>
      <c r="O1272" s="1189"/>
      <c r="P1272" s="1189"/>
      <c r="Q1272" s="1189"/>
      <c r="R1272" s="1189"/>
      <c r="S1272" s="1189"/>
      <c r="T1272" s="1189"/>
      <c r="U1272" s="1189"/>
      <c r="V1272" s="1189"/>
      <c r="W1272" s="1189"/>
      <c r="X1272" s="1189"/>
    </row>
    <row r="1273" spans="1:24" ht="23.25" customHeight="1" x14ac:dyDescent="0.25">
      <c r="A1273" s="1190"/>
      <c r="B1273" s="1190"/>
      <c r="C1273" s="1191"/>
      <c r="D1273" s="1192"/>
      <c r="E1273" s="1192"/>
      <c r="F1273" s="1192"/>
      <c r="G1273" s="1192"/>
      <c r="H1273" s="1193"/>
      <c r="I1273" s="2066" t="s">
        <v>1750</v>
      </c>
      <c r="J1273" s="2066"/>
      <c r="K1273" s="2066"/>
      <c r="L1273" s="2066">
        <v>10895463186</v>
      </c>
      <c r="M1273" s="2066"/>
      <c r="N1273" s="1193"/>
      <c r="O1273" s="1193"/>
      <c r="P1273" s="1193"/>
      <c r="Q1273" s="1193"/>
      <c r="R1273" s="2066" t="s">
        <v>1751</v>
      </c>
      <c r="S1273" s="2066"/>
      <c r="T1273" s="2066"/>
      <c r="U1273" s="2066">
        <v>10895463186</v>
      </c>
      <c r="V1273" s="2066"/>
      <c r="W1273" s="1193"/>
      <c r="X1273" s="1193"/>
    </row>
    <row r="1274" spans="1:24" ht="24.75" customHeight="1" x14ac:dyDescent="0.25">
      <c r="A1274" s="1190"/>
      <c r="B1274" s="1190"/>
      <c r="C1274" s="1191"/>
      <c r="D1274" s="1192"/>
      <c r="E1274" s="1192"/>
      <c r="F1274" s="1192"/>
      <c r="G1274" s="1192"/>
      <c r="H1274" s="1193"/>
      <c r="I1274" s="2066" t="s">
        <v>3474</v>
      </c>
      <c r="J1274" s="2066"/>
      <c r="K1274" s="2066"/>
      <c r="L1274" s="2066">
        <f>SUM(H1269:P1269)</f>
        <v>3798181351</v>
      </c>
      <c r="M1274" s="2066"/>
      <c r="N1274" s="1193"/>
      <c r="O1274" s="1193"/>
      <c r="P1274" s="1193"/>
      <c r="Q1274" s="1193"/>
      <c r="R1274" s="2066" t="s">
        <v>3474</v>
      </c>
      <c r="S1274" s="2066"/>
      <c r="T1274" s="2066"/>
      <c r="U1274" s="2066">
        <f>SUM(Q1269:X1269)</f>
        <v>3798181351</v>
      </c>
      <c r="V1274" s="2066"/>
      <c r="W1274" s="1193"/>
      <c r="X1274" s="1193"/>
    </row>
    <row r="1275" spans="1:24" ht="22.5" customHeight="1" x14ac:dyDescent="0.25">
      <c r="A1275" s="1190"/>
      <c r="B1275" s="1190"/>
      <c r="C1275" s="1191"/>
      <c r="D1275" s="1192"/>
      <c r="E1275" s="1192"/>
      <c r="F1275" s="1192"/>
      <c r="G1275" s="1192"/>
      <c r="H1275" s="1193"/>
      <c r="I1275" s="2066" t="s">
        <v>1561</v>
      </c>
      <c r="J1275" s="2066"/>
      <c r="K1275" s="2066"/>
      <c r="L1275" s="2066">
        <f>+L1273+L1274</f>
        <v>14693644537</v>
      </c>
      <c r="M1275" s="2066"/>
      <c r="N1275" s="1193"/>
      <c r="O1275" s="1193"/>
      <c r="P1275" s="1193"/>
      <c r="Q1275" s="1193"/>
      <c r="R1275" s="2066" t="s">
        <v>1561</v>
      </c>
      <c r="S1275" s="2066"/>
      <c r="T1275" s="2066"/>
      <c r="U1275" s="2066">
        <f>+U1273+U1274</f>
        <v>14693644537</v>
      </c>
      <c r="V1275" s="2066"/>
      <c r="W1275" s="1193"/>
      <c r="X1275" s="1193"/>
    </row>
    <row r="1276" spans="1:24" x14ac:dyDescent="0.2">
      <c r="A1276" s="348"/>
      <c r="B1276" s="348"/>
      <c r="C1276" s="348"/>
      <c r="D1276" s="348"/>
      <c r="E1276" s="348"/>
      <c r="F1276" s="348"/>
      <c r="G1276" s="348"/>
      <c r="H1276" s="348"/>
      <c r="I1276" s="348"/>
      <c r="J1276" s="348"/>
      <c r="K1276" s="348"/>
      <c r="L1276" s="348"/>
      <c r="M1276" s="348"/>
      <c r="N1276" s="348"/>
      <c r="O1276" s="348"/>
      <c r="P1276" s="348"/>
      <c r="Q1276" s="348"/>
      <c r="R1276" s="348"/>
      <c r="S1276" s="348"/>
      <c r="T1276" s="348"/>
      <c r="U1276" s="348"/>
      <c r="V1276" s="348"/>
      <c r="W1276" s="348"/>
      <c r="X1276" s="348"/>
    </row>
    <row r="1277" spans="1:24" x14ac:dyDescent="0.2">
      <c r="A1277" s="348"/>
      <c r="B1277" s="348"/>
      <c r="C1277" s="348"/>
      <c r="D1277" s="348"/>
      <c r="E1277" s="348"/>
      <c r="F1277" s="348"/>
      <c r="G1277" s="348"/>
      <c r="H1277" s="348"/>
      <c r="I1277" s="348"/>
      <c r="J1277" s="348"/>
      <c r="K1277" s="348"/>
      <c r="L1277" s="348"/>
      <c r="M1277" s="348"/>
      <c r="N1277" s="348"/>
      <c r="O1277" s="348"/>
      <c r="P1277" s="348"/>
      <c r="Q1277" s="348"/>
      <c r="R1277" s="348"/>
      <c r="S1277" s="348"/>
      <c r="T1277" s="348"/>
      <c r="U1277" s="348"/>
      <c r="V1277" s="348"/>
      <c r="W1277" s="348"/>
      <c r="X1277" s="348"/>
    </row>
    <row r="1278" spans="1:24" x14ac:dyDescent="0.2">
      <c r="A1278" s="348"/>
      <c r="B1278" s="348"/>
      <c r="C1278" s="348"/>
      <c r="D1278" s="348"/>
      <c r="E1278" s="348"/>
      <c r="F1278" s="348"/>
      <c r="G1278" s="348"/>
      <c r="H1278" s="348"/>
      <c r="I1278" s="348"/>
      <c r="J1278" s="348"/>
      <c r="K1278" s="348"/>
      <c r="L1278" s="348"/>
      <c r="M1278" s="348"/>
      <c r="N1278" s="348"/>
      <c r="O1278" s="348"/>
      <c r="P1278" s="348"/>
      <c r="Q1278" s="348"/>
      <c r="R1278" s="348"/>
      <c r="S1278" s="348"/>
      <c r="T1278" s="348"/>
      <c r="U1278" s="348"/>
      <c r="V1278" s="348"/>
      <c r="W1278" s="348"/>
      <c r="X1278" s="348"/>
    </row>
    <row r="1279" spans="1:24" x14ac:dyDescent="0.2">
      <c r="A1279" s="348"/>
      <c r="B1279" s="348"/>
      <c r="C1279" s="348"/>
      <c r="D1279" s="348"/>
      <c r="E1279" s="348"/>
      <c r="F1279" s="348"/>
      <c r="G1279" s="348"/>
      <c r="H1279" s="348"/>
      <c r="I1279" s="348"/>
      <c r="J1279" s="348"/>
      <c r="K1279" s="348"/>
      <c r="L1279" s="348"/>
      <c r="M1279" s="348"/>
      <c r="N1279" s="348"/>
      <c r="O1279" s="348"/>
      <c r="P1279" s="348"/>
      <c r="Q1279" s="348"/>
      <c r="R1279" s="348"/>
      <c r="S1279" s="348"/>
      <c r="T1279" s="348"/>
      <c r="U1279" s="348"/>
      <c r="V1279" s="348"/>
      <c r="W1279" s="348"/>
      <c r="X1279" s="348"/>
    </row>
    <row r="1280" spans="1:24" x14ac:dyDescent="0.2">
      <c r="A1280" s="348"/>
      <c r="B1280" s="348"/>
      <c r="C1280" s="348"/>
      <c r="D1280" s="348"/>
      <c r="E1280" s="348"/>
      <c r="F1280" s="348"/>
      <c r="G1280" s="348"/>
      <c r="H1280" s="348"/>
      <c r="I1280" s="348"/>
      <c r="J1280" s="348"/>
      <c r="K1280" s="348"/>
      <c r="L1280" s="348"/>
      <c r="M1280" s="348"/>
      <c r="N1280" s="348"/>
      <c r="O1280" s="348"/>
      <c r="P1280" s="348"/>
      <c r="Q1280" s="348"/>
      <c r="R1280" s="348"/>
      <c r="S1280" s="348"/>
      <c r="T1280" s="348"/>
      <c r="U1280" s="348"/>
      <c r="V1280" s="348"/>
      <c r="W1280" s="348"/>
      <c r="X1280" s="348"/>
    </row>
    <row r="1281" spans="1:24" x14ac:dyDescent="0.2">
      <c r="A1281" s="348"/>
      <c r="B1281" s="348"/>
      <c r="C1281" s="348"/>
      <c r="D1281" s="348"/>
      <c r="E1281" s="348"/>
      <c r="F1281" s="348"/>
      <c r="G1281" s="348"/>
      <c r="H1281" s="348"/>
      <c r="I1281" s="348"/>
      <c r="J1281" s="348"/>
      <c r="K1281" s="348"/>
      <c r="L1281" s="348"/>
      <c r="M1281" s="348"/>
      <c r="N1281" s="348"/>
      <c r="O1281" s="348"/>
      <c r="P1281" s="348"/>
      <c r="Q1281" s="348"/>
      <c r="R1281" s="348"/>
      <c r="S1281" s="348"/>
      <c r="T1281" s="348"/>
      <c r="U1281" s="348"/>
      <c r="V1281" s="348"/>
      <c r="W1281" s="348"/>
      <c r="X1281" s="348"/>
    </row>
    <row r="1282" spans="1:24" x14ac:dyDescent="0.2">
      <c r="A1282" s="348"/>
      <c r="B1282" s="348"/>
      <c r="C1282" s="348"/>
      <c r="D1282" s="348"/>
      <c r="E1282" s="348"/>
      <c r="F1282" s="348"/>
      <c r="G1282" s="348"/>
      <c r="H1282" s="348"/>
      <c r="I1282" s="348"/>
      <c r="J1282" s="348"/>
      <c r="K1282" s="348"/>
      <c r="L1282" s="348"/>
      <c r="M1282" s="348"/>
      <c r="N1282" s="348"/>
      <c r="O1282" s="348"/>
      <c r="P1282" s="348"/>
      <c r="Q1282" s="348"/>
      <c r="R1282" s="348"/>
      <c r="S1282" s="348"/>
      <c r="T1282" s="348"/>
      <c r="U1282" s="348"/>
      <c r="V1282" s="348"/>
      <c r="W1282" s="348"/>
      <c r="X1282" s="348"/>
    </row>
    <row r="1283" spans="1:24" x14ac:dyDescent="0.2">
      <c r="A1283" s="348"/>
      <c r="B1283" s="348"/>
      <c r="C1283" s="348"/>
      <c r="D1283" s="348"/>
      <c r="E1283" s="348"/>
      <c r="F1283" s="348"/>
      <c r="G1283" s="348"/>
      <c r="H1283" s="348"/>
      <c r="I1283" s="348"/>
      <c r="J1283" s="348"/>
      <c r="K1283" s="348"/>
      <c r="L1283" s="348"/>
      <c r="M1283" s="348"/>
      <c r="N1283" s="348"/>
      <c r="O1283" s="348"/>
      <c r="P1283" s="348"/>
      <c r="Q1283" s="348"/>
      <c r="R1283" s="348"/>
      <c r="S1283" s="348"/>
      <c r="T1283" s="348"/>
      <c r="U1283" s="348"/>
      <c r="V1283" s="348"/>
      <c r="W1283" s="348"/>
      <c r="X1283" s="348"/>
    </row>
    <row r="1284" spans="1:24" x14ac:dyDescent="0.2">
      <c r="A1284" s="348"/>
      <c r="B1284" s="348"/>
      <c r="C1284" s="348"/>
      <c r="D1284" s="348"/>
      <c r="E1284" s="348"/>
      <c r="F1284" s="348"/>
      <c r="G1284" s="348"/>
      <c r="H1284" s="348"/>
      <c r="I1284" s="348"/>
      <c r="J1284" s="348"/>
      <c r="K1284" s="348"/>
      <c r="L1284" s="348"/>
      <c r="M1284" s="348"/>
      <c r="N1284" s="348"/>
      <c r="O1284" s="348"/>
      <c r="P1284" s="348"/>
      <c r="Q1284" s="348"/>
      <c r="R1284" s="348"/>
      <c r="S1284" s="348"/>
      <c r="T1284" s="348"/>
      <c r="U1284" s="348"/>
      <c r="V1284" s="348"/>
      <c r="W1284" s="348"/>
      <c r="X1284" s="348"/>
    </row>
    <row r="1285" spans="1:24" x14ac:dyDescent="0.2">
      <c r="A1285" s="348"/>
      <c r="B1285" s="348"/>
      <c r="C1285" s="348"/>
      <c r="D1285" s="348"/>
      <c r="E1285" s="348"/>
      <c r="F1285" s="348"/>
      <c r="G1285" s="348"/>
      <c r="H1285" s="348"/>
      <c r="I1285" s="348"/>
      <c r="J1285" s="348"/>
      <c r="K1285" s="348"/>
      <c r="L1285" s="348"/>
      <c r="M1285" s="348"/>
      <c r="N1285" s="348"/>
      <c r="O1285" s="348"/>
      <c r="P1285" s="348"/>
      <c r="Q1285" s="348"/>
      <c r="R1285" s="348"/>
      <c r="S1285" s="348"/>
      <c r="T1285" s="348"/>
      <c r="U1285" s="348"/>
      <c r="V1285" s="348"/>
      <c r="W1285" s="348"/>
      <c r="X1285" s="348"/>
    </row>
    <row r="1286" spans="1:24" x14ac:dyDescent="0.2">
      <c r="A1286" s="348"/>
      <c r="B1286" s="348"/>
      <c r="C1286" s="348"/>
      <c r="D1286" s="348"/>
      <c r="E1286" s="348"/>
      <c r="F1286" s="348"/>
      <c r="G1286" s="348"/>
      <c r="H1286" s="348"/>
      <c r="I1286" s="348"/>
      <c r="J1286" s="348"/>
      <c r="K1286" s="348"/>
      <c r="L1286" s="348"/>
      <c r="M1286" s="348"/>
      <c r="N1286" s="348"/>
      <c r="O1286" s="348"/>
      <c r="P1286" s="348"/>
      <c r="Q1286" s="348"/>
      <c r="R1286" s="348"/>
      <c r="S1286" s="348"/>
      <c r="T1286" s="348"/>
      <c r="U1286" s="348"/>
      <c r="V1286" s="348"/>
      <c r="W1286" s="348"/>
      <c r="X1286" s="348"/>
    </row>
    <row r="1287" spans="1:24" x14ac:dyDescent="0.2">
      <c r="A1287" s="348"/>
      <c r="B1287" s="348"/>
      <c r="C1287" s="348"/>
      <c r="D1287" s="348"/>
      <c r="E1287" s="348"/>
      <c r="F1287" s="348"/>
      <c r="G1287" s="348"/>
      <c r="H1287" s="348"/>
      <c r="I1287" s="348"/>
      <c r="J1287" s="348"/>
      <c r="K1287" s="348"/>
      <c r="L1287" s="348"/>
      <c r="M1287" s="348"/>
      <c r="N1287" s="348"/>
      <c r="O1287" s="348"/>
      <c r="P1287" s="348"/>
      <c r="Q1287" s="348"/>
      <c r="R1287" s="348"/>
      <c r="S1287" s="348"/>
      <c r="T1287" s="348"/>
      <c r="U1287" s="348"/>
      <c r="V1287" s="348"/>
      <c r="W1287" s="348"/>
      <c r="X1287" s="348"/>
    </row>
    <row r="1288" spans="1:24" x14ac:dyDescent="0.2">
      <c r="A1288" s="348"/>
      <c r="B1288" s="348"/>
      <c r="C1288" s="348"/>
      <c r="D1288" s="348"/>
      <c r="E1288" s="348"/>
      <c r="F1288" s="348"/>
      <c r="G1288" s="348"/>
      <c r="H1288" s="348"/>
      <c r="I1288" s="348"/>
      <c r="J1288" s="348"/>
      <c r="K1288" s="348"/>
      <c r="L1288" s="348"/>
      <c r="M1288" s="348"/>
      <c r="N1288" s="348"/>
      <c r="O1288" s="348"/>
      <c r="P1288" s="348"/>
      <c r="Q1288" s="348"/>
      <c r="R1288" s="348"/>
      <c r="S1288" s="348"/>
      <c r="T1288" s="348"/>
      <c r="U1288" s="348"/>
      <c r="V1288" s="348"/>
      <c r="W1288" s="348"/>
      <c r="X1288" s="348"/>
    </row>
    <row r="1289" spans="1:24" x14ac:dyDescent="0.2">
      <c r="A1289" s="348"/>
      <c r="B1289" s="348"/>
      <c r="C1289" s="348"/>
      <c r="D1289" s="348"/>
      <c r="E1289" s="348"/>
      <c r="F1289" s="348"/>
      <c r="G1289" s="348"/>
      <c r="H1289" s="348"/>
      <c r="I1289" s="348"/>
      <c r="J1289" s="348"/>
      <c r="K1289" s="348"/>
      <c r="L1289" s="348"/>
      <c r="M1289" s="348"/>
      <c r="N1289" s="348"/>
      <c r="O1289" s="348"/>
      <c r="P1289" s="348"/>
      <c r="Q1289" s="348"/>
      <c r="R1289" s="348"/>
      <c r="S1289" s="348"/>
      <c r="T1289" s="348"/>
      <c r="U1289" s="348"/>
      <c r="V1289" s="348"/>
      <c r="W1289" s="348"/>
      <c r="X1289" s="348"/>
    </row>
    <row r="1290" spans="1:24" x14ac:dyDescent="0.2">
      <c r="A1290" s="348"/>
      <c r="B1290" s="348"/>
      <c r="C1290" s="348"/>
      <c r="D1290" s="348"/>
      <c r="E1290" s="348"/>
      <c r="F1290" s="348"/>
      <c r="G1290" s="348"/>
      <c r="H1290" s="348"/>
      <c r="I1290" s="348"/>
      <c r="J1290" s="348"/>
      <c r="K1290" s="348"/>
      <c r="L1290" s="348"/>
      <c r="M1290" s="348"/>
      <c r="N1290" s="348"/>
      <c r="O1290" s="348"/>
      <c r="P1290" s="348"/>
      <c r="Q1290" s="348"/>
      <c r="R1290" s="348"/>
      <c r="S1290" s="348"/>
      <c r="T1290" s="348"/>
      <c r="U1290" s="348"/>
      <c r="V1290" s="348"/>
      <c r="W1290" s="348"/>
      <c r="X1290" s="348"/>
    </row>
    <row r="1291" spans="1:24" x14ac:dyDescent="0.2">
      <c r="A1291" s="348"/>
      <c r="B1291" s="348"/>
      <c r="C1291" s="348"/>
      <c r="D1291" s="348"/>
      <c r="E1291" s="348"/>
      <c r="F1291" s="348"/>
      <c r="G1291" s="348"/>
      <c r="H1291" s="348"/>
      <c r="I1291" s="348"/>
      <c r="J1291" s="348"/>
      <c r="K1291" s="348"/>
      <c r="L1291" s="348"/>
      <c r="M1291" s="348"/>
      <c r="N1291" s="348"/>
      <c r="O1291" s="348"/>
      <c r="P1291" s="348"/>
      <c r="Q1291" s="348"/>
      <c r="R1291" s="348"/>
      <c r="S1291" s="348"/>
      <c r="T1291" s="348"/>
      <c r="U1291" s="348"/>
      <c r="V1291" s="348"/>
      <c r="W1291" s="348"/>
      <c r="X1291" s="348"/>
    </row>
    <row r="1292" spans="1:24" x14ac:dyDescent="0.2">
      <c r="A1292" s="348"/>
      <c r="B1292" s="348"/>
      <c r="C1292" s="348"/>
      <c r="D1292" s="348"/>
      <c r="E1292" s="348"/>
      <c r="F1292" s="348"/>
      <c r="G1292" s="348"/>
      <c r="H1292" s="348"/>
      <c r="I1292" s="348"/>
      <c r="J1292" s="348"/>
      <c r="K1292" s="348"/>
      <c r="L1292" s="348"/>
      <c r="M1292" s="348"/>
      <c r="N1292" s="348"/>
      <c r="O1292" s="348"/>
      <c r="P1292" s="348"/>
      <c r="Q1292" s="348"/>
      <c r="R1292" s="348"/>
      <c r="S1292" s="348"/>
      <c r="T1292" s="348"/>
      <c r="U1292" s="348"/>
      <c r="V1292" s="348"/>
      <c r="W1292" s="348"/>
      <c r="X1292" s="348"/>
    </row>
    <row r="1293" spans="1:24" x14ac:dyDescent="0.2">
      <c r="A1293" s="348"/>
      <c r="B1293" s="348"/>
      <c r="C1293" s="348"/>
      <c r="D1293" s="348"/>
      <c r="E1293" s="348"/>
      <c r="F1293" s="348"/>
      <c r="G1293" s="348"/>
      <c r="H1293" s="348"/>
      <c r="I1293" s="348"/>
      <c r="J1293" s="348"/>
      <c r="K1293" s="348"/>
      <c r="L1293" s="348"/>
      <c r="M1293" s="348"/>
      <c r="N1293" s="348"/>
      <c r="O1293" s="348"/>
      <c r="P1293" s="348"/>
      <c r="Q1293" s="348"/>
      <c r="R1293" s="348"/>
      <c r="S1293" s="348"/>
      <c r="T1293" s="348"/>
      <c r="U1293" s="348"/>
      <c r="V1293" s="348"/>
      <c r="W1293" s="348"/>
      <c r="X1293" s="348"/>
    </row>
    <row r="1294" spans="1:24" x14ac:dyDescent="0.2">
      <c r="A1294" s="348"/>
      <c r="B1294" s="348"/>
      <c r="C1294" s="348"/>
      <c r="D1294" s="348"/>
      <c r="E1294" s="348"/>
      <c r="F1294" s="348"/>
      <c r="G1294" s="348"/>
      <c r="H1294" s="348"/>
      <c r="I1294" s="348"/>
      <c r="J1294" s="348"/>
      <c r="K1294" s="348"/>
      <c r="L1294" s="348"/>
      <c r="M1294" s="348"/>
      <c r="N1294" s="348"/>
      <c r="O1294" s="348"/>
      <c r="P1294" s="348"/>
      <c r="Q1294" s="348"/>
      <c r="R1294" s="348"/>
      <c r="S1294" s="348"/>
      <c r="T1294" s="348"/>
      <c r="U1294" s="348"/>
      <c r="V1294" s="348"/>
      <c r="W1294" s="348"/>
      <c r="X1294" s="348"/>
    </row>
    <row r="1295" spans="1:24" x14ac:dyDescent="0.2">
      <c r="A1295" s="348"/>
      <c r="B1295" s="348"/>
      <c r="C1295" s="348"/>
      <c r="D1295" s="348"/>
      <c r="E1295" s="348"/>
      <c r="F1295" s="348"/>
      <c r="G1295" s="348"/>
      <c r="H1295" s="348"/>
      <c r="I1295" s="348"/>
      <c r="J1295" s="348"/>
      <c r="K1295" s="348"/>
      <c r="L1295" s="348"/>
      <c r="M1295" s="348"/>
      <c r="N1295" s="348"/>
      <c r="O1295" s="348"/>
      <c r="P1295" s="348"/>
      <c r="Q1295" s="348"/>
      <c r="R1295" s="348"/>
      <c r="S1295" s="348"/>
      <c r="T1295" s="348"/>
      <c r="U1295" s="348"/>
      <c r="V1295" s="348"/>
      <c r="W1295" s="348"/>
      <c r="X1295" s="348"/>
    </row>
    <row r="1296" spans="1:24" x14ac:dyDescent="0.2">
      <c r="A1296" s="348"/>
      <c r="B1296" s="348"/>
      <c r="C1296" s="348"/>
      <c r="D1296" s="348"/>
      <c r="E1296" s="348"/>
      <c r="F1296" s="348"/>
      <c r="G1296" s="348"/>
      <c r="H1296" s="348"/>
      <c r="I1296" s="348"/>
      <c r="J1296" s="348"/>
      <c r="K1296" s="348"/>
      <c r="L1296" s="348"/>
      <c r="M1296" s="348"/>
      <c r="N1296" s="348"/>
      <c r="O1296" s="348"/>
      <c r="P1296" s="348"/>
      <c r="Q1296" s="348"/>
      <c r="R1296" s="348"/>
      <c r="S1296" s="348"/>
      <c r="T1296" s="348"/>
      <c r="U1296" s="348"/>
      <c r="V1296" s="348"/>
      <c r="W1296" s="348"/>
      <c r="X1296" s="348"/>
    </row>
    <row r="1297" spans="1:24" x14ac:dyDescent="0.2">
      <c r="A1297" s="348"/>
      <c r="B1297" s="348"/>
      <c r="C1297" s="348"/>
      <c r="D1297" s="348"/>
      <c r="E1297" s="348"/>
      <c r="F1297" s="348"/>
      <c r="G1297" s="348"/>
      <c r="H1297" s="348"/>
      <c r="I1297" s="348"/>
      <c r="J1297" s="348"/>
      <c r="K1297" s="348"/>
      <c r="L1297" s="348"/>
      <c r="M1297" s="348"/>
      <c r="N1297" s="348"/>
      <c r="O1297" s="348"/>
      <c r="P1297" s="348"/>
      <c r="Q1297" s="348"/>
      <c r="R1297" s="348"/>
      <c r="S1297" s="348"/>
      <c r="T1297" s="348"/>
      <c r="U1297" s="348"/>
      <c r="V1297" s="348"/>
      <c r="W1297" s="348"/>
      <c r="X1297" s="348"/>
    </row>
    <row r="1298" spans="1:24" x14ac:dyDescent="0.2">
      <c r="A1298" s="348"/>
      <c r="B1298" s="348"/>
      <c r="C1298" s="348"/>
      <c r="D1298" s="348"/>
      <c r="E1298" s="348"/>
      <c r="F1298" s="348"/>
      <c r="G1298" s="348"/>
      <c r="H1298" s="348"/>
      <c r="I1298" s="348"/>
      <c r="J1298" s="348"/>
      <c r="K1298" s="348"/>
      <c r="L1298" s="348"/>
      <c r="M1298" s="348"/>
      <c r="N1298" s="348"/>
      <c r="O1298" s="348"/>
      <c r="P1298" s="348"/>
      <c r="Q1298" s="348"/>
      <c r="R1298" s="348"/>
      <c r="S1298" s="348"/>
      <c r="T1298" s="348"/>
      <c r="U1298" s="348"/>
      <c r="V1298" s="348"/>
      <c r="W1298" s="348"/>
      <c r="X1298" s="348"/>
    </row>
  </sheetData>
  <mergeCells count="1553">
    <mergeCell ref="C1255:C1256"/>
    <mergeCell ref="B1255:B1256"/>
    <mergeCell ref="A1255:A1256"/>
    <mergeCell ref="C1257:C1258"/>
    <mergeCell ref="B1257:B1258"/>
    <mergeCell ref="A1257:A1258"/>
    <mergeCell ref="C1260:C1261"/>
    <mergeCell ref="B1260:B1261"/>
    <mergeCell ref="A1260:A1261"/>
    <mergeCell ref="C1263:C1266"/>
    <mergeCell ref="B1263:B1266"/>
    <mergeCell ref="A1263:A1266"/>
    <mergeCell ref="C1248:C1249"/>
    <mergeCell ref="B1248:B1249"/>
    <mergeCell ref="A1248:A1249"/>
    <mergeCell ref="B1250:B1251"/>
    <mergeCell ref="A1250:A1251"/>
    <mergeCell ref="C1250:C1251"/>
    <mergeCell ref="C1252:C1253"/>
    <mergeCell ref="B1252:B1253"/>
    <mergeCell ref="A1252:A1253"/>
    <mergeCell ref="C1165:C1166"/>
    <mergeCell ref="B1165:B1166"/>
    <mergeCell ref="A1165:A1166"/>
    <mergeCell ref="C1167:C1168"/>
    <mergeCell ref="A1138:A1139"/>
    <mergeCell ref="C1140:C1141"/>
    <mergeCell ref="C1242:C1243"/>
    <mergeCell ref="B1242:B1243"/>
    <mergeCell ref="A1242:A1243"/>
    <mergeCell ref="C1234:C1235"/>
    <mergeCell ref="B1234:B1235"/>
    <mergeCell ref="A1234:A1235"/>
    <mergeCell ref="C1236:C1237"/>
    <mergeCell ref="B1236:B1237"/>
    <mergeCell ref="A1236:A1237"/>
    <mergeCell ref="C1238:C1239"/>
    <mergeCell ref="B1238:B1239"/>
    <mergeCell ref="A1238:A1239"/>
    <mergeCell ref="C1240:C1241"/>
    <mergeCell ref="B1240:B1241"/>
    <mergeCell ref="A1240:A1241"/>
    <mergeCell ref="B1138:B1139"/>
    <mergeCell ref="C1203:C1204"/>
    <mergeCell ref="B1203:B1204"/>
    <mergeCell ref="A1203:A1204"/>
    <mergeCell ref="C1205:C1206"/>
    <mergeCell ref="B1205:B1206"/>
    <mergeCell ref="A1205:A1206"/>
    <mergeCell ref="C1207:C1208"/>
    <mergeCell ref="B1207:B1208"/>
    <mergeCell ref="A1207:A1208"/>
    <mergeCell ref="C1188:C1189"/>
    <mergeCell ref="B1142:B1143"/>
    <mergeCell ref="A1142:A1143"/>
    <mergeCell ref="C1144:C1145"/>
    <mergeCell ref="B1144:B1145"/>
    <mergeCell ref="A1144:A1145"/>
    <mergeCell ref="C1146:C1147"/>
    <mergeCell ref="B1120:B1121"/>
    <mergeCell ref="A1120:A1121"/>
    <mergeCell ref="C1123:C1124"/>
    <mergeCell ref="B1123:B1124"/>
    <mergeCell ref="A1123:A1124"/>
    <mergeCell ref="C1125:C1126"/>
    <mergeCell ref="B1125:B1126"/>
    <mergeCell ref="B1136:B1137"/>
    <mergeCell ref="A1161:A1162"/>
    <mergeCell ref="C1163:C1164"/>
    <mergeCell ref="B1163:B1164"/>
    <mergeCell ref="A1163:A1164"/>
    <mergeCell ref="A1148:A1149"/>
    <mergeCell ref="C1150:C1151"/>
    <mergeCell ref="B1150:B1151"/>
    <mergeCell ref="C1154:C1160"/>
    <mergeCell ref="B1154:B1160"/>
    <mergeCell ref="A1154:A1160"/>
    <mergeCell ref="C1142:C1143"/>
    <mergeCell ref="C1138:C1139"/>
    <mergeCell ref="B1140:B1141"/>
    <mergeCell ref="A1140:A1141"/>
    <mergeCell ref="C1132:C1133"/>
    <mergeCell ref="B1132:B1133"/>
    <mergeCell ref="A1132:A1133"/>
    <mergeCell ref="C1134:C1135"/>
    <mergeCell ref="C1078:C1079"/>
    <mergeCell ref="B1078:B1079"/>
    <mergeCell ref="C1095:C1096"/>
    <mergeCell ref="B1095:B1096"/>
    <mergeCell ref="A1095:A1096"/>
    <mergeCell ref="C1097:C1098"/>
    <mergeCell ref="B1097:B1098"/>
    <mergeCell ref="C1114:C1115"/>
    <mergeCell ref="B1114:B1115"/>
    <mergeCell ref="A1114:A1115"/>
    <mergeCell ref="C1116:C1117"/>
    <mergeCell ref="B1116:B1117"/>
    <mergeCell ref="A1116:A1117"/>
    <mergeCell ref="A1150:A1151"/>
    <mergeCell ref="C1152:C1153"/>
    <mergeCell ref="B1152:B1153"/>
    <mergeCell ref="C1093:C1094"/>
    <mergeCell ref="B1093:B1094"/>
    <mergeCell ref="A1101:A1102"/>
    <mergeCell ref="C1103:C1104"/>
    <mergeCell ref="B1103:B1104"/>
    <mergeCell ref="C1120:C1121"/>
    <mergeCell ref="A1103:A1104"/>
    <mergeCell ref="C1105:C1106"/>
    <mergeCell ref="B1105:B1106"/>
    <mergeCell ref="A1105:A1106"/>
    <mergeCell ref="C1107:C1108"/>
    <mergeCell ref="B1107:B1108"/>
    <mergeCell ref="A1112:A1113"/>
    <mergeCell ref="A1107:A1108"/>
    <mergeCell ref="C1112:C1113"/>
    <mergeCell ref="B1112:B1113"/>
    <mergeCell ref="B1134:B1135"/>
    <mergeCell ref="A1134:A1135"/>
    <mergeCell ref="C1136:C1137"/>
    <mergeCell ref="C1070:C1071"/>
    <mergeCell ref="B1070:B1071"/>
    <mergeCell ref="A1070:A1071"/>
    <mergeCell ref="A1136:A1137"/>
    <mergeCell ref="A1078:A1079"/>
    <mergeCell ref="C1080:C1081"/>
    <mergeCell ref="B1080:B1081"/>
    <mergeCell ref="A1080:A1081"/>
    <mergeCell ref="C1073:C1074"/>
    <mergeCell ref="B1073:B1074"/>
    <mergeCell ref="A1073:A1074"/>
    <mergeCell ref="C1082:C1083"/>
    <mergeCell ref="B1082:B1083"/>
    <mergeCell ref="A1082:A1083"/>
    <mergeCell ref="C1084:C1085"/>
    <mergeCell ref="B1084:B1085"/>
    <mergeCell ref="A1084:A1085"/>
    <mergeCell ref="A1125:A1126"/>
    <mergeCell ref="C1130:C1131"/>
    <mergeCell ref="B1130:B1131"/>
    <mergeCell ref="A1130:A1131"/>
    <mergeCell ref="C1086:C1087"/>
    <mergeCell ref="A1093:A1094"/>
    <mergeCell ref="C1118:C1119"/>
    <mergeCell ref="B1118:B1119"/>
    <mergeCell ref="A1118:A1119"/>
    <mergeCell ref="A1097:A1098"/>
    <mergeCell ref="C1099:C1100"/>
    <mergeCell ref="B1099:B1100"/>
    <mergeCell ref="A1099:A1100"/>
    <mergeCell ref="C1101:C1102"/>
    <mergeCell ref="B1101:B1102"/>
    <mergeCell ref="C1052:C1053"/>
    <mergeCell ref="B1052:B1053"/>
    <mergeCell ref="A1052:A1053"/>
    <mergeCell ref="B1086:B1087"/>
    <mergeCell ref="A1086:A1087"/>
    <mergeCell ref="C1088:C1090"/>
    <mergeCell ref="B1088:B1090"/>
    <mergeCell ref="A1088:A1090"/>
    <mergeCell ref="C1091:C1092"/>
    <mergeCell ref="B1091:B1092"/>
    <mergeCell ref="A1091:A1092"/>
    <mergeCell ref="C1075:C1076"/>
    <mergeCell ref="B1075:B1076"/>
    <mergeCell ref="C1054:C1055"/>
    <mergeCell ref="B1054:B1055"/>
    <mergeCell ref="A1054:A1055"/>
    <mergeCell ref="C1056:C1057"/>
    <mergeCell ref="B1056:B1057"/>
    <mergeCell ref="A1056:A1057"/>
    <mergeCell ref="C1058:C1059"/>
    <mergeCell ref="B1058:B1059"/>
    <mergeCell ref="A1058:A1059"/>
    <mergeCell ref="C1060:C1061"/>
    <mergeCell ref="B1060:B1061"/>
    <mergeCell ref="A1060:A1061"/>
    <mergeCell ref="C1062:C1063"/>
    <mergeCell ref="B1062:B1063"/>
    <mergeCell ref="A1062:A1063"/>
    <mergeCell ref="C1067:C1068"/>
    <mergeCell ref="A1041:A1042"/>
    <mergeCell ref="C1044:C1045"/>
    <mergeCell ref="B1044:B1045"/>
    <mergeCell ref="A1044:A1045"/>
    <mergeCell ref="C1046:C1047"/>
    <mergeCell ref="B1046:B1047"/>
    <mergeCell ref="A1046:A1047"/>
    <mergeCell ref="C1048:C1049"/>
    <mergeCell ref="B1048:B1049"/>
    <mergeCell ref="A1048:A1049"/>
    <mergeCell ref="C1050:C1051"/>
    <mergeCell ref="B1050:B1051"/>
    <mergeCell ref="A1050:A1051"/>
    <mergeCell ref="C992:C993"/>
    <mergeCell ref="C1037:C1038"/>
    <mergeCell ref="B1037:B1038"/>
    <mergeCell ref="A1037:A1038"/>
    <mergeCell ref="C1039:C1040"/>
    <mergeCell ref="B1039:B1040"/>
    <mergeCell ref="A1039:A1040"/>
    <mergeCell ref="C1009:C1010"/>
    <mergeCell ref="B1009:B1010"/>
    <mergeCell ref="A1009:A1010"/>
    <mergeCell ref="B1035:B1036"/>
    <mergeCell ref="A1035:A1036"/>
    <mergeCell ref="B944:B945"/>
    <mergeCell ref="A944:A945"/>
    <mergeCell ref="B868:B869"/>
    <mergeCell ref="A868:A869"/>
    <mergeCell ref="C870:C871"/>
    <mergeCell ref="B870:B871"/>
    <mergeCell ref="A870:A871"/>
    <mergeCell ref="C917:C921"/>
    <mergeCell ref="B917:B921"/>
    <mergeCell ref="A917:A921"/>
    <mergeCell ref="C980:C981"/>
    <mergeCell ref="B952:B953"/>
    <mergeCell ref="A952:A953"/>
    <mergeCell ref="B954:B955"/>
    <mergeCell ref="A954:A955"/>
    <mergeCell ref="C954:C955"/>
    <mergeCell ref="C956:C957"/>
    <mergeCell ref="B956:B957"/>
    <mergeCell ref="A956:A957"/>
    <mergeCell ref="C970:C971"/>
    <mergeCell ref="B970:B971"/>
    <mergeCell ref="A970:A971"/>
    <mergeCell ref="C974:C975"/>
    <mergeCell ref="B974:B975"/>
    <mergeCell ref="A974:A975"/>
    <mergeCell ref="C977:C979"/>
    <mergeCell ref="B977:B979"/>
    <mergeCell ref="A977:A979"/>
    <mergeCell ref="C959:C960"/>
    <mergeCell ref="B959:B960"/>
    <mergeCell ref="A959:A960"/>
    <mergeCell ref="C961:C962"/>
    <mergeCell ref="C860:C861"/>
    <mergeCell ref="B860:B861"/>
    <mergeCell ref="A860:A861"/>
    <mergeCell ref="C863:C864"/>
    <mergeCell ref="C883:C884"/>
    <mergeCell ref="B883:B884"/>
    <mergeCell ref="A883:A884"/>
    <mergeCell ref="A909:A910"/>
    <mergeCell ref="C911:C912"/>
    <mergeCell ref="B911:B912"/>
    <mergeCell ref="A911:A912"/>
    <mergeCell ref="C913:C914"/>
    <mergeCell ref="B913:B914"/>
    <mergeCell ref="A913:A914"/>
    <mergeCell ref="C915:C916"/>
    <mergeCell ref="B915:B916"/>
    <mergeCell ref="A915:A916"/>
    <mergeCell ref="A771:A772"/>
    <mergeCell ref="C773:C774"/>
    <mergeCell ref="B773:B774"/>
    <mergeCell ref="A773:A774"/>
    <mergeCell ref="C775:C776"/>
    <mergeCell ref="B775:B776"/>
    <mergeCell ref="A775:A776"/>
    <mergeCell ref="C777:C778"/>
    <mergeCell ref="B777:B778"/>
    <mergeCell ref="C879:C881"/>
    <mergeCell ref="B879:B881"/>
    <mergeCell ref="A879:A881"/>
    <mergeCell ref="C855:C856"/>
    <mergeCell ref="B855:B856"/>
    <mergeCell ref="A855:A856"/>
    <mergeCell ref="C841:C842"/>
    <mergeCell ref="B841:B842"/>
    <mergeCell ref="C875:C876"/>
    <mergeCell ref="B875:B876"/>
    <mergeCell ref="A875:A876"/>
    <mergeCell ref="C877:C878"/>
    <mergeCell ref="B877:B878"/>
    <mergeCell ref="A877:A878"/>
    <mergeCell ref="B829:B830"/>
    <mergeCell ref="A829:A830"/>
    <mergeCell ref="C831:C832"/>
    <mergeCell ref="B831:B832"/>
    <mergeCell ref="A831:A832"/>
    <mergeCell ref="C865:C866"/>
    <mergeCell ref="B865:B866"/>
    <mergeCell ref="A865:A866"/>
    <mergeCell ref="C868:C869"/>
    <mergeCell ref="B637:B638"/>
    <mergeCell ref="A637:A638"/>
    <mergeCell ref="C639:C640"/>
    <mergeCell ref="B639:B640"/>
    <mergeCell ref="A639:A640"/>
    <mergeCell ref="C642:C643"/>
    <mergeCell ref="B642:B643"/>
    <mergeCell ref="A642:A643"/>
    <mergeCell ref="C761:C762"/>
    <mergeCell ref="B761:B762"/>
    <mergeCell ref="C644:C645"/>
    <mergeCell ref="B644:B645"/>
    <mergeCell ref="A644:A645"/>
    <mergeCell ref="A749:A750"/>
    <mergeCell ref="A751:A752"/>
    <mergeCell ref="A738:A739"/>
    <mergeCell ref="A743:A744"/>
    <mergeCell ref="A747:A748"/>
    <mergeCell ref="A757:A758"/>
    <mergeCell ref="A759:A760"/>
    <mergeCell ref="A761:A762"/>
    <mergeCell ref="A681:A682"/>
    <mergeCell ref="A655:A660"/>
    <mergeCell ref="A646:A647"/>
    <mergeCell ref="C648:C649"/>
    <mergeCell ref="B648:B649"/>
    <mergeCell ref="A648:A649"/>
    <mergeCell ref="C650:C651"/>
    <mergeCell ref="B650:B651"/>
    <mergeCell ref="A650:A651"/>
    <mergeCell ref="C652:C653"/>
    <mergeCell ref="B652:B653"/>
    <mergeCell ref="A604:C604"/>
    <mergeCell ref="B863:B864"/>
    <mergeCell ref="A863:A864"/>
    <mergeCell ref="C833:C834"/>
    <mergeCell ref="C853:C854"/>
    <mergeCell ref="B853:B854"/>
    <mergeCell ref="A853:A854"/>
    <mergeCell ref="C763:C764"/>
    <mergeCell ref="B763:B764"/>
    <mergeCell ref="A763:A764"/>
    <mergeCell ref="C765:C766"/>
    <mergeCell ref="B765:B766"/>
    <mergeCell ref="A765:A766"/>
    <mergeCell ref="C767:C768"/>
    <mergeCell ref="B767:B768"/>
    <mergeCell ref="A767:A768"/>
    <mergeCell ref="C780:C786"/>
    <mergeCell ref="B780:B786"/>
    <mergeCell ref="A780:A786"/>
    <mergeCell ref="C769:C770"/>
    <mergeCell ref="B769:B770"/>
    <mergeCell ref="A769:A770"/>
    <mergeCell ref="C771:C772"/>
    <mergeCell ref="B771:B772"/>
    <mergeCell ref="A627:A628"/>
    <mergeCell ref="C629:C630"/>
    <mergeCell ref="C631:C632"/>
    <mergeCell ref="B631:B632"/>
    <mergeCell ref="C633:C634"/>
    <mergeCell ref="B633:B634"/>
    <mergeCell ref="C759:C760"/>
    <mergeCell ref="B759:B760"/>
    <mergeCell ref="C586:C587"/>
    <mergeCell ref="B586:B587"/>
    <mergeCell ref="A586:A587"/>
    <mergeCell ref="C573:C574"/>
    <mergeCell ref="B573:B574"/>
    <mergeCell ref="A573:A574"/>
    <mergeCell ref="C571:C572"/>
    <mergeCell ref="B571:B572"/>
    <mergeCell ref="A571:A572"/>
    <mergeCell ref="A777:A778"/>
    <mergeCell ref="A588:A589"/>
    <mergeCell ref="C590:C591"/>
    <mergeCell ref="B590:B591"/>
    <mergeCell ref="A590:A591"/>
    <mergeCell ref="C592:C593"/>
    <mergeCell ref="B592:B593"/>
    <mergeCell ref="A592:A593"/>
    <mergeCell ref="A684:A685"/>
    <mergeCell ref="C686:C687"/>
    <mergeCell ref="B686:B687"/>
    <mergeCell ref="A686:A687"/>
    <mergeCell ref="C688:C689"/>
    <mergeCell ref="B688:B689"/>
    <mergeCell ref="A688:A689"/>
    <mergeCell ref="C690:C691"/>
    <mergeCell ref="B690:B691"/>
    <mergeCell ref="A690:A691"/>
    <mergeCell ref="A629:A630"/>
    <mergeCell ref="A631:A632"/>
    <mergeCell ref="A633:A634"/>
    <mergeCell ref="A635:A636"/>
    <mergeCell ref="C637:C638"/>
    <mergeCell ref="C530:C531"/>
    <mergeCell ref="B530:B531"/>
    <mergeCell ref="C562:C563"/>
    <mergeCell ref="C576:C577"/>
    <mergeCell ref="B576:B577"/>
    <mergeCell ref="A576:A577"/>
    <mergeCell ref="C578:C579"/>
    <mergeCell ref="B578:B579"/>
    <mergeCell ref="A578:A579"/>
    <mergeCell ref="C580:C581"/>
    <mergeCell ref="B580:B581"/>
    <mergeCell ref="A580:A581"/>
    <mergeCell ref="C582:C583"/>
    <mergeCell ref="B582:B583"/>
    <mergeCell ref="A582:A583"/>
    <mergeCell ref="C584:C585"/>
    <mergeCell ref="B584:B585"/>
    <mergeCell ref="A584:A585"/>
    <mergeCell ref="A536:A537"/>
    <mergeCell ref="C542:C544"/>
    <mergeCell ref="B542:B544"/>
    <mergeCell ref="A542:A544"/>
    <mergeCell ref="C545:C546"/>
    <mergeCell ref="B545:B546"/>
    <mergeCell ref="A545:A546"/>
    <mergeCell ref="C538:C539"/>
    <mergeCell ref="B538:B539"/>
    <mergeCell ref="A538:A539"/>
    <mergeCell ref="C540:C541"/>
    <mergeCell ref="B540:B541"/>
    <mergeCell ref="A540:A541"/>
    <mergeCell ref="C536:C537"/>
    <mergeCell ref="B493:B494"/>
    <mergeCell ref="A493:A494"/>
    <mergeCell ref="C588:C589"/>
    <mergeCell ref="B588:B589"/>
    <mergeCell ref="C507:C508"/>
    <mergeCell ref="B507:B508"/>
    <mergeCell ref="A507:A508"/>
    <mergeCell ref="C547:C548"/>
    <mergeCell ref="C509:C510"/>
    <mergeCell ref="B509:B510"/>
    <mergeCell ref="A509:A510"/>
    <mergeCell ref="C511:C512"/>
    <mergeCell ref="B511:B512"/>
    <mergeCell ref="A511:A512"/>
    <mergeCell ref="C513:C514"/>
    <mergeCell ref="B513:B514"/>
    <mergeCell ref="A513:A514"/>
    <mergeCell ref="B547:B548"/>
    <mergeCell ref="A547:A548"/>
    <mergeCell ref="C516:C525"/>
    <mergeCell ref="B516:B525"/>
    <mergeCell ref="A516:A525"/>
    <mergeCell ref="C532:C533"/>
    <mergeCell ref="B532:B533"/>
    <mergeCell ref="A532:A533"/>
    <mergeCell ref="C534:C535"/>
    <mergeCell ref="C526:C527"/>
    <mergeCell ref="B526:B527"/>
    <mergeCell ref="A526:A527"/>
    <mergeCell ref="C528:C529"/>
    <mergeCell ref="B528:B529"/>
    <mergeCell ref="A528:A529"/>
    <mergeCell ref="B430:B431"/>
    <mergeCell ref="C441:C442"/>
    <mergeCell ref="A530:A531"/>
    <mergeCell ref="B536:B537"/>
    <mergeCell ref="A495:A496"/>
    <mergeCell ref="C497:C498"/>
    <mergeCell ref="B497:B498"/>
    <mergeCell ref="A497:A498"/>
    <mergeCell ref="C499:C500"/>
    <mergeCell ref="B499:B500"/>
    <mergeCell ref="A499:A500"/>
    <mergeCell ref="C502:C503"/>
    <mergeCell ref="B502:B503"/>
    <mergeCell ref="A502:A503"/>
    <mergeCell ref="B504:B505"/>
    <mergeCell ref="A504:A505"/>
    <mergeCell ref="C453:C454"/>
    <mergeCell ref="B453:B454"/>
    <mergeCell ref="A453:A454"/>
    <mergeCell ref="C455:C457"/>
    <mergeCell ref="B455:B457"/>
    <mergeCell ref="A455:A457"/>
    <mergeCell ref="C461:C462"/>
    <mergeCell ref="B461:B462"/>
    <mergeCell ref="A461:A462"/>
    <mergeCell ref="C472:C473"/>
    <mergeCell ref="B472:B473"/>
    <mergeCell ref="A472:A473"/>
    <mergeCell ref="C474:C475"/>
    <mergeCell ref="B474:B475"/>
    <mergeCell ref="A474:A475"/>
    <mergeCell ref="C493:C494"/>
    <mergeCell ref="A402:A403"/>
    <mergeCell ref="C411:C415"/>
    <mergeCell ref="B411:B415"/>
    <mergeCell ref="A411:A415"/>
    <mergeCell ref="C404:C405"/>
    <mergeCell ref="B404:B405"/>
    <mergeCell ref="A404:A405"/>
    <mergeCell ref="C406:C407"/>
    <mergeCell ref="B406:B407"/>
    <mergeCell ref="A406:A407"/>
    <mergeCell ref="C408:C409"/>
    <mergeCell ref="B408:B409"/>
    <mergeCell ref="A408:A409"/>
    <mergeCell ref="A422:A423"/>
    <mergeCell ref="C424:C425"/>
    <mergeCell ref="B424:B425"/>
    <mergeCell ref="A424:A425"/>
    <mergeCell ref="C416:C417"/>
    <mergeCell ref="B416:B417"/>
    <mergeCell ref="A416:A417"/>
    <mergeCell ref="C418:C419"/>
    <mergeCell ref="B418:B419"/>
    <mergeCell ref="A418:A419"/>
    <mergeCell ref="C420:C421"/>
    <mergeCell ref="B420:B421"/>
    <mergeCell ref="A420:A421"/>
    <mergeCell ref="C422:C423"/>
    <mergeCell ref="B422:B423"/>
    <mergeCell ref="A398:A399"/>
    <mergeCell ref="C400:C401"/>
    <mergeCell ref="B400:B401"/>
    <mergeCell ref="A400:A401"/>
    <mergeCell ref="A275:A276"/>
    <mergeCell ref="C277:C278"/>
    <mergeCell ref="B277:B278"/>
    <mergeCell ref="A277:A278"/>
    <mergeCell ref="C281:C283"/>
    <mergeCell ref="B281:B283"/>
    <mergeCell ref="A281:A283"/>
    <mergeCell ref="C284:C286"/>
    <mergeCell ref="B284:B286"/>
    <mergeCell ref="A284:A286"/>
    <mergeCell ref="C287:C288"/>
    <mergeCell ref="B287:B288"/>
    <mergeCell ref="A287:A288"/>
    <mergeCell ref="B293:B294"/>
    <mergeCell ref="A293:A294"/>
    <mergeCell ref="C289:C290"/>
    <mergeCell ref="C295:C299"/>
    <mergeCell ref="B295:B299"/>
    <mergeCell ref="A295:A299"/>
    <mergeCell ref="C300:C302"/>
    <mergeCell ref="A311:A312"/>
    <mergeCell ref="C305:C306"/>
    <mergeCell ref="B305:B306"/>
    <mergeCell ref="C348:C349"/>
    <mergeCell ref="B279:B280"/>
    <mergeCell ref="A279:A280"/>
    <mergeCell ref="C398:C399"/>
    <mergeCell ref="B398:B399"/>
    <mergeCell ref="A273:A274"/>
    <mergeCell ref="C275:C276"/>
    <mergeCell ref="A268:X268"/>
    <mergeCell ref="A270:A271"/>
    <mergeCell ref="B270:B271"/>
    <mergeCell ref="C270:C271"/>
    <mergeCell ref="D270:D271"/>
    <mergeCell ref="E270:E271"/>
    <mergeCell ref="F270:F271"/>
    <mergeCell ref="G270:G271"/>
    <mergeCell ref="H270:O270"/>
    <mergeCell ref="Q270:X270"/>
    <mergeCell ref="B273:B274"/>
    <mergeCell ref="A385:A386"/>
    <mergeCell ref="C389:C390"/>
    <mergeCell ref="B389:B390"/>
    <mergeCell ref="A389:A390"/>
    <mergeCell ref="C380:C381"/>
    <mergeCell ref="B380:B381"/>
    <mergeCell ref="A289:A290"/>
    <mergeCell ref="A291:A292"/>
    <mergeCell ref="A300:A302"/>
    <mergeCell ref="A303:A304"/>
    <mergeCell ref="C313:C314"/>
    <mergeCell ref="B313:B314"/>
    <mergeCell ref="A313:A314"/>
    <mergeCell ref="C307:C308"/>
    <mergeCell ref="B307:B308"/>
    <mergeCell ref="A307:A308"/>
    <mergeCell ref="C309:C310"/>
    <mergeCell ref="B309:B310"/>
    <mergeCell ref="A309:A310"/>
    <mergeCell ref="C94:C95"/>
    <mergeCell ref="B94:B95"/>
    <mergeCell ref="A94:A95"/>
    <mergeCell ref="C96:C97"/>
    <mergeCell ref="A242:A243"/>
    <mergeCell ref="C246:C247"/>
    <mergeCell ref="B246:B247"/>
    <mergeCell ref="A246:A247"/>
    <mergeCell ref="C254:C255"/>
    <mergeCell ref="B254:B255"/>
    <mergeCell ref="A254:A255"/>
    <mergeCell ref="C248:C249"/>
    <mergeCell ref="B248:B249"/>
    <mergeCell ref="A248:A249"/>
    <mergeCell ref="C250:C251"/>
    <mergeCell ref="B250:B251"/>
    <mergeCell ref="A250:A251"/>
    <mergeCell ref="C252:C253"/>
    <mergeCell ref="B252:B253"/>
    <mergeCell ref="A252:A253"/>
    <mergeCell ref="C185:C186"/>
    <mergeCell ref="B185:B186"/>
    <mergeCell ref="A185:A186"/>
    <mergeCell ref="C179:C180"/>
    <mergeCell ref="B179:B180"/>
    <mergeCell ref="A179:A180"/>
    <mergeCell ref="C181:C182"/>
    <mergeCell ref="B181:B182"/>
    <mergeCell ref="A181:A182"/>
    <mergeCell ref="C183:C184"/>
    <mergeCell ref="B183:B184"/>
    <mergeCell ref="A183:A184"/>
    <mergeCell ref="C101:C102"/>
    <mergeCell ref="B101:B102"/>
    <mergeCell ref="A101:A102"/>
    <mergeCell ref="C103:C104"/>
    <mergeCell ref="B103:B104"/>
    <mergeCell ref="A103:A104"/>
    <mergeCell ref="C125:C126"/>
    <mergeCell ref="B125:B126"/>
    <mergeCell ref="A125:A126"/>
    <mergeCell ref="C117:C118"/>
    <mergeCell ref="B117:B118"/>
    <mergeCell ref="C80:C81"/>
    <mergeCell ref="B80:B81"/>
    <mergeCell ref="A80:A81"/>
    <mergeCell ref="C82:C85"/>
    <mergeCell ref="B82:B85"/>
    <mergeCell ref="A82:A85"/>
    <mergeCell ref="C86:C87"/>
    <mergeCell ref="B86:B87"/>
    <mergeCell ref="A86:A87"/>
    <mergeCell ref="C88:C89"/>
    <mergeCell ref="B88:B89"/>
    <mergeCell ref="A88:A89"/>
    <mergeCell ref="C90:C91"/>
    <mergeCell ref="B90:B91"/>
    <mergeCell ref="A90:A91"/>
    <mergeCell ref="C92:C93"/>
    <mergeCell ref="B92:B93"/>
    <mergeCell ref="A92:A93"/>
    <mergeCell ref="B96:B97"/>
    <mergeCell ref="A96:A97"/>
    <mergeCell ref="C98:C99"/>
    <mergeCell ref="B31:B32"/>
    <mergeCell ref="A31:A32"/>
    <mergeCell ref="C33:C34"/>
    <mergeCell ref="B33:B34"/>
    <mergeCell ref="A33:A34"/>
    <mergeCell ref="C35:C36"/>
    <mergeCell ref="B35:B36"/>
    <mergeCell ref="C20:C24"/>
    <mergeCell ref="B20:B24"/>
    <mergeCell ref="A20:A24"/>
    <mergeCell ref="C25:C26"/>
    <mergeCell ref="B25:B26"/>
    <mergeCell ref="A25:A26"/>
    <mergeCell ref="C27:C28"/>
    <mergeCell ref="B27:B28"/>
    <mergeCell ref="A27:A28"/>
    <mergeCell ref="A35:A36"/>
    <mergeCell ref="C37:C38"/>
    <mergeCell ref="B37:B38"/>
    <mergeCell ref="A37:A38"/>
    <mergeCell ref="C39:C40"/>
    <mergeCell ref="B39:B40"/>
    <mergeCell ref="A39:A40"/>
    <mergeCell ref="C41:C42"/>
    <mergeCell ref="B41:B42"/>
    <mergeCell ref="A41:A42"/>
    <mergeCell ref="A2:X2"/>
    <mergeCell ref="A4:A5"/>
    <mergeCell ref="B4:B5"/>
    <mergeCell ref="C4:C5"/>
    <mergeCell ref="D4:D5"/>
    <mergeCell ref="E4:E5"/>
    <mergeCell ref="F4:F5"/>
    <mergeCell ref="G4:G5"/>
    <mergeCell ref="H4:O4"/>
    <mergeCell ref="Q4:X4"/>
    <mergeCell ref="C29:C30"/>
    <mergeCell ref="B29:B30"/>
    <mergeCell ref="A29:A30"/>
    <mergeCell ref="C16:C17"/>
    <mergeCell ref="B16:B17"/>
    <mergeCell ref="A16:A17"/>
    <mergeCell ref="C6:C13"/>
    <mergeCell ref="B6:B13"/>
    <mergeCell ref="A6:A13"/>
    <mergeCell ref="C14:C15"/>
    <mergeCell ref="B14:B15"/>
    <mergeCell ref="A14:A15"/>
    <mergeCell ref="C31:C32"/>
    <mergeCell ref="C54:C55"/>
    <mergeCell ref="B54:B55"/>
    <mergeCell ref="A54:A55"/>
    <mergeCell ref="C56:C57"/>
    <mergeCell ref="B56:B57"/>
    <mergeCell ref="A56:A57"/>
    <mergeCell ref="C59:C60"/>
    <mergeCell ref="B59:B60"/>
    <mergeCell ref="A59:A60"/>
    <mergeCell ref="C43:C44"/>
    <mergeCell ref="B43:B44"/>
    <mergeCell ref="A43:A44"/>
    <mergeCell ref="C47:C48"/>
    <mergeCell ref="B47:B48"/>
    <mergeCell ref="A47:A48"/>
    <mergeCell ref="C52:C53"/>
    <mergeCell ref="B52:B53"/>
    <mergeCell ref="A52:A53"/>
    <mergeCell ref="C68:C69"/>
    <mergeCell ref="B68:B69"/>
    <mergeCell ref="A68:A69"/>
    <mergeCell ref="C70:C71"/>
    <mergeCell ref="B70:B71"/>
    <mergeCell ref="A70:A71"/>
    <mergeCell ref="C72:C78"/>
    <mergeCell ref="B72:B78"/>
    <mergeCell ref="A72:A78"/>
    <mergeCell ref="C61:C62"/>
    <mergeCell ref="B61:B62"/>
    <mergeCell ref="A61:A62"/>
    <mergeCell ref="C64:C65"/>
    <mergeCell ref="B64:B65"/>
    <mergeCell ref="A64:A65"/>
    <mergeCell ref="C66:C67"/>
    <mergeCell ref="B66:B67"/>
    <mergeCell ref="A66:A67"/>
    <mergeCell ref="B98:B99"/>
    <mergeCell ref="A98:A99"/>
    <mergeCell ref="C139:C142"/>
    <mergeCell ref="B139:B142"/>
    <mergeCell ref="A139:A142"/>
    <mergeCell ref="C130:C131"/>
    <mergeCell ref="B130:B131"/>
    <mergeCell ref="A130:A131"/>
    <mergeCell ref="C132:C133"/>
    <mergeCell ref="B132:B133"/>
    <mergeCell ref="A132:A133"/>
    <mergeCell ref="C136:C137"/>
    <mergeCell ref="B136:B137"/>
    <mergeCell ref="A136:A137"/>
    <mergeCell ref="C127:C129"/>
    <mergeCell ref="B127:B129"/>
    <mergeCell ref="A127:A129"/>
    <mergeCell ref="C105:C106"/>
    <mergeCell ref="B105:B106"/>
    <mergeCell ref="A105:A106"/>
    <mergeCell ref="C107:C110"/>
    <mergeCell ref="B107:B110"/>
    <mergeCell ref="A107:A110"/>
    <mergeCell ref="C113:C114"/>
    <mergeCell ref="B113:B114"/>
    <mergeCell ref="A113:A114"/>
    <mergeCell ref="C111:C112"/>
    <mergeCell ref="B111:B112"/>
    <mergeCell ref="A111:A112"/>
    <mergeCell ref="C115:C116"/>
    <mergeCell ref="B115:B116"/>
    <mergeCell ref="A115:A116"/>
    <mergeCell ref="C152:C153"/>
    <mergeCell ref="B152:B153"/>
    <mergeCell ref="A152:A153"/>
    <mergeCell ref="C154:C155"/>
    <mergeCell ref="B154:B155"/>
    <mergeCell ref="A154:A155"/>
    <mergeCell ref="A117:A118"/>
    <mergeCell ref="C119:C121"/>
    <mergeCell ref="B119:B121"/>
    <mergeCell ref="A119:A121"/>
    <mergeCell ref="C156:C157"/>
    <mergeCell ref="B156:B157"/>
    <mergeCell ref="A156:A157"/>
    <mergeCell ref="C150:C151"/>
    <mergeCell ref="B150:B151"/>
    <mergeCell ref="A150:A151"/>
    <mergeCell ref="C143:C145"/>
    <mergeCell ref="B143:B145"/>
    <mergeCell ref="A143:A145"/>
    <mergeCell ref="C146:C147"/>
    <mergeCell ref="B146:B147"/>
    <mergeCell ref="A146:A147"/>
    <mergeCell ref="C148:C149"/>
    <mergeCell ref="B148:B149"/>
    <mergeCell ref="A148:A149"/>
    <mergeCell ref="C172:C176"/>
    <mergeCell ref="B172:B176"/>
    <mergeCell ref="A172:A176"/>
    <mergeCell ref="C177:C178"/>
    <mergeCell ref="B177:B178"/>
    <mergeCell ref="A177:A178"/>
    <mergeCell ref="C158:C159"/>
    <mergeCell ref="B158:B159"/>
    <mergeCell ref="A158:A159"/>
    <mergeCell ref="C160:C164"/>
    <mergeCell ref="B160:B164"/>
    <mergeCell ref="A160:A164"/>
    <mergeCell ref="C165:C166"/>
    <mergeCell ref="B165:B166"/>
    <mergeCell ref="A165:A166"/>
    <mergeCell ref="C169:C171"/>
    <mergeCell ref="B169:B171"/>
    <mergeCell ref="A169:A171"/>
    <mergeCell ref="C199:C200"/>
    <mergeCell ref="B199:B200"/>
    <mergeCell ref="A199:A200"/>
    <mergeCell ref="C193:C194"/>
    <mergeCell ref="B193:B194"/>
    <mergeCell ref="A193:A194"/>
    <mergeCell ref="C195:C196"/>
    <mergeCell ref="B195:B196"/>
    <mergeCell ref="A195:A196"/>
    <mergeCell ref="C197:C198"/>
    <mergeCell ref="B197:B198"/>
    <mergeCell ref="A197:A198"/>
    <mergeCell ref="C187:C188"/>
    <mergeCell ref="B187:B188"/>
    <mergeCell ref="A187:A188"/>
    <mergeCell ref="C189:C190"/>
    <mergeCell ref="B189:B190"/>
    <mergeCell ref="A189:A190"/>
    <mergeCell ref="C191:C192"/>
    <mergeCell ref="B191:B192"/>
    <mergeCell ref="A191:A192"/>
    <mergeCell ref="A222:A223"/>
    <mergeCell ref="C212:C213"/>
    <mergeCell ref="B212:B213"/>
    <mergeCell ref="A212:A213"/>
    <mergeCell ref="C214:C215"/>
    <mergeCell ref="B214:B215"/>
    <mergeCell ref="A214:A215"/>
    <mergeCell ref="C216:C217"/>
    <mergeCell ref="B216:B217"/>
    <mergeCell ref="A216:A217"/>
    <mergeCell ref="C208:C209"/>
    <mergeCell ref="B208:B209"/>
    <mergeCell ref="A208:A209"/>
    <mergeCell ref="C202:C203"/>
    <mergeCell ref="B202:B203"/>
    <mergeCell ref="A202:A203"/>
    <mergeCell ref="C204:C205"/>
    <mergeCell ref="B204:B205"/>
    <mergeCell ref="A204:A205"/>
    <mergeCell ref="C206:C207"/>
    <mergeCell ref="B206:B207"/>
    <mergeCell ref="A206:A207"/>
    <mergeCell ref="C218:C219"/>
    <mergeCell ref="B218:B219"/>
    <mergeCell ref="A218:A219"/>
    <mergeCell ref="C220:C221"/>
    <mergeCell ref="B220:B221"/>
    <mergeCell ref="A220:A221"/>
    <mergeCell ref="C222:C223"/>
    <mergeCell ref="B222:B223"/>
    <mergeCell ref="C231:C232"/>
    <mergeCell ref="B231:B232"/>
    <mergeCell ref="A231:A232"/>
    <mergeCell ref="C234:C235"/>
    <mergeCell ref="B234:B235"/>
    <mergeCell ref="A234:A235"/>
    <mergeCell ref="C236:C237"/>
    <mergeCell ref="B236:B237"/>
    <mergeCell ref="A236:A237"/>
    <mergeCell ref="C224:C225"/>
    <mergeCell ref="B224:B225"/>
    <mergeCell ref="A224:A225"/>
    <mergeCell ref="C226:C227"/>
    <mergeCell ref="B226:B227"/>
    <mergeCell ref="A226:A227"/>
    <mergeCell ref="C229:C230"/>
    <mergeCell ref="B229:B230"/>
    <mergeCell ref="A229:A230"/>
    <mergeCell ref="C238:C239"/>
    <mergeCell ref="B238:B239"/>
    <mergeCell ref="A238:A239"/>
    <mergeCell ref="C240:C241"/>
    <mergeCell ref="B240:B241"/>
    <mergeCell ref="A240:A241"/>
    <mergeCell ref="C256:C257"/>
    <mergeCell ref="B256:B257"/>
    <mergeCell ref="A256:A257"/>
    <mergeCell ref="C242:C243"/>
    <mergeCell ref="B242:B243"/>
    <mergeCell ref="I264:K264"/>
    <mergeCell ref="L264:M264"/>
    <mergeCell ref="R264:T264"/>
    <mergeCell ref="U264:V264"/>
    <mergeCell ref="A258:C258"/>
    <mergeCell ref="I262:K262"/>
    <mergeCell ref="L262:M262"/>
    <mergeCell ref="R262:T262"/>
    <mergeCell ref="U262:V262"/>
    <mergeCell ref="I263:K263"/>
    <mergeCell ref="L263:M263"/>
    <mergeCell ref="R263:T263"/>
    <mergeCell ref="U263:V263"/>
    <mergeCell ref="B441:B442"/>
    <mergeCell ref="C495:C496"/>
    <mergeCell ref="B495:B496"/>
    <mergeCell ref="C504:C505"/>
    <mergeCell ref="B275:B276"/>
    <mergeCell ref="C293:C294"/>
    <mergeCell ref="C273:C274"/>
    <mergeCell ref="C402:C403"/>
    <mergeCell ref="B402:B403"/>
    <mergeCell ref="C426:C427"/>
    <mergeCell ref="B426:B427"/>
    <mergeCell ref="C428:C429"/>
    <mergeCell ref="B428:B429"/>
    <mergeCell ref="C433:C434"/>
    <mergeCell ref="B433:B434"/>
    <mergeCell ref="C435:C436"/>
    <mergeCell ref="B435:B436"/>
    <mergeCell ref="C437:C438"/>
    <mergeCell ref="B437:B438"/>
    <mergeCell ref="C382:C384"/>
    <mergeCell ref="C315:C316"/>
    <mergeCell ref="B315:B316"/>
    <mergeCell ref="C279:C280"/>
    <mergeCell ref="B289:B290"/>
    <mergeCell ref="C291:C292"/>
    <mergeCell ref="B291:B292"/>
    <mergeCell ref="B300:B302"/>
    <mergeCell ref="C303:C304"/>
    <mergeCell ref="B303:B304"/>
    <mergeCell ref="C311:C312"/>
    <mergeCell ref="B311:B312"/>
    <mergeCell ref="C362:C363"/>
    <mergeCell ref="A305:A306"/>
    <mergeCell ref="C332:C333"/>
    <mergeCell ref="B332:B333"/>
    <mergeCell ref="A332:A333"/>
    <mergeCell ref="C335:C336"/>
    <mergeCell ref="B335:B336"/>
    <mergeCell ref="A335:A336"/>
    <mergeCell ref="C337:C338"/>
    <mergeCell ref="B337:B338"/>
    <mergeCell ref="A337:A338"/>
    <mergeCell ref="C325:C326"/>
    <mergeCell ref="B325:B326"/>
    <mergeCell ref="A325:A326"/>
    <mergeCell ref="C328:C329"/>
    <mergeCell ref="B328:B329"/>
    <mergeCell ref="A328:A329"/>
    <mergeCell ref="C330:C331"/>
    <mergeCell ref="B330:B331"/>
    <mergeCell ref="A330:A331"/>
    <mergeCell ref="A315:A316"/>
    <mergeCell ref="C317:C318"/>
    <mergeCell ref="B317:B318"/>
    <mergeCell ref="A317:A318"/>
    <mergeCell ref="C319:C323"/>
    <mergeCell ref="B319:B323"/>
    <mergeCell ref="A319:A323"/>
    <mergeCell ref="B362:B363"/>
    <mergeCell ref="A362:A363"/>
    <mergeCell ref="C351:C357"/>
    <mergeCell ref="B351:B357"/>
    <mergeCell ref="A351:A357"/>
    <mergeCell ref="C358:C359"/>
    <mergeCell ref="B358:B359"/>
    <mergeCell ref="A358:A359"/>
    <mergeCell ref="C360:C361"/>
    <mergeCell ref="B360:B361"/>
    <mergeCell ref="A360:A361"/>
    <mergeCell ref="C339:C340"/>
    <mergeCell ref="B339:B340"/>
    <mergeCell ref="A339:A340"/>
    <mergeCell ref="C341:C342"/>
    <mergeCell ref="B341:B342"/>
    <mergeCell ref="A341:A342"/>
    <mergeCell ref="C345:C347"/>
    <mergeCell ref="B345:B347"/>
    <mergeCell ref="A345:A347"/>
    <mergeCell ref="A348:A349"/>
    <mergeCell ref="B348:B349"/>
    <mergeCell ref="C396:C397"/>
    <mergeCell ref="B396:B397"/>
    <mergeCell ref="A396:A397"/>
    <mergeCell ref="C364:C365"/>
    <mergeCell ref="B364:B365"/>
    <mergeCell ref="A364:A365"/>
    <mergeCell ref="C366:C367"/>
    <mergeCell ref="B366:B367"/>
    <mergeCell ref="A366:A367"/>
    <mergeCell ref="C368:C370"/>
    <mergeCell ref="B368:B370"/>
    <mergeCell ref="A368:A370"/>
    <mergeCell ref="C371:C372"/>
    <mergeCell ref="B371:B372"/>
    <mergeCell ref="A371:A372"/>
    <mergeCell ref="C373:C374"/>
    <mergeCell ref="B373:B374"/>
    <mergeCell ref="A373:A374"/>
    <mergeCell ref="C375:C376"/>
    <mergeCell ref="B375:B376"/>
    <mergeCell ref="A375:A376"/>
    <mergeCell ref="C377:C378"/>
    <mergeCell ref="B377:B378"/>
    <mergeCell ref="A377:A378"/>
    <mergeCell ref="A380:A381"/>
    <mergeCell ref="B382:B384"/>
    <mergeCell ref="A382:A384"/>
    <mergeCell ref="C392:C393"/>
    <mergeCell ref="B392:B393"/>
    <mergeCell ref="A392:A393"/>
    <mergeCell ref="C385:C386"/>
    <mergeCell ref="B385:B386"/>
    <mergeCell ref="A426:A427"/>
    <mergeCell ref="A428:A429"/>
    <mergeCell ref="A430:A431"/>
    <mergeCell ref="A433:A434"/>
    <mergeCell ref="A435:A436"/>
    <mergeCell ref="A437:A438"/>
    <mergeCell ref="A441:A442"/>
    <mergeCell ref="C450:C452"/>
    <mergeCell ref="B450:B452"/>
    <mergeCell ref="A450:A452"/>
    <mergeCell ref="C443:C444"/>
    <mergeCell ref="B443:B444"/>
    <mergeCell ref="A443:A444"/>
    <mergeCell ref="C445:C446"/>
    <mergeCell ref="C469:C470"/>
    <mergeCell ref="B469:B470"/>
    <mergeCell ref="A469:A470"/>
    <mergeCell ref="C463:C464"/>
    <mergeCell ref="B463:B464"/>
    <mergeCell ref="A463:A464"/>
    <mergeCell ref="C465:C466"/>
    <mergeCell ref="B465:B466"/>
    <mergeCell ref="A465:A466"/>
    <mergeCell ref="C467:C468"/>
    <mergeCell ref="B467:B468"/>
    <mergeCell ref="A467:A468"/>
    <mergeCell ref="B445:B446"/>
    <mergeCell ref="A445:A446"/>
    <mergeCell ref="C447:C448"/>
    <mergeCell ref="B447:B448"/>
    <mergeCell ref="A447:A448"/>
    <mergeCell ref="C430:C431"/>
    <mergeCell ref="A485:A486"/>
    <mergeCell ref="C487:C488"/>
    <mergeCell ref="B487:B488"/>
    <mergeCell ref="A487:A488"/>
    <mergeCell ref="C489:C490"/>
    <mergeCell ref="B489:B490"/>
    <mergeCell ref="A489:A490"/>
    <mergeCell ref="C491:C492"/>
    <mergeCell ref="B491:B492"/>
    <mergeCell ref="A491:A492"/>
    <mergeCell ref="C476:C477"/>
    <mergeCell ref="B476:B477"/>
    <mergeCell ref="A476:A477"/>
    <mergeCell ref="C478:C479"/>
    <mergeCell ref="B478:B479"/>
    <mergeCell ref="A478:A479"/>
    <mergeCell ref="C480:C482"/>
    <mergeCell ref="B480:B482"/>
    <mergeCell ref="A480:A482"/>
    <mergeCell ref="C485:C486"/>
    <mergeCell ref="B485:B486"/>
    <mergeCell ref="B534:B535"/>
    <mergeCell ref="A534:A535"/>
    <mergeCell ref="C568:C569"/>
    <mergeCell ref="B568:B569"/>
    <mergeCell ref="A568:A569"/>
    <mergeCell ref="C549:C550"/>
    <mergeCell ref="B549:B550"/>
    <mergeCell ref="A549:A550"/>
    <mergeCell ref="B564:B565"/>
    <mergeCell ref="A564:A565"/>
    <mergeCell ref="C566:C567"/>
    <mergeCell ref="B566:B567"/>
    <mergeCell ref="A566:A567"/>
    <mergeCell ref="B562:B563"/>
    <mergeCell ref="A562:A563"/>
    <mergeCell ref="C564:C565"/>
    <mergeCell ref="C553:C554"/>
    <mergeCell ref="B553:B554"/>
    <mergeCell ref="A553:A554"/>
    <mergeCell ref="C555:C556"/>
    <mergeCell ref="B555:B556"/>
    <mergeCell ref="A555:A556"/>
    <mergeCell ref="C557:C559"/>
    <mergeCell ref="B557:B559"/>
    <mergeCell ref="A557:A559"/>
    <mergeCell ref="C560:C561"/>
    <mergeCell ref="B560:B561"/>
    <mergeCell ref="A560:A561"/>
    <mergeCell ref="C595:C596"/>
    <mergeCell ref="B595:B596"/>
    <mergeCell ref="A595:A596"/>
    <mergeCell ref="C599:C600"/>
    <mergeCell ref="B599:B600"/>
    <mergeCell ref="A599:A600"/>
    <mergeCell ref="C601:C602"/>
    <mergeCell ref="B601:B602"/>
    <mergeCell ref="A601:A602"/>
    <mergeCell ref="C621:C622"/>
    <mergeCell ref="B621:B622"/>
    <mergeCell ref="A621:A622"/>
    <mergeCell ref="C623:C624"/>
    <mergeCell ref="B623:B624"/>
    <mergeCell ref="A623:A624"/>
    <mergeCell ref="C625:C626"/>
    <mergeCell ref="B625:B626"/>
    <mergeCell ref="A625:A626"/>
    <mergeCell ref="A616:X616"/>
    <mergeCell ref="A619:A620"/>
    <mergeCell ref="R611:T611"/>
    <mergeCell ref="U611:V611"/>
    <mergeCell ref="L611:M611"/>
    <mergeCell ref="I609:K609"/>
    <mergeCell ref="L609:M609"/>
    <mergeCell ref="R609:T609"/>
    <mergeCell ref="U609:V609"/>
    <mergeCell ref="I610:K610"/>
    <mergeCell ref="L610:M610"/>
    <mergeCell ref="R610:T610"/>
    <mergeCell ref="B619:B620"/>
    <mergeCell ref="C619:C620"/>
    <mergeCell ref="D619:D620"/>
    <mergeCell ref="E619:E620"/>
    <mergeCell ref="F619:F620"/>
    <mergeCell ref="G619:G620"/>
    <mergeCell ref="H619:O619"/>
    <mergeCell ref="Q619:X619"/>
    <mergeCell ref="U610:V610"/>
    <mergeCell ref="I611:K611"/>
    <mergeCell ref="L891:M891"/>
    <mergeCell ref="R891:T891"/>
    <mergeCell ref="U891:V891"/>
    <mergeCell ref="C627:C628"/>
    <mergeCell ref="B627:B628"/>
    <mergeCell ref="C661:C662"/>
    <mergeCell ref="B661:B662"/>
    <mergeCell ref="C669:C670"/>
    <mergeCell ref="B669:B670"/>
    <mergeCell ref="C679:C680"/>
    <mergeCell ref="B679:B680"/>
    <mergeCell ref="C663:C664"/>
    <mergeCell ref="B663:B664"/>
    <mergeCell ref="C665:C666"/>
    <mergeCell ref="B665:B666"/>
    <mergeCell ref="C667:C668"/>
    <mergeCell ref="C749:C750"/>
    <mergeCell ref="B749:B750"/>
    <mergeCell ref="C751:C752"/>
    <mergeCell ref="B751:B752"/>
    <mergeCell ref="C738:C739"/>
    <mergeCell ref="B738:B739"/>
    <mergeCell ref="C743:C744"/>
    <mergeCell ref="B743:B744"/>
    <mergeCell ref="I891:K891"/>
    <mergeCell ref="A886:C886"/>
    <mergeCell ref="C635:C636"/>
    <mergeCell ref="B635:B636"/>
    <mergeCell ref="I892:K892"/>
    <mergeCell ref="L892:M892"/>
    <mergeCell ref="R892:T892"/>
    <mergeCell ref="U892:V892"/>
    <mergeCell ref="I893:K893"/>
    <mergeCell ref="L893:M893"/>
    <mergeCell ref="R893:T893"/>
    <mergeCell ref="U893:V893"/>
    <mergeCell ref="B629:B630"/>
    <mergeCell ref="C646:C647"/>
    <mergeCell ref="B646:B647"/>
    <mergeCell ref="C655:C660"/>
    <mergeCell ref="B655:B660"/>
    <mergeCell ref="C681:C682"/>
    <mergeCell ref="B681:B682"/>
    <mergeCell ref="B667:B668"/>
    <mergeCell ref="C672:C673"/>
    <mergeCell ref="B672:B673"/>
    <mergeCell ref="C674:C675"/>
    <mergeCell ref="B674:B675"/>
    <mergeCell ref="C676:C677"/>
    <mergeCell ref="B676:B677"/>
    <mergeCell ref="C684:C685"/>
    <mergeCell ref="B684:B685"/>
    <mergeCell ref="C747:C748"/>
    <mergeCell ref="B747:B748"/>
    <mergeCell ref="C757:C758"/>
    <mergeCell ref="B757:B758"/>
    <mergeCell ref="A652:A653"/>
    <mergeCell ref="A661:A662"/>
    <mergeCell ref="A663:A664"/>
    <mergeCell ref="A665:A666"/>
    <mergeCell ref="A667:A668"/>
    <mergeCell ref="A679:A680"/>
    <mergeCell ref="A669:A670"/>
    <mergeCell ref="A672:A673"/>
    <mergeCell ref="A674:A675"/>
    <mergeCell ref="A676:A677"/>
    <mergeCell ref="C699:C700"/>
    <mergeCell ref="B699:B700"/>
    <mergeCell ref="A699:A700"/>
    <mergeCell ref="C701:C702"/>
    <mergeCell ref="B701:B702"/>
    <mergeCell ref="A701:A702"/>
    <mergeCell ref="C703:C704"/>
    <mergeCell ref="B703:B704"/>
    <mergeCell ref="A703:A704"/>
    <mergeCell ref="C692:C693"/>
    <mergeCell ref="B692:B693"/>
    <mergeCell ref="A692:A693"/>
    <mergeCell ref="C694:C696"/>
    <mergeCell ref="B694:B696"/>
    <mergeCell ref="A694:A696"/>
    <mergeCell ref="C697:C698"/>
    <mergeCell ref="B697:B698"/>
    <mergeCell ref="A697:A698"/>
    <mergeCell ref="C711:C712"/>
    <mergeCell ref="B711:B712"/>
    <mergeCell ref="A711:A712"/>
    <mergeCell ref="C713:C714"/>
    <mergeCell ref="B713:B714"/>
    <mergeCell ref="A713:A714"/>
    <mergeCell ref="C715:C716"/>
    <mergeCell ref="B715:B716"/>
    <mergeCell ref="A715:A716"/>
    <mergeCell ref="C705:C706"/>
    <mergeCell ref="B705:B706"/>
    <mergeCell ref="A705:A706"/>
    <mergeCell ref="C707:C708"/>
    <mergeCell ref="B707:B708"/>
    <mergeCell ref="A707:A708"/>
    <mergeCell ref="C709:C710"/>
    <mergeCell ref="B709:B710"/>
    <mergeCell ref="A709:A710"/>
    <mergeCell ref="C755:C756"/>
    <mergeCell ref="B755:B756"/>
    <mergeCell ref="A755:A756"/>
    <mergeCell ref="C753:C754"/>
    <mergeCell ref="B753:B754"/>
    <mergeCell ref="A753:A754"/>
    <mergeCell ref="C717:C718"/>
    <mergeCell ref="B717:B718"/>
    <mergeCell ref="A717:A718"/>
    <mergeCell ref="C719:C720"/>
    <mergeCell ref="B719:B720"/>
    <mergeCell ref="A719:A720"/>
    <mergeCell ref="C721:C722"/>
    <mergeCell ref="B721:B722"/>
    <mergeCell ref="A721:A722"/>
    <mergeCell ref="C735:C736"/>
    <mergeCell ref="B735:B736"/>
    <mergeCell ref="A735:A736"/>
    <mergeCell ref="C723:C730"/>
    <mergeCell ref="B723:B730"/>
    <mergeCell ref="A723:A730"/>
    <mergeCell ref="C731:C732"/>
    <mergeCell ref="B731:B732"/>
    <mergeCell ref="A731:A732"/>
    <mergeCell ref="C733:C734"/>
    <mergeCell ref="B733:B734"/>
    <mergeCell ref="A733:A734"/>
    <mergeCell ref="B795:B796"/>
    <mergeCell ref="A795:A796"/>
    <mergeCell ref="C797:C798"/>
    <mergeCell ref="B797:B798"/>
    <mergeCell ref="A797:A798"/>
    <mergeCell ref="C787:C788"/>
    <mergeCell ref="B787:B788"/>
    <mergeCell ref="A787:A788"/>
    <mergeCell ref="C789:C790"/>
    <mergeCell ref="B789:B790"/>
    <mergeCell ref="A789:A790"/>
    <mergeCell ref="C791:C792"/>
    <mergeCell ref="B791:B792"/>
    <mergeCell ref="A791:A792"/>
    <mergeCell ref="C812:C813"/>
    <mergeCell ref="B812:B813"/>
    <mergeCell ref="A812:A813"/>
    <mergeCell ref="C793:C794"/>
    <mergeCell ref="B793:B794"/>
    <mergeCell ref="A793:A794"/>
    <mergeCell ref="C795:C796"/>
    <mergeCell ref="C805:C806"/>
    <mergeCell ref="B805:B806"/>
    <mergeCell ref="A805:A806"/>
    <mergeCell ref="C807:C809"/>
    <mergeCell ref="B807:B809"/>
    <mergeCell ref="A807:A809"/>
    <mergeCell ref="C810:C811"/>
    <mergeCell ref="B810:B811"/>
    <mergeCell ref="A810:A811"/>
    <mergeCell ref="C799:C800"/>
    <mergeCell ref="B799:B800"/>
    <mergeCell ref="A799:A800"/>
    <mergeCell ref="C801:C802"/>
    <mergeCell ref="B801:B802"/>
    <mergeCell ref="A801:A802"/>
    <mergeCell ref="C803:C804"/>
    <mergeCell ref="B803:B804"/>
    <mergeCell ref="A803:A804"/>
    <mergeCell ref="A841:A842"/>
    <mergeCell ref="C843:C844"/>
    <mergeCell ref="B843:B844"/>
    <mergeCell ref="A843:A844"/>
    <mergeCell ref="C845:C846"/>
    <mergeCell ref="B845:B846"/>
    <mergeCell ref="A845:A846"/>
    <mergeCell ref="C847:C848"/>
    <mergeCell ref="B847:B848"/>
    <mergeCell ref="A847:A848"/>
    <mergeCell ref="B833:B834"/>
    <mergeCell ref="A833:A834"/>
    <mergeCell ref="C835:C836"/>
    <mergeCell ref="B835:B836"/>
    <mergeCell ref="A835:A836"/>
    <mergeCell ref="C838:C839"/>
    <mergeCell ref="B838:B839"/>
    <mergeCell ref="A838:A839"/>
    <mergeCell ref="C849:C850"/>
    <mergeCell ref="B849:B850"/>
    <mergeCell ref="A849:A850"/>
    <mergeCell ref="C851:C852"/>
    <mergeCell ref="B851:B852"/>
    <mergeCell ref="A851:A852"/>
    <mergeCell ref="C814:C815"/>
    <mergeCell ref="B814:B815"/>
    <mergeCell ref="A814:A815"/>
    <mergeCell ref="C818:C819"/>
    <mergeCell ref="B818:B819"/>
    <mergeCell ref="A818:A819"/>
    <mergeCell ref="C823:C824"/>
    <mergeCell ref="B823:B824"/>
    <mergeCell ref="A823:A824"/>
    <mergeCell ref="C825:C826"/>
    <mergeCell ref="B825:B826"/>
    <mergeCell ref="A825:A826"/>
    <mergeCell ref="C827:C828"/>
    <mergeCell ref="B827:B828"/>
    <mergeCell ref="A827:A828"/>
    <mergeCell ref="C829:C830"/>
    <mergeCell ref="I1275:K1275"/>
    <mergeCell ref="L1275:M1275"/>
    <mergeCell ref="R1275:T1275"/>
    <mergeCell ref="U1275:V1275"/>
    <mergeCell ref="A898:X898"/>
    <mergeCell ref="A901:A902"/>
    <mergeCell ref="B901:B902"/>
    <mergeCell ref="C901:C902"/>
    <mergeCell ref="D901:D902"/>
    <mergeCell ref="E901:E902"/>
    <mergeCell ref="F901:F902"/>
    <mergeCell ref="G901:G902"/>
    <mergeCell ref="H901:O901"/>
    <mergeCell ref="Q901:X901"/>
    <mergeCell ref="A1268:C1268"/>
    <mergeCell ref="C903:C904"/>
    <mergeCell ref="B903:B904"/>
    <mergeCell ref="A903:A904"/>
    <mergeCell ref="C905:C906"/>
    <mergeCell ref="B905:B906"/>
    <mergeCell ref="A905:A906"/>
    <mergeCell ref="C907:C908"/>
    <mergeCell ref="B907:B908"/>
    <mergeCell ref="A907:A908"/>
    <mergeCell ref="C926:C928"/>
    <mergeCell ref="B926:B928"/>
    <mergeCell ref="A926:A928"/>
    <mergeCell ref="C909:C910"/>
    <mergeCell ref="B909:B910"/>
    <mergeCell ref="A940:A941"/>
    <mergeCell ref="C942:C943"/>
    <mergeCell ref="B942:B943"/>
    <mergeCell ref="R1273:T1273"/>
    <mergeCell ref="U1273:V1273"/>
    <mergeCell ref="I1274:K1274"/>
    <mergeCell ref="L1274:M1274"/>
    <mergeCell ref="R1274:T1274"/>
    <mergeCell ref="U1274:V1274"/>
    <mergeCell ref="C929:C930"/>
    <mergeCell ref="B929:B930"/>
    <mergeCell ref="A929:A930"/>
    <mergeCell ref="C931:C932"/>
    <mergeCell ref="B931:B932"/>
    <mergeCell ref="A931:A932"/>
    <mergeCell ref="C933:C934"/>
    <mergeCell ref="B933:B934"/>
    <mergeCell ref="A933:A934"/>
    <mergeCell ref="C935:C936"/>
    <mergeCell ref="B935:B936"/>
    <mergeCell ref="A935:A936"/>
    <mergeCell ref="C938:C939"/>
    <mergeCell ref="B938:B939"/>
    <mergeCell ref="C947:C948"/>
    <mergeCell ref="B947:B948"/>
    <mergeCell ref="A947:A948"/>
    <mergeCell ref="C949:C951"/>
    <mergeCell ref="B949:B951"/>
    <mergeCell ref="A949:A951"/>
    <mergeCell ref="C952:C953"/>
    <mergeCell ref="A938:A939"/>
    <mergeCell ref="C940:C941"/>
    <mergeCell ref="B940:B941"/>
    <mergeCell ref="A942:A943"/>
    <mergeCell ref="C944:C945"/>
    <mergeCell ref="I1273:K1273"/>
    <mergeCell ref="L1273:M1273"/>
    <mergeCell ref="B980:B981"/>
    <mergeCell ref="A980:A981"/>
    <mergeCell ref="C982:C983"/>
    <mergeCell ref="B982:B983"/>
    <mergeCell ref="A982:A983"/>
    <mergeCell ref="C984:C985"/>
    <mergeCell ref="B984:B985"/>
    <mergeCell ref="A984:A985"/>
    <mergeCell ref="C986:C987"/>
    <mergeCell ref="B986:B987"/>
    <mergeCell ref="A986:A987"/>
    <mergeCell ref="C988:C989"/>
    <mergeCell ref="B988:B989"/>
    <mergeCell ref="A988:A989"/>
    <mergeCell ref="C990:C991"/>
    <mergeCell ref="C1000:C1001"/>
    <mergeCell ref="B1000:B1001"/>
    <mergeCell ref="A1000:A1001"/>
    <mergeCell ref="C1002:C1004"/>
    <mergeCell ref="B1002:B1004"/>
    <mergeCell ref="A1002:A1004"/>
    <mergeCell ref="C1005:C1006"/>
    <mergeCell ref="B1005:B1006"/>
    <mergeCell ref="A1005:A1006"/>
    <mergeCell ref="C1007:C1008"/>
    <mergeCell ref="B1007:B1008"/>
    <mergeCell ref="A1007:A1008"/>
    <mergeCell ref="B1195:B1196"/>
    <mergeCell ref="A1195:A1196"/>
    <mergeCell ref="C1197:C1200"/>
    <mergeCell ref="A1169:A1170"/>
    <mergeCell ref="C1171:C1172"/>
    <mergeCell ref="B1171:B1172"/>
    <mergeCell ref="B961:B962"/>
    <mergeCell ref="A961:A962"/>
    <mergeCell ref="C964:C965"/>
    <mergeCell ref="B964:B965"/>
    <mergeCell ref="A964:A965"/>
    <mergeCell ref="C966:C967"/>
    <mergeCell ref="B966:B967"/>
    <mergeCell ref="A966:A967"/>
    <mergeCell ref="C968:C969"/>
    <mergeCell ref="B968:B969"/>
    <mergeCell ref="A968:A969"/>
    <mergeCell ref="C996:C997"/>
    <mergeCell ref="B996:B997"/>
    <mergeCell ref="A996:A997"/>
    <mergeCell ref="C998:C999"/>
    <mergeCell ref="B998:B999"/>
    <mergeCell ref="A998:A999"/>
    <mergeCell ref="B992:B993"/>
    <mergeCell ref="A992:A993"/>
    <mergeCell ref="C994:C995"/>
    <mergeCell ref="B994:B995"/>
    <mergeCell ref="A994:A995"/>
    <mergeCell ref="B1067:B1068"/>
    <mergeCell ref="A1067:A1068"/>
    <mergeCell ref="A1075:A1076"/>
    <mergeCell ref="B990:B991"/>
    <mergeCell ref="A990:A991"/>
    <mergeCell ref="C1041:C1042"/>
    <mergeCell ref="B1041:B1042"/>
    <mergeCell ref="B1179:B1180"/>
    <mergeCell ref="B1167:B1168"/>
    <mergeCell ref="A1167:A1168"/>
    <mergeCell ref="C1169:C1170"/>
    <mergeCell ref="B1169:B1170"/>
    <mergeCell ref="B1197:B1200"/>
    <mergeCell ref="A1197:A1200"/>
    <mergeCell ref="C1201:C1202"/>
    <mergeCell ref="B1201:B1202"/>
    <mergeCell ref="A1201:A1202"/>
    <mergeCell ref="C1011:C1020"/>
    <mergeCell ref="B1011:B1020"/>
    <mergeCell ref="A1011:A1020"/>
    <mergeCell ref="C1022:C1023"/>
    <mergeCell ref="B1022:B1023"/>
    <mergeCell ref="A1022:A1023"/>
    <mergeCell ref="C1024:C1026"/>
    <mergeCell ref="B1024:B1026"/>
    <mergeCell ref="A1024:A1026"/>
    <mergeCell ref="C1027:C1028"/>
    <mergeCell ref="B1027:B1028"/>
    <mergeCell ref="A1027:A1028"/>
    <mergeCell ref="C1029:C1030"/>
    <mergeCell ref="B1029:B1030"/>
    <mergeCell ref="A1029:A1030"/>
    <mergeCell ref="C1031:C1032"/>
    <mergeCell ref="B1031:B1032"/>
    <mergeCell ref="A1031:A1032"/>
    <mergeCell ref="C1033:C1034"/>
    <mergeCell ref="B1033:B1034"/>
    <mergeCell ref="A1033:A1034"/>
    <mergeCell ref="C1035:C1036"/>
    <mergeCell ref="C1195:C1196"/>
    <mergeCell ref="B1191:B1192"/>
    <mergeCell ref="A1191:A1192"/>
    <mergeCell ref="C1193:C1194"/>
    <mergeCell ref="B1193:B1194"/>
    <mergeCell ref="C1225:C1226"/>
    <mergeCell ref="C1227:C1228"/>
    <mergeCell ref="B1227:B1228"/>
    <mergeCell ref="A1227:A1228"/>
    <mergeCell ref="C1229:C1230"/>
    <mergeCell ref="B1229:B1230"/>
    <mergeCell ref="A1229:A1230"/>
    <mergeCell ref="C1191:C1192"/>
    <mergeCell ref="B1146:B1147"/>
    <mergeCell ref="A1146:A1147"/>
    <mergeCell ref="C1148:C1149"/>
    <mergeCell ref="B1148:B1149"/>
    <mergeCell ref="A1152:A1153"/>
    <mergeCell ref="C1161:C1162"/>
    <mergeCell ref="B1161:B1162"/>
    <mergeCell ref="C1209:C1210"/>
    <mergeCell ref="B1209:B1210"/>
    <mergeCell ref="A1209:A1210"/>
    <mergeCell ref="C1213:C1214"/>
    <mergeCell ref="B1213:B1214"/>
    <mergeCell ref="A1213:A1214"/>
    <mergeCell ref="C1219:C1220"/>
    <mergeCell ref="B1219:B1220"/>
    <mergeCell ref="C1177:C1178"/>
    <mergeCell ref="B1177:B1178"/>
    <mergeCell ref="A1177:A1178"/>
    <mergeCell ref="C1179:C1180"/>
    <mergeCell ref="A1193:A1194"/>
    <mergeCell ref="B1173:B1174"/>
    <mergeCell ref="A1173:A1174"/>
    <mergeCell ref="A1171:A1172"/>
    <mergeCell ref="C1173:C1174"/>
    <mergeCell ref="C1244:C1245"/>
    <mergeCell ref="B1244:B1245"/>
    <mergeCell ref="A1244:A1245"/>
    <mergeCell ref="C1246:C1247"/>
    <mergeCell ref="B1246:B1247"/>
    <mergeCell ref="A1246:A1247"/>
    <mergeCell ref="A1179:A1180"/>
    <mergeCell ref="C1181:C1182"/>
    <mergeCell ref="C1232:C1233"/>
    <mergeCell ref="B1232:B1233"/>
    <mergeCell ref="B1181:B1182"/>
    <mergeCell ref="A1181:A1182"/>
    <mergeCell ref="C1186:C1187"/>
    <mergeCell ref="B1186:B1187"/>
    <mergeCell ref="A1186:A1187"/>
    <mergeCell ref="B1188:B1189"/>
    <mergeCell ref="A1188:A1189"/>
    <mergeCell ref="A1232:A1233"/>
    <mergeCell ref="C1221:C1222"/>
    <mergeCell ref="B1221:B1222"/>
    <mergeCell ref="A1221:A1222"/>
    <mergeCell ref="C1223:C1224"/>
    <mergeCell ref="B1223:B1224"/>
    <mergeCell ref="A1223:A1224"/>
    <mergeCell ref="B1225:B1226"/>
    <mergeCell ref="A1225:A1226"/>
    <mergeCell ref="A1219:A1220"/>
  </mergeCells>
  <pageMargins left="0.19685039370078741" right="0.19685039370078741" top="0.74803149606299213" bottom="0.74803149606299213" header="0.31496062992125984" footer="0.31496062992125984"/>
  <pageSetup paperSize="9" scale="49" orientation="landscape" r:id="rId1"/>
  <headerFooter>
    <oddHeader>&amp;C2023. évi költségvetés&amp;RDunaharaszti Város Önkormányzata előirányzat-módosítása</oddHeader>
    <oddFooter>&amp;C&amp;P/&amp;N</oddFooter>
  </headerFooter>
  <rowBreaks count="39" manualBreakCount="39">
    <brk id="40" max="23" man="1"/>
    <brk id="78" max="23" man="1"/>
    <brk id="112" max="23" man="1"/>
    <brk id="150" max="23" man="1"/>
    <brk id="185" max="23" man="1"/>
    <brk id="219" max="23" man="1"/>
    <brk id="249" max="23" man="1"/>
    <brk id="287" max="23" man="1"/>
    <brk id="324" max="23" man="1"/>
    <brk id="352" max="23" man="1"/>
    <brk id="378" max="23" man="1"/>
    <brk id="409" max="23" man="1"/>
    <brk id="440" max="23" man="1"/>
    <brk id="473" max="23" man="1"/>
    <brk id="504" max="23" man="1"/>
    <brk id="537" max="23" man="1"/>
    <brk id="568" max="23" man="1"/>
    <brk id="599" max="23" man="1"/>
    <brk id="637" max="23" man="1"/>
    <brk id="670" max="23" man="1"/>
    <brk id="704" max="23" man="1"/>
    <brk id="735" max="23" man="1"/>
    <brk id="769" max="23" man="1"/>
    <brk id="804" max="23" man="1"/>
    <brk id="833" max="23" man="1"/>
    <brk id="865" max="23" man="1"/>
    <brk id="893" max="23" man="1"/>
    <brk id="928" max="23" man="1"/>
    <brk id="963" max="23" man="1"/>
    <brk id="994" max="23" man="1"/>
    <brk id="1029" max="23" man="1"/>
    <brk id="1055" max="23" man="1"/>
    <brk id="1083" max="23" man="1"/>
    <brk id="1112" max="23" man="1"/>
    <brk id="1146" max="23" man="1"/>
    <brk id="1177" max="23" man="1"/>
    <brk id="1208" max="23" man="1"/>
    <brk id="1237" max="23" man="1"/>
    <brk id="1275" max="2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X182"/>
  <sheetViews>
    <sheetView view="pageBreakPreview" topLeftCell="A160" zoomScale="90" zoomScaleNormal="100" zoomScaleSheetLayoutView="90" workbookViewId="0">
      <selection activeCell="R29" sqref="R29:T29"/>
    </sheetView>
  </sheetViews>
  <sheetFormatPr defaultRowHeight="12.75" x14ac:dyDescent="0.2"/>
  <cols>
    <col min="1" max="2" width="4.42578125" customWidth="1"/>
    <col min="3" max="3" width="31.140625" customWidth="1"/>
    <col min="4" max="4" width="6.140625" customWidth="1"/>
    <col min="5" max="5" width="6.42578125" customWidth="1"/>
    <col min="6" max="6" width="5" customWidth="1"/>
    <col min="7" max="7" width="5.140625" customWidth="1"/>
    <col min="8" max="8" width="11.7109375" customWidth="1"/>
    <col min="9" max="9" width="13.7109375" customWidth="1"/>
    <col min="10" max="10" width="12.28515625" customWidth="1"/>
    <col min="11" max="11" width="11.7109375" customWidth="1"/>
    <col min="12" max="12" width="12.28515625" customWidth="1"/>
    <col min="13" max="13" width="11.42578125" customWidth="1"/>
    <col min="14" max="14" width="11" customWidth="1"/>
    <col min="15" max="15" width="11.85546875" customWidth="1"/>
    <col min="16" max="16" width="11.5703125" customWidth="1"/>
    <col min="17" max="17" width="13.5703125" customWidth="1"/>
    <col min="18" max="18" width="13.28515625" customWidth="1"/>
    <col min="19" max="19" width="11.140625" customWidth="1"/>
    <col min="20" max="21" width="11.42578125" customWidth="1"/>
    <col min="22" max="22" width="11.5703125" customWidth="1"/>
    <col min="23" max="23" width="11.42578125" customWidth="1"/>
    <col min="24" max="24" width="12.28515625" customWidth="1"/>
  </cols>
  <sheetData>
    <row r="1" spans="1:24" ht="15.75" x14ac:dyDescent="0.25">
      <c r="A1" s="2069" t="s">
        <v>2024</v>
      </c>
      <c r="B1" s="2069"/>
      <c r="C1" s="2069"/>
      <c r="D1" s="2069"/>
      <c r="E1" s="2069"/>
      <c r="F1" s="2069"/>
      <c r="G1" s="2069"/>
      <c r="H1" s="2069"/>
      <c r="I1" s="2069"/>
      <c r="J1" s="2069"/>
      <c r="K1" s="2069"/>
      <c r="L1" s="2069"/>
      <c r="M1" s="2069"/>
      <c r="N1" s="2069"/>
      <c r="O1" s="2069"/>
      <c r="P1" s="2069"/>
      <c r="Q1" s="2069"/>
      <c r="R1" s="2069"/>
      <c r="S1" s="2069"/>
      <c r="T1" s="2069"/>
      <c r="U1" s="2069"/>
      <c r="V1" s="2069"/>
      <c r="W1" s="2069"/>
      <c r="X1" s="2069"/>
    </row>
    <row r="2" spans="1:24" ht="15" x14ac:dyDescent="0.25">
      <c r="A2" s="1194"/>
      <c r="B2" s="1194"/>
      <c r="C2" s="1194"/>
      <c r="D2" s="1195"/>
      <c r="E2" s="1195"/>
      <c r="F2" s="1195"/>
      <c r="G2" s="1195"/>
      <c r="H2" s="1195"/>
      <c r="I2" s="1195"/>
      <c r="J2" s="1195"/>
      <c r="K2" s="1195"/>
      <c r="L2" s="1195"/>
      <c r="M2" s="1195"/>
      <c r="N2" s="1195"/>
      <c r="O2" s="1195"/>
      <c r="P2" s="1195"/>
      <c r="Q2" s="1195"/>
      <c r="R2" s="1195"/>
      <c r="S2" s="1195"/>
      <c r="T2" s="1195"/>
      <c r="U2" s="1195"/>
      <c r="V2" s="1195"/>
      <c r="W2" s="1195"/>
      <c r="X2" s="1195"/>
    </row>
    <row r="3" spans="1:24" ht="15" x14ac:dyDescent="0.25">
      <c r="A3" s="2112" t="s">
        <v>87</v>
      </c>
      <c r="B3" s="2112"/>
      <c r="C3" s="2112"/>
      <c r="D3" s="2112"/>
      <c r="E3" s="2112"/>
      <c r="F3" s="2112"/>
      <c r="G3" s="2112"/>
      <c r="H3" s="2112"/>
      <c r="I3" s="2112"/>
      <c r="J3" s="2112"/>
      <c r="K3" s="2112"/>
      <c r="L3" s="2112"/>
      <c r="M3" s="2112"/>
      <c r="N3" s="2112"/>
      <c r="O3" s="2112"/>
      <c r="P3" s="2112"/>
      <c r="Q3" s="2112"/>
      <c r="R3" s="2112"/>
      <c r="S3" s="2112"/>
      <c r="T3" s="2112"/>
      <c r="U3" s="2112"/>
      <c r="V3" s="2112"/>
      <c r="W3" s="2112"/>
      <c r="X3" s="2112"/>
    </row>
    <row r="4" spans="1:24" ht="15" x14ac:dyDescent="0.25">
      <c r="A4" s="1196"/>
      <c r="B4" s="1196"/>
      <c r="C4" s="1196"/>
      <c r="D4" s="1197"/>
      <c r="E4" s="1197"/>
      <c r="F4" s="1197"/>
      <c r="G4" s="1197"/>
      <c r="H4" s="1197"/>
      <c r="I4" s="1197"/>
      <c r="J4" s="1197"/>
      <c r="K4" s="1197"/>
      <c r="L4" s="1197"/>
      <c r="M4" s="1197"/>
      <c r="N4" s="1197"/>
      <c r="O4" s="1197"/>
      <c r="P4" s="1197"/>
      <c r="Q4" s="1198"/>
      <c r="R4" s="1197"/>
      <c r="S4" s="1197"/>
      <c r="T4" s="1197"/>
      <c r="U4" s="1197"/>
      <c r="V4" s="1197"/>
      <c r="W4" s="1197"/>
      <c r="X4" s="1197"/>
    </row>
    <row r="5" spans="1:24" ht="15" x14ac:dyDescent="0.25">
      <c r="A5" s="2113" t="s">
        <v>37</v>
      </c>
      <c r="B5" s="2093" t="s">
        <v>1726</v>
      </c>
      <c r="C5" s="2115" t="s">
        <v>2</v>
      </c>
      <c r="D5" s="2117" t="s">
        <v>1727</v>
      </c>
      <c r="E5" s="2117" t="s">
        <v>117</v>
      </c>
      <c r="F5" s="2117" t="s">
        <v>1728</v>
      </c>
      <c r="G5" s="2117" t="s">
        <v>1729</v>
      </c>
      <c r="H5" s="2119" t="s">
        <v>1730</v>
      </c>
      <c r="I5" s="2119"/>
      <c r="J5" s="2119"/>
      <c r="K5" s="2119"/>
      <c r="L5" s="2119"/>
      <c r="M5" s="2119"/>
      <c r="N5" s="2119"/>
      <c r="O5" s="2119"/>
      <c r="P5" s="1655"/>
      <c r="Q5" s="2120" t="s">
        <v>1731</v>
      </c>
      <c r="R5" s="2119"/>
      <c r="S5" s="2119"/>
      <c r="T5" s="2119"/>
      <c r="U5" s="2119"/>
      <c r="V5" s="2119"/>
      <c r="W5" s="2119"/>
      <c r="X5" s="2121"/>
    </row>
    <row r="6" spans="1:24" ht="86.25" customHeight="1" x14ac:dyDescent="0.2">
      <c r="A6" s="2114"/>
      <c r="B6" s="2094"/>
      <c r="C6" s="2116"/>
      <c r="D6" s="2118"/>
      <c r="E6" s="2118"/>
      <c r="F6" s="2118"/>
      <c r="G6" s="2118"/>
      <c r="H6" s="1154" t="s">
        <v>2382</v>
      </c>
      <c r="I6" s="1154" t="s">
        <v>1752</v>
      </c>
      <c r="J6" s="1154" t="s">
        <v>1753</v>
      </c>
      <c r="K6" s="1154" t="s">
        <v>1754</v>
      </c>
      <c r="L6" s="1154" t="s">
        <v>1755</v>
      </c>
      <c r="M6" s="1154" t="s">
        <v>1756</v>
      </c>
      <c r="N6" s="1154" t="s">
        <v>1757</v>
      </c>
      <c r="O6" s="1154" t="s">
        <v>1739</v>
      </c>
      <c r="P6" s="1159" t="s">
        <v>1758</v>
      </c>
      <c r="Q6" s="1227" t="s">
        <v>1741</v>
      </c>
      <c r="R6" s="1154" t="s">
        <v>1759</v>
      </c>
      <c r="S6" s="1154" t="s">
        <v>1760</v>
      </c>
      <c r="T6" s="1154" t="s">
        <v>1761</v>
      </c>
      <c r="U6" s="1154" t="s">
        <v>1745</v>
      </c>
      <c r="V6" s="1154" t="s">
        <v>1746</v>
      </c>
      <c r="W6" s="1154" t="s">
        <v>1747</v>
      </c>
      <c r="X6" s="1159" t="s">
        <v>1762</v>
      </c>
    </row>
    <row r="7" spans="1:24" ht="20.25" customHeight="1" x14ac:dyDescent="0.2">
      <c r="A7" s="2124" t="s">
        <v>188</v>
      </c>
      <c r="B7" s="2123" t="s">
        <v>226</v>
      </c>
      <c r="C7" s="2122" t="s">
        <v>1836</v>
      </c>
      <c r="D7" s="1201" t="s">
        <v>1838</v>
      </c>
      <c r="E7" s="1201" t="s">
        <v>161</v>
      </c>
      <c r="F7" s="1201" t="s">
        <v>132</v>
      </c>
      <c r="G7" s="1202" t="s">
        <v>1837</v>
      </c>
      <c r="H7" s="1165">
        <v>-4897</v>
      </c>
      <c r="I7" s="1165"/>
      <c r="J7" s="1165">
        <v>4897</v>
      </c>
      <c r="K7" s="1165"/>
      <c r="L7" s="1165"/>
      <c r="M7" s="1165"/>
      <c r="N7" s="1165"/>
      <c r="O7" s="1165"/>
      <c r="P7" s="1203"/>
      <c r="Q7" s="1204"/>
      <c r="R7" s="1165"/>
      <c r="S7" s="1165"/>
      <c r="T7" s="1165"/>
      <c r="U7" s="1165"/>
      <c r="V7" s="1165"/>
      <c r="W7" s="1165"/>
      <c r="X7" s="1203"/>
    </row>
    <row r="8" spans="1:24" ht="20.25" customHeight="1" x14ac:dyDescent="0.2">
      <c r="A8" s="2101"/>
      <c r="B8" s="2105"/>
      <c r="C8" s="2103"/>
      <c r="D8" s="1206" t="s">
        <v>1838</v>
      </c>
      <c r="E8" s="1206" t="s">
        <v>626</v>
      </c>
      <c r="F8" s="1206" t="s">
        <v>134</v>
      </c>
      <c r="G8" s="1207" t="s">
        <v>1837</v>
      </c>
      <c r="H8" s="1208">
        <f>-300000+300000</f>
        <v>0</v>
      </c>
      <c r="I8" s="1208"/>
      <c r="J8" s="1208"/>
      <c r="K8" s="1208"/>
      <c r="L8" s="1208"/>
      <c r="M8" s="1208"/>
      <c r="N8" s="1208"/>
      <c r="O8" s="1208"/>
      <c r="P8" s="1209"/>
      <c r="Q8" s="1210"/>
      <c r="R8" s="1208"/>
      <c r="S8" s="1208"/>
      <c r="T8" s="1208"/>
      <c r="U8" s="1208"/>
      <c r="V8" s="1208"/>
      <c r="W8" s="1208"/>
      <c r="X8" s="1209"/>
    </row>
    <row r="9" spans="1:24" ht="28.5" customHeight="1" x14ac:dyDescent="0.2">
      <c r="A9" s="1647" t="s">
        <v>189</v>
      </c>
      <c r="B9" s="1372" t="s">
        <v>227</v>
      </c>
      <c r="C9" s="1211" t="s">
        <v>1841</v>
      </c>
      <c r="D9" s="1212" t="s">
        <v>1838</v>
      </c>
      <c r="E9" s="1212" t="s">
        <v>161</v>
      </c>
      <c r="F9" s="1212" t="s">
        <v>132</v>
      </c>
      <c r="G9" s="1213" t="s">
        <v>1837</v>
      </c>
      <c r="H9" s="1173">
        <f>-300000+300000</f>
        <v>0</v>
      </c>
      <c r="I9" s="1173"/>
      <c r="J9" s="1173"/>
      <c r="K9" s="1173"/>
      <c r="L9" s="1173"/>
      <c r="M9" s="1173"/>
      <c r="N9" s="1173"/>
      <c r="O9" s="1173"/>
      <c r="P9" s="1174"/>
      <c r="Q9" s="1214"/>
      <c r="R9" s="1173"/>
      <c r="S9" s="1173"/>
      <c r="T9" s="1173"/>
      <c r="U9" s="1173"/>
      <c r="V9" s="1173"/>
      <c r="W9" s="1173"/>
      <c r="X9" s="1174"/>
    </row>
    <row r="10" spans="1:24" ht="38.25" x14ac:dyDescent="0.2">
      <c r="A10" s="1647" t="s">
        <v>190</v>
      </c>
      <c r="B10" s="1372" t="s">
        <v>228</v>
      </c>
      <c r="C10" s="1211" t="s">
        <v>1929</v>
      </c>
      <c r="D10" s="1212" t="s">
        <v>1838</v>
      </c>
      <c r="E10" s="1212" t="s">
        <v>1930</v>
      </c>
      <c r="F10" s="1212" t="s">
        <v>468</v>
      </c>
      <c r="G10" s="1213" t="s">
        <v>1837</v>
      </c>
      <c r="H10" s="1173"/>
      <c r="I10" s="1173"/>
      <c r="J10" s="1173">
        <v>-5109250</v>
      </c>
      <c r="K10" s="1173"/>
      <c r="L10" s="1173">
        <v>5109250</v>
      </c>
      <c r="M10" s="1173"/>
      <c r="N10" s="1173"/>
      <c r="O10" s="1173"/>
      <c r="P10" s="1174"/>
      <c r="Q10" s="1214"/>
      <c r="R10" s="1173"/>
      <c r="S10" s="1173"/>
      <c r="T10" s="1173"/>
      <c r="U10" s="1173"/>
      <c r="V10" s="1173"/>
      <c r="W10" s="1173"/>
      <c r="X10" s="1174"/>
    </row>
    <row r="11" spans="1:24" ht="27.75" customHeight="1" x14ac:dyDescent="0.2">
      <c r="A11" s="1647" t="s">
        <v>191</v>
      </c>
      <c r="B11" s="1372" t="s">
        <v>229</v>
      </c>
      <c r="C11" s="1211" t="s">
        <v>1939</v>
      </c>
      <c r="D11" s="1212" t="s">
        <v>1838</v>
      </c>
      <c r="E11" s="1212" t="s">
        <v>626</v>
      </c>
      <c r="F11" s="1212" t="s">
        <v>134</v>
      </c>
      <c r="G11" s="1213" t="s">
        <v>1837</v>
      </c>
      <c r="H11" s="1173">
        <f>-142712+134297+8415</f>
        <v>0</v>
      </c>
      <c r="I11" s="1173"/>
      <c r="J11" s="1173"/>
      <c r="K11" s="1173"/>
      <c r="L11" s="1173"/>
      <c r="M11" s="1173"/>
      <c r="N11" s="1173"/>
      <c r="O11" s="1173"/>
      <c r="P11" s="1174"/>
      <c r="Q11" s="1214"/>
      <c r="R11" s="1173"/>
      <c r="S11" s="1173"/>
      <c r="T11" s="1173"/>
      <c r="U11" s="1173"/>
      <c r="V11" s="1173"/>
      <c r="W11" s="1173"/>
      <c r="X11" s="1174"/>
    </row>
    <row r="12" spans="1:24" ht="25.5" x14ac:dyDescent="0.2">
      <c r="A12" s="1647" t="s">
        <v>192</v>
      </c>
      <c r="B12" s="1372" t="s">
        <v>230</v>
      </c>
      <c r="C12" s="1211" t="s">
        <v>1942</v>
      </c>
      <c r="D12" s="1212" t="s">
        <v>1838</v>
      </c>
      <c r="E12" s="1212" t="s">
        <v>161</v>
      </c>
      <c r="F12" s="1212" t="s">
        <v>132</v>
      </c>
      <c r="G12" s="1213" t="s">
        <v>1837</v>
      </c>
      <c r="H12" s="1173"/>
      <c r="I12" s="1173"/>
      <c r="J12" s="1173"/>
      <c r="K12" s="1173"/>
      <c r="L12" s="1173"/>
      <c r="M12" s="1173">
        <f>-1570260+1570260</f>
        <v>0</v>
      </c>
      <c r="N12" s="1173"/>
      <c r="O12" s="1173"/>
      <c r="P12" s="1174"/>
      <c r="Q12" s="1214"/>
      <c r="R12" s="1173"/>
      <c r="S12" s="1173"/>
      <c r="T12" s="1173"/>
      <c r="U12" s="1173"/>
      <c r="V12" s="1173"/>
      <c r="W12" s="1173"/>
      <c r="X12" s="1174"/>
    </row>
    <row r="13" spans="1:24" ht="42.75" customHeight="1" x14ac:dyDescent="0.2">
      <c r="A13" s="1647" t="s">
        <v>193</v>
      </c>
      <c r="B13" s="1372" t="s">
        <v>1943</v>
      </c>
      <c r="C13" s="1211" t="s">
        <v>2004</v>
      </c>
      <c r="D13" s="1212" t="s">
        <v>1838</v>
      </c>
      <c r="E13" s="1212" t="s">
        <v>74</v>
      </c>
      <c r="F13" s="1212" t="s">
        <v>91</v>
      </c>
      <c r="G13" s="1213" t="s">
        <v>1829</v>
      </c>
      <c r="H13" s="1173"/>
      <c r="I13" s="1173"/>
      <c r="J13" s="1173">
        <f>986793+43364+429+278142</f>
        <v>1308728</v>
      </c>
      <c r="K13" s="1173"/>
      <c r="L13" s="1173"/>
      <c r="M13" s="1173"/>
      <c r="N13" s="1173"/>
      <c r="O13" s="1173"/>
      <c r="P13" s="1174"/>
      <c r="Q13" s="1214"/>
      <c r="R13" s="1173"/>
      <c r="S13" s="1173"/>
      <c r="T13" s="1173">
        <f>1030586+278142</f>
        <v>1308728</v>
      </c>
      <c r="U13" s="1173"/>
      <c r="V13" s="1173"/>
      <c r="W13" s="1173"/>
      <c r="X13" s="1174"/>
    </row>
    <row r="14" spans="1:24" ht="25.5" x14ac:dyDescent="0.2">
      <c r="A14" s="1647" t="s">
        <v>194</v>
      </c>
      <c r="B14" s="1372" t="s">
        <v>233</v>
      </c>
      <c r="C14" s="1211" t="s">
        <v>1944</v>
      </c>
      <c r="D14" s="1212" t="s">
        <v>1838</v>
      </c>
      <c r="E14" s="1212" t="s">
        <v>74</v>
      </c>
      <c r="F14" s="1212" t="s">
        <v>91</v>
      </c>
      <c r="G14" s="1213" t="s">
        <v>1829</v>
      </c>
      <c r="H14" s="1173"/>
      <c r="I14" s="1173"/>
      <c r="J14" s="1173">
        <f>711053+191984</f>
        <v>903037</v>
      </c>
      <c r="K14" s="1173"/>
      <c r="L14" s="1173"/>
      <c r="M14" s="1173"/>
      <c r="N14" s="1173"/>
      <c r="O14" s="1173"/>
      <c r="P14" s="1174"/>
      <c r="Q14" s="1214"/>
      <c r="R14" s="1173"/>
      <c r="S14" s="1173">
        <v>903037</v>
      </c>
      <c r="T14" s="1173"/>
      <c r="U14" s="1173"/>
      <c r="V14" s="1173"/>
      <c r="W14" s="1173"/>
      <c r="X14" s="1174"/>
    </row>
    <row r="15" spans="1:24" ht="28.5" customHeight="1" x14ac:dyDescent="0.2">
      <c r="A15" s="1647" t="s">
        <v>195</v>
      </c>
      <c r="B15" s="1372" t="s">
        <v>260</v>
      </c>
      <c r="C15" s="1211" t="s">
        <v>1945</v>
      </c>
      <c r="D15" s="1212" t="s">
        <v>1838</v>
      </c>
      <c r="E15" s="1212" t="s">
        <v>74</v>
      </c>
      <c r="F15" s="1212" t="s">
        <v>91</v>
      </c>
      <c r="G15" s="1213" t="s">
        <v>1829</v>
      </c>
      <c r="H15" s="1173"/>
      <c r="I15" s="1173"/>
      <c r="J15" s="1173"/>
      <c r="K15" s="1173"/>
      <c r="L15" s="1173"/>
      <c r="M15" s="1173">
        <f>7874+2126</f>
        <v>10000</v>
      </c>
      <c r="N15" s="1173"/>
      <c r="O15" s="1173"/>
      <c r="P15" s="1174"/>
      <c r="Q15" s="1214"/>
      <c r="R15" s="1173"/>
      <c r="S15" s="1173"/>
      <c r="T15" s="1173"/>
      <c r="U15" s="1173">
        <v>10000</v>
      </c>
      <c r="V15" s="1173"/>
      <c r="W15" s="1173"/>
      <c r="X15" s="1174"/>
    </row>
    <row r="16" spans="1:24" ht="30.75" customHeight="1" x14ac:dyDescent="0.2">
      <c r="A16" s="1647" t="s">
        <v>196</v>
      </c>
      <c r="B16" s="1372" t="s">
        <v>261</v>
      </c>
      <c r="C16" s="1211" t="s">
        <v>1947</v>
      </c>
      <c r="D16" s="1212" t="s">
        <v>1838</v>
      </c>
      <c r="E16" s="1212" t="s">
        <v>74</v>
      </c>
      <c r="F16" s="1212" t="s">
        <v>91</v>
      </c>
      <c r="G16" s="1213" t="s">
        <v>1829</v>
      </c>
      <c r="H16" s="1173"/>
      <c r="I16" s="1173"/>
      <c r="J16" s="1173"/>
      <c r="K16" s="1173"/>
      <c r="L16" s="1173"/>
      <c r="M16" s="1173"/>
      <c r="N16" s="1173"/>
      <c r="O16" s="1173">
        <v>8400</v>
      </c>
      <c r="P16" s="1174"/>
      <c r="Q16" s="1214"/>
      <c r="R16" s="1173"/>
      <c r="S16" s="1173"/>
      <c r="T16" s="1173"/>
      <c r="U16" s="1173"/>
      <c r="V16" s="1173"/>
      <c r="W16" s="1173">
        <v>8400</v>
      </c>
      <c r="X16" s="1174"/>
    </row>
    <row r="17" spans="1:24" ht="30" customHeight="1" x14ac:dyDescent="0.2">
      <c r="A17" s="1647" t="s">
        <v>197</v>
      </c>
      <c r="B17" s="1372" t="s">
        <v>262</v>
      </c>
      <c r="C17" s="1211" t="s">
        <v>1994</v>
      </c>
      <c r="D17" s="1212" t="s">
        <v>1838</v>
      </c>
      <c r="E17" s="1212" t="s">
        <v>74</v>
      </c>
      <c r="F17" s="1212" t="s">
        <v>91</v>
      </c>
      <c r="G17" s="1213" t="s">
        <v>1829</v>
      </c>
      <c r="H17" s="1173"/>
      <c r="I17" s="1173"/>
      <c r="J17" s="1173">
        <f>123126+55072</f>
        <v>178198</v>
      </c>
      <c r="K17" s="1173"/>
      <c r="L17" s="1173"/>
      <c r="M17" s="1173"/>
      <c r="N17" s="1173"/>
      <c r="O17" s="1173"/>
      <c r="P17" s="1174"/>
      <c r="Q17" s="1214"/>
      <c r="R17" s="1173"/>
      <c r="S17" s="1173"/>
      <c r="T17" s="1173">
        <v>178198</v>
      </c>
      <c r="U17" s="1173"/>
      <c r="V17" s="1173"/>
      <c r="W17" s="1173"/>
      <c r="X17" s="1174"/>
    </row>
    <row r="18" spans="1:24" ht="21.75" customHeight="1" x14ac:dyDescent="0.2">
      <c r="A18" s="2099" t="s">
        <v>198</v>
      </c>
      <c r="B18" s="2104" t="s">
        <v>263</v>
      </c>
      <c r="C18" s="2102" t="s">
        <v>2032</v>
      </c>
      <c r="D18" s="1212" t="s">
        <v>1838</v>
      </c>
      <c r="E18" s="1212" t="s">
        <v>74</v>
      </c>
      <c r="F18" s="1212" t="s">
        <v>91</v>
      </c>
      <c r="G18" s="1213" t="s">
        <v>1837</v>
      </c>
      <c r="H18" s="1173">
        <f>-10500000+10500000</f>
        <v>0</v>
      </c>
      <c r="I18" s="1173"/>
      <c r="J18" s="1173"/>
      <c r="K18" s="1173"/>
      <c r="L18" s="1173"/>
      <c r="M18" s="1173"/>
      <c r="N18" s="1173"/>
      <c r="O18" s="1173"/>
      <c r="P18" s="1174"/>
      <c r="Q18" s="1214"/>
      <c r="R18" s="1173"/>
      <c r="S18" s="1173"/>
      <c r="T18" s="1173"/>
      <c r="U18" s="1173"/>
      <c r="V18" s="1173"/>
      <c r="W18" s="1173"/>
      <c r="X18" s="1174"/>
    </row>
    <row r="19" spans="1:24" ht="21.75" customHeight="1" x14ac:dyDescent="0.2">
      <c r="A19" s="2100"/>
      <c r="B19" s="2107"/>
      <c r="C19" s="2106"/>
      <c r="D19" s="1212" t="s">
        <v>1838</v>
      </c>
      <c r="E19" s="1212" t="s">
        <v>161</v>
      </c>
      <c r="F19" s="1212" t="s">
        <v>132</v>
      </c>
      <c r="G19" s="1213" t="s">
        <v>1837</v>
      </c>
      <c r="H19" s="1173">
        <f>-108185+9504+98681</f>
        <v>0</v>
      </c>
      <c r="I19" s="1173"/>
      <c r="J19" s="1173"/>
      <c r="K19" s="1173"/>
      <c r="L19" s="1173"/>
      <c r="M19" s="1173"/>
      <c r="N19" s="1173"/>
      <c r="O19" s="1173"/>
      <c r="P19" s="1174"/>
      <c r="Q19" s="1214"/>
      <c r="R19" s="1173"/>
      <c r="S19" s="1173"/>
      <c r="T19" s="1173"/>
      <c r="U19" s="1173"/>
      <c r="V19" s="1173"/>
      <c r="W19" s="1173"/>
      <c r="X19" s="1174"/>
    </row>
    <row r="20" spans="1:24" ht="21.75" customHeight="1" x14ac:dyDescent="0.2">
      <c r="A20" s="2100"/>
      <c r="B20" s="2107"/>
      <c r="C20" s="2106"/>
      <c r="D20" s="1212" t="s">
        <v>1838</v>
      </c>
      <c r="E20" s="1212" t="s">
        <v>508</v>
      </c>
      <c r="F20" s="1212" t="s">
        <v>151</v>
      </c>
      <c r="G20" s="1213" t="s">
        <v>1837</v>
      </c>
      <c r="H20" s="1173">
        <f>-61600+61600</f>
        <v>0</v>
      </c>
      <c r="I20" s="1173"/>
      <c r="J20" s="1173"/>
      <c r="K20" s="1173"/>
      <c r="L20" s="1173"/>
      <c r="M20" s="1173"/>
      <c r="N20" s="1173"/>
      <c r="O20" s="1173"/>
      <c r="P20" s="1174"/>
      <c r="Q20" s="1214"/>
      <c r="R20" s="1173"/>
      <c r="S20" s="1173"/>
      <c r="T20" s="1173"/>
      <c r="U20" s="1173"/>
      <c r="V20" s="1173"/>
      <c r="W20" s="1173"/>
      <c r="X20" s="1174"/>
    </row>
    <row r="21" spans="1:24" ht="21.75" customHeight="1" x14ac:dyDescent="0.2">
      <c r="A21" s="2101"/>
      <c r="B21" s="2105"/>
      <c r="C21" s="2103"/>
      <c r="D21" s="1212" t="s">
        <v>1838</v>
      </c>
      <c r="E21" s="1212" t="s">
        <v>626</v>
      </c>
      <c r="F21" s="1212" t="s">
        <v>134</v>
      </c>
      <c r="G21" s="1213" t="s">
        <v>1837</v>
      </c>
      <c r="H21" s="1173">
        <f>-732095+76284+655811</f>
        <v>0</v>
      </c>
      <c r="I21" s="1173"/>
      <c r="J21" s="1173"/>
      <c r="K21" s="1173"/>
      <c r="L21" s="1173"/>
      <c r="M21" s="1173"/>
      <c r="N21" s="1173"/>
      <c r="O21" s="1173"/>
      <c r="P21" s="1174"/>
      <c r="Q21" s="1214"/>
      <c r="R21" s="1173"/>
      <c r="S21" s="1173"/>
      <c r="T21" s="1173"/>
      <c r="U21" s="1173"/>
      <c r="V21" s="1173"/>
      <c r="W21" s="1173"/>
      <c r="X21" s="1174"/>
    </row>
    <row r="22" spans="1:24" ht="30" customHeight="1" x14ac:dyDescent="0.2">
      <c r="A22" s="1647" t="s">
        <v>225</v>
      </c>
      <c r="B22" s="1372" t="s">
        <v>264</v>
      </c>
      <c r="C22" s="1211" t="s">
        <v>1853</v>
      </c>
      <c r="D22" s="1212" t="s">
        <v>1838</v>
      </c>
      <c r="E22" s="1212" t="s">
        <v>74</v>
      </c>
      <c r="F22" s="1212" t="s">
        <v>830</v>
      </c>
      <c r="G22" s="1213" t="s">
        <v>1829</v>
      </c>
      <c r="H22" s="1173"/>
      <c r="I22" s="1173"/>
      <c r="J22" s="1173">
        <f>1000000+270000</f>
        <v>1270000</v>
      </c>
      <c r="K22" s="1173"/>
      <c r="L22" s="1173"/>
      <c r="M22" s="1173"/>
      <c r="N22" s="1173"/>
      <c r="O22" s="1173"/>
      <c r="P22" s="1174"/>
      <c r="Q22" s="1214"/>
      <c r="R22" s="1173"/>
      <c r="S22" s="1173"/>
      <c r="T22" s="1173">
        <f>1000000+270000</f>
        <v>1270000</v>
      </c>
      <c r="U22" s="1173"/>
      <c r="V22" s="1173"/>
      <c r="W22" s="1173"/>
      <c r="X22" s="1174"/>
    </row>
    <row r="23" spans="1:24" ht="30" customHeight="1" x14ac:dyDescent="0.2">
      <c r="A23" s="1647" t="s">
        <v>226</v>
      </c>
      <c r="B23" s="1372" t="s">
        <v>265</v>
      </c>
      <c r="C23" s="1211" t="s">
        <v>1947</v>
      </c>
      <c r="D23" s="1212" t="s">
        <v>1838</v>
      </c>
      <c r="E23" s="1212" t="s">
        <v>74</v>
      </c>
      <c r="F23" s="1212" t="s">
        <v>91</v>
      </c>
      <c r="G23" s="1213" t="s">
        <v>1829</v>
      </c>
      <c r="H23" s="1173"/>
      <c r="I23" s="1173"/>
      <c r="J23" s="1173"/>
      <c r="K23" s="1173"/>
      <c r="L23" s="1173"/>
      <c r="M23" s="1173"/>
      <c r="N23" s="1173"/>
      <c r="O23" s="1173">
        <v>268400</v>
      </c>
      <c r="P23" s="1174"/>
      <c r="Q23" s="1214"/>
      <c r="R23" s="1173"/>
      <c r="S23" s="1173"/>
      <c r="T23" s="1173"/>
      <c r="U23" s="1173"/>
      <c r="V23" s="1173"/>
      <c r="W23" s="1173">
        <v>268400</v>
      </c>
      <c r="X23" s="1174"/>
    </row>
    <row r="24" spans="1:24" ht="18.75" x14ac:dyDescent="0.3">
      <c r="A24" s="2082" t="s">
        <v>1749</v>
      </c>
      <c r="B24" s="2083"/>
      <c r="C24" s="2084"/>
      <c r="D24" s="1216"/>
      <c r="E24" s="1179"/>
      <c r="F24" s="1179"/>
      <c r="G24" s="1179"/>
      <c r="H24" s="1180">
        <f t="shared" ref="H24:X24" si="0">SUM(H7:H23)</f>
        <v>-4897</v>
      </c>
      <c r="I24" s="1180">
        <f t="shared" si="0"/>
        <v>0</v>
      </c>
      <c r="J24" s="1180">
        <f t="shared" si="0"/>
        <v>-1444390</v>
      </c>
      <c r="K24" s="1180">
        <f t="shared" si="0"/>
        <v>0</v>
      </c>
      <c r="L24" s="1180">
        <f t="shared" si="0"/>
        <v>5109250</v>
      </c>
      <c r="M24" s="1180">
        <f t="shared" si="0"/>
        <v>10000</v>
      </c>
      <c r="N24" s="1180">
        <f t="shared" si="0"/>
        <v>0</v>
      </c>
      <c r="O24" s="1180">
        <f t="shared" si="0"/>
        <v>276800</v>
      </c>
      <c r="P24" s="1181">
        <f t="shared" si="0"/>
        <v>0</v>
      </c>
      <c r="Q24" s="1182">
        <f t="shared" si="0"/>
        <v>0</v>
      </c>
      <c r="R24" s="1180">
        <f t="shared" si="0"/>
        <v>0</v>
      </c>
      <c r="S24" s="1180">
        <f t="shared" si="0"/>
        <v>903037</v>
      </c>
      <c r="T24" s="1180">
        <f t="shared" si="0"/>
        <v>2756926</v>
      </c>
      <c r="U24" s="1180">
        <f t="shared" si="0"/>
        <v>10000</v>
      </c>
      <c r="V24" s="1180">
        <f t="shared" si="0"/>
        <v>0</v>
      </c>
      <c r="W24" s="1180">
        <f t="shared" si="0"/>
        <v>276800</v>
      </c>
      <c r="X24" s="1181">
        <f t="shared" si="0"/>
        <v>0</v>
      </c>
    </row>
    <row r="25" spans="1:24" ht="23.25" customHeight="1" x14ac:dyDescent="0.3">
      <c r="A25" s="1217"/>
      <c r="B25" s="1217"/>
      <c r="C25" s="1217"/>
      <c r="D25" s="1218"/>
      <c r="E25" s="1219"/>
      <c r="F25" s="1219"/>
      <c r="G25" s="1219"/>
      <c r="H25" s="1150">
        <f>+'2.1. sz. PMH'!W9-'2.1. sz. PMH'!V9</f>
        <v>38645103</v>
      </c>
      <c r="I25" s="1150">
        <f>+'2.1. sz. PMH'!W10-'2.1. sz. PMH'!V10</f>
        <v>5909500</v>
      </c>
      <c r="J25" s="1150">
        <f>+'2.1. sz. PMH'!W11-'2.1. sz. PMH'!V11</f>
        <v>9135781</v>
      </c>
      <c r="K25" s="1150">
        <f>+'2.1. sz. PMH'!W12-'2.1. sz. PMH'!V12</f>
        <v>0</v>
      </c>
      <c r="L25" s="1150">
        <f>+'2.1. sz. PMH'!W13-'2.1. sz. PMH'!V13</f>
        <v>23805431</v>
      </c>
      <c r="M25" s="1150">
        <f>+'2.1. sz. PMH'!W17-'2.1. sz. PMH'!V17</f>
        <v>5010000</v>
      </c>
      <c r="N25" s="1150">
        <f>+'2.1. sz. PMH'!W18-'2.1. sz. PMH'!V18</f>
        <v>0</v>
      </c>
      <c r="O25" s="1150">
        <f>+'2.1. sz. PMH'!W19-'2.1. sz. PMH'!V19</f>
        <v>4000000</v>
      </c>
      <c r="P25" s="1150">
        <f>+'2.1. sz. PMH'!W22-'2.1. sz. PMH'!V22</f>
        <v>0</v>
      </c>
      <c r="Q25" s="1150">
        <f>+'2.1. sz. PMH'!W31-'2.1. sz. PMH'!V31</f>
        <v>0</v>
      </c>
      <c r="R25" s="1150">
        <f>+'2.1. sz. PMH'!W32-'2.1. sz. PMH'!V32</f>
        <v>0</v>
      </c>
      <c r="S25" s="1150">
        <f>+'2.1. sz. PMH'!W33-'2.1. sz. PMH'!V33</f>
        <v>3114037</v>
      </c>
      <c r="T25" s="1150">
        <f>+'2.1. sz. PMH'!W34-'2.1. sz. PMH'!V34</f>
        <v>3577352</v>
      </c>
      <c r="U25" s="1150">
        <f>+'2.1. sz. PMH'!W35-'2.1. sz. PMH'!V35</f>
        <v>10000</v>
      </c>
      <c r="V25" s="1150">
        <f>+'2.1. sz. PMH'!W36-'2.1. sz. PMH'!V36</f>
        <v>0</v>
      </c>
      <c r="W25" s="1150">
        <f>+'2.1. sz. PMH'!W37-'2.1. sz. PMH'!V37</f>
        <v>2000000</v>
      </c>
      <c r="X25" s="1150">
        <f>+'2.1. sz. PMH'!W39-'2.1. sz. PMH'!V39</f>
        <v>77804426</v>
      </c>
    </row>
    <row r="26" spans="1:24" ht="18" customHeight="1" x14ac:dyDescent="0.2">
      <c r="A26" s="1220"/>
      <c r="B26" s="1220"/>
      <c r="C26" s="1221"/>
      <c r="D26" s="1222"/>
      <c r="E26" s="1223"/>
      <c r="F26" s="1223"/>
      <c r="G26" s="1223"/>
      <c r="H26" s="1150">
        <f>H25-H24</f>
        <v>38650000</v>
      </c>
      <c r="I26" s="1150">
        <f>I25-I24</f>
        <v>5909500</v>
      </c>
      <c r="J26" s="1150">
        <f>J25-J24</f>
        <v>10580171</v>
      </c>
      <c r="K26" s="1150">
        <f t="shared" ref="K26:X26" si="1">K25-K24</f>
        <v>0</v>
      </c>
      <c r="L26" s="1150">
        <f t="shared" si="1"/>
        <v>18696181</v>
      </c>
      <c r="M26" s="1150">
        <f>M25-M24</f>
        <v>5000000</v>
      </c>
      <c r="N26" s="1150">
        <f t="shared" si="1"/>
        <v>0</v>
      </c>
      <c r="O26" s="1150">
        <f>O25-O24</f>
        <v>3723200</v>
      </c>
      <c r="P26" s="1150">
        <f>P25-P24</f>
        <v>0</v>
      </c>
      <c r="Q26" s="1150">
        <f t="shared" si="1"/>
        <v>0</v>
      </c>
      <c r="R26" s="1150">
        <f t="shared" si="1"/>
        <v>0</v>
      </c>
      <c r="S26" s="1150">
        <f t="shared" si="1"/>
        <v>2211000</v>
      </c>
      <c r="T26" s="1150">
        <f t="shared" si="1"/>
        <v>820426</v>
      </c>
      <c r="U26" s="1150">
        <f t="shared" si="1"/>
        <v>0</v>
      </c>
      <c r="V26" s="1150">
        <f t="shared" si="1"/>
        <v>0</v>
      </c>
      <c r="W26" s="1150">
        <f t="shared" si="1"/>
        <v>1723200</v>
      </c>
      <c r="X26" s="1150">
        <f t="shared" si="1"/>
        <v>77804426</v>
      </c>
    </row>
    <row r="27" spans="1:24" ht="13.5" customHeight="1" x14ac:dyDescent="0.2">
      <c r="A27" s="1220"/>
      <c r="B27" s="1220"/>
      <c r="C27" s="1221"/>
      <c r="D27" s="1222"/>
      <c r="E27" s="1223"/>
      <c r="F27" s="1223"/>
      <c r="G27" s="1223"/>
      <c r="H27" s="1150"/>
      <c r="I27" s="1150"/>
      <c r="J27" s="1150"/>
      <c r="K27" s="1150"/>
      <c r="L27" s="1150"/>
      <c r="M27" s="1150"/>
      <c r="N27" s="1150"/>
      <c r="O27" s="1150"/>
      <c r="P27" s="1150"/>
      <c r="Q27" s="1150"/>
      <c r="R27" s="1150"/>
      <c r="S27" s="1150"/>
      <c r="T27" s="1150"/>
      <c r="U27" s="1150"/>
      <c r="V27" s="1150"/>
      <c r="W27" s="1150"/>
      <c r="X27" s="1150"/>
    </row>
    <row r="28" spans="1:24" ht="22.5" customHeight="1" x14ac:dyDescent="0.25">
      <c r="A28" s="1196"/>
      <c r="B28" s="1196"/>
      <c r="C28" s="1196"/>
      <c r="D28" s="1197"/>
      <c r="E28" s="1197"/>
      <c r="F28" s="1197"/>
      <c r="G28" s="1197"/>
      <c r="H28" s="1224"/>
      <c r="I28" s="2108" t="s">
        <v>1750</v>
      </c>
      <c r="J28" s="2108"/>
      <c r="K28" s="2108"/>
      <c r="L28" s="2108">
        <v>1070527166</v>
      </c>
      <c r="M28" s="2108"/>
      <c r="N28" s="1225"/>
      <c r="O28" s="1225"/>
      <c r="P28" s="1225"/>
      <c r="Q28" s="1225"/>
      <c r="R28" s="2108" t="s">
        <v>1751</v>
      </c>
      <c r="S28" s="2108"/>
      <c r="T28" s="2108"/>
      <c r="U28" s="2108">
        <v>1070527166</v>
      </c>
      <c r="V28" s="2108"/>
      <c r="W28" s="1224"/>
      <c r="X28" s="1224"/>
    </row>
    <row r="29" spans="1:24" ht="24" customHeight="1" x14ac:dyDescent="0.25">
      <c r="A29" s="1196"/>
      <c r="B29" s="1196"/>
      <c r="C29" s="1196"/>
      <c r="D29" s="1197"/>
      <c r="E29" s="1197"/>
      <c r="F29" s="1197"/>
      <c r="G29" s="1197"/>
      <c r="H29" s="1224"/>
      <c r="I29" s="2066" t="s">
        <v>3474</v>
      </c>
      <c r="J29" s="2066"/>
      <c r="K29" s="2066"/>
      <c r="L29" s="2108">
        <f>SUM(H24:P24)</f>
        <v>3946763</v>
      </c>
      <c r="M29" s="2108"/>
      <c r="N29" s="1225"/>
      <c r="O29" s="1225"/>
      <c r="P29" s="1225"/>
      <c r="Q29" s="1225"/>
      <c r="R29" s="2066" t="s">
        <v>3474</v>
      </c>
      <c r="S29" s="2066"/>
      <c r="T29" s="2066"/>
      <c r="U29" s="2108">
        <f>SUM(Q24:X24)</f>
        <v>3946763</v>
      </c>
      <c r="V29" s="2108"/>
      <c r="W29" s="1224"/>
      <c r="X29" s="1224"/>
    </row>
    <row r="30" spans="1:24" ht="23.25" customHeight="1" x14ac:dyDescent="0.25">
      <c r="A30" s="1196"/>
      <c r="B30" s="1196"/>
      <c r="C30" s="1196"/>
      <c r="D30" s="1197"/>
      <c r="E30" s="1197"/>
      <c r="F30" s="1197"/>
      <c r="G30" s="1197"/>
      <c r="H30" s="1224"/>
      <c r="I30" s="2108" t="s">
        <v>1561</v>
      </c>
      <c r="J30" s="2108"/>
      <c r="K30" s="2108"/>
      <c r="L30" s="2108">
        <f>+L28+L29</f>
        <v>1074473929</v>
      </c>
      <c r="M30" s="2108"/>
      <c r="N30" s="1225"/>
      <c r="O30" s="1225"/>
      <c r="P30" s="1225"/>
      <c r="Q30" s="1225"/>
      <c r="R30" s="2108" t="s">
        <v>1561</v>
      </c>
      <c r="S30" s="2108"/>
      <c r="T30" s="2108"/>
      <c r="U30" s="2108">
        <f>+U28+U29</f>
        <v>1074473929</v>
      </c>
      <c r="V30" s="2108"/>
      <c r="W30" s="1224"/>
      <c r="X30" s="1224"/>
    </row>
    <row r="31" spans="1:24" x14ac:dyDescent="0.2">
      <c r="A31" s="1220"/>
      <c r="B31" s="1220"/>
      <c r="C31" s="1221"/>
      <c r="D31" s="1222"/>
      <c r="E31" s="1223"/>
      <c r="F31" s="1223"/>
      <c r="G31" s="1223"/>
      <c r="H31" s="1150"/>
      <c r="I31" s="1150"/>
      <c r="J31" s="1150"/>
      <c r="K31" s="1150"/>
      <c r="L31" s="1150"/>
      <c r="M31" s="1150"/>
      <c r="N31" s="1150"/>
      <c r="O31" s="1150"/>
      <c r="P31" s="1150"/>
      <c r="Q31" s="1150"/>
      <c r="R31" s="1150"/>
      <c r="S31" s="1150"/>
      <c r="T31" s="1150"/>
      <c r="U31" s="1150"/>
      <c r="V31" s="1150"/>
      <c r="W31" s="1150"/>
      <c r="X31" s="1150"/>
    </row>
    <row r="32" spans="1:24" x14ac:dyDescent="0.2">
      <c r="A32" s="1220"/>
      <c r="B32" s="1220"/>
      <c r="C32" s="1221"/>
      <c r="D32" s="1222"/>
      <c r="E32" s="1223"/>
      <c r="F32" s="1223"/>
      <c r="G32" s="1223"/>
      <c r="H32" s="1150"/>
      <c r="I32" s="1150"/>
      <c r="J32" s="1150"/>
      <c r="K32" s="1150"/>
      <c r="L32" s="1150"/>
      <c r="M32" s="1150"/>
      <c r="N32" s="1150"/>
      <c r="O32" s="1150"/>
      <c r="P32" s="1150"/>
      <c r="Q32" s="1150"/>
      <c r="R32" s="1150"/>
      <c r="S32" s="1150"/>
      <c r="T32" s="1150"/>
      <c r="U32" s="1150"/>
      <c r="V32" s="1150"/>
      <c r="W32" s="1150"/>
      <c r="X32" s="1150"/>
    </row>
    <row r="33" spans="1:24" x14ac:dyDescent="0.2">
      <c r="A33" s="348"/>
      <c r="B33" s="348"/>
      <c r="C33" s="348"/>
      <c r="D33" s="348"/>
      <c r="E33" s="348"/>
      <c r="F33" s="348"/>
      <c r="G33" s="348"/>
      <c r="H33" s="348"/>
      <c r="I33" s="348"/>
      <c r="J33" s="348"/>
      <c r="K33" s="348"/>
      <c r="L33" s="348"/>
      <c r="M33" s="348"/>
      <c r="N33" s="348"/>
      <c r="O33" s="348"/>
      <c r="P33" s="348"/>
      <c r="Q33" s="348"/>
      <c r="R33" s="348"/>
      <c r="S33" s="348"/>
      <c r="T33" s="348"/>
      <c r="U33" s="348"/>
      <c r="V33" s="348"/>
      <c r="W33" s="348"/>
      <c r="X33" s="348"/>
    </row>
    <row r="34" spans="1:24" ht="15.75" x14ac:dyDescent="0.25">
      <c r="A34" s="2069" t="s">
        <v>2641</v>
      </c>
      <c r="B34" s="2069"/>
      <c r="C34" s="2069"/>
      <c r="D34" s="2069"/>
      <c r="E34" s="2069"/>
      <c r="F34" s="2069"/>
      <c r="G34" s="2069"/>
      <c r="H34" s="2069"/>
      <c r="I34" s="2069"/>
      <c r="J34" s="2069"/>
      <c r="K34" s="2069"/>
      <c r="L34" s="2069"/>
      <c r="M34" s="2069"/>
      <c r="N34" s="2069"/>
      <c r="O34" s="2069"/>
      <c r="P34" s="2069"/>
      <c r="Q34" s="2069"/>
      <c r="R34" s="2069"/>
      <c r="S34" s="2069"/>
      <c r="T34" s="2069"/>
      <c r="U34" s="2069"/>
      <c r="V34" s="2069"/>
      <c r="W34" s="2069"/>
      <c r="X34" s="2069"/>
    </row>
    <row r="35" spans="1:24" ht="15" x14ac:dyDescent="0.25">
      <c r="A35" s="1194"/>
      <c r="B35" s="1194"/>
      <c r="C35" s="1194"/>
      <c r="D35" s="1195"/>
      <c r="E35" s="1195"/>
      <c r="F35" s="1195"/>
      <c r="G35" s="1195"/>
      <c r="H35" s="1195"/>
      <c r="I35" s="1195"/>
      <c r="J35" s="1195"/>
      <c r="K35" s="1195"/>
      <c r="L35" s="1195"/>
      <c r="M35" s="1195"/>
      <c r="N35" s="1195"/>
      <c r="O35" s="1195"/>
      <c r="P35" s="1195"/>
      <c r="Q35" s="1195"/>
      <c r="R35" s="1195"/>
      <c r="S35" s="1195"/>
      <c r="T35" s="1195"/>
      <c r="U35" s="1195"/>
      <c r="V35" s="1195"/>
      <c r="W35" s="1195"/>
      <c r="X35" s="1195"/>
    </row>
    <row r="36" spans="1:24" ht="15" x14ac:dyDescent="0.25">
      <c r="A36" s="2112" t="s">
        <v>87</v>
      </c>
      <c r="B36" s="2112"/>
      <c r="C36" s="2112"/>
      <c r="D36" s="2112"/>
      <c r="E36" s="2112"/>
      <c r="F36" s="2112"/>
      <c r="G36" s="2112"/>
      <c r="H36" s="2112"/>
      <c r="I36" s="2112"/>
      <c r="J36" s="2112"/>
      <c r="K36" s="2112"/>
      <c r="L36" s="2112"/>
      <c r="M36" s="2112"/>
      <c r="N36" s="2112"/>
      <c r="O36" s="2112"/>
      <c r="P36" s="2112"/>
      <c r="Q36" s="2112"/>
      <c r="R36" s="2112"/>
      <c r="S36" s="2112"/>
      <c r="T36" s="2112"/>
      <c r="U36" s="2112"/>
      <c r="V36" s="2112"/>
      <c r="W36" s="2112"/>
      <c r="X36" s="2112"/>
    </row>
    <row r="37" spans="1:24" ht="15" x14ac:dyDescent="0.25">
      <c r="A37" s="1196"/>
      <c r="B37" s="1196"/>
      <c r="C37" s="1196"/>
      <c r="D37" s="1197"/>
      <c r="E37" s="1197"/>
      <c r="F37" s="1197"/>
      <c r="G37" s="1197"/>
      <c r="H37" s="1197"/>
      <c r="I37" s="1197"/>
      <c r="J37" s="1197"/>
      <c r="K37" s="1197"/>
      <c r="L37" s="1197"/>
      <c r="M37" s="1197"/>
      <c r="N37" s="1197"/>
      <c r="O37" s="1197"/>
      <c r="P37" s="1197"/>
      <c r="Q37" s="1198"/>
      <c r="R37" s="1197"/>
      <c r="S37" s="1197"/>
      <c r="T37" s="1197"/>
      <c r="U37" s="1197"/>
      <c r="V37" s="1197"/>
      <c r="W37" s="1197"/>
      <c r="X37" s="1197"/>
    </row>
    <row r="38" spans="1:24" ht="15" customHeight="1" x14ac:dyDescent="0.25">
      <c r="A38" s="2113" t="s">
        <v>37</v>
      </c>
      <c r="B38" s="2093" t="s">
        <v>1726</v>
      </c>
      <c r="C38" s="2115" t="s">
        <v>2</v>
      </c>
      <c r="D38" s="2117" t="s">
        <v>1727</v>
      </c>
      <c r="E38" s="2117" t="s">
        <v>117</v>
      </c>
      <c r="F38" s="2117" t="s">
        <v>1728</v>
      </c>
      <c r="G38" s="2117" t="s">
        <v>1729</v>
      </c>
      <c r="H38" s="2119" t="s">
        <v>1730</v>
      </c>
      <c r="I38" s="2119"/>
      <c r="J38" s="2119"/>
      <c r="K38" s="2119"/>
      <c r="L38" s="2119"/>
      <c r="M38" s="2119"/>
      <c r="N38" s="2119"/>
      <c r="O38" s="2119"/>
      <c r="P38" s="1655"/>
      <c r="Q38" s="2120" t="s">
        <v>1731</v>
      </c>
      <c r="R38" s="2119"/>
      <c r="S38" s="2119"/>
      <c r="T38" s="2119"/>
      <c r="U38" s="2119"/>
      <c r="V38" s="2119"/>
      <c r="W38" s="2119"/>
      <c r="X38" s="2121"/>
    </row>
    <row r="39" spans="1:24" ht="81" customHeight="1" x14ac:dyDescent="0.2">
      <c r="A39" s="2114"/>
      <c r="B39" s="2094"/>
      <c r="C39" s="2116"/>
      <c r="D39" s="2118"/>
      <c r="E39" s="2118"/>
      <c r="F39" s="2118"/>
      <c r="G39" s="2118"/>
      <c r="H39" s="1154" t="s">
        <v>2382</v>
      </c>
      <c r="I39" s="1154" t="s">
        <v>1752</v>
      </c>
      <c r="J39" s="1154" t="s">
        <v>1753</v>
      </c>
      <c r="K39" s="1154" t="s">
        <v>1754</v>
      </c>
      <c r="L39" s="1154" t="s">
        <v>1755</v>
      </c>
      <c r="M39" s="1154" t="s">
        <v>1756</v>
      </c>
      <c r="N39" s="1154" t="s">
        <v>1757</v>
      </c>
      <c r="O39" s="1154" t="s">
        <v>1739</v>
      </c>
      <c r="P39" s="1159" t="s">
        <v>1758</v>
      </c>
      <c r="Q39" s="1227" t="s">
        <v>1741</v>
      </c>
      <c r="R39" s="1154" t="s">
        <v>1759</v>
      </c>
      <c r="S39" s="1154" t="s">
        <v>1760</v>
      </c>
      <c r="T39" s="1154" t="s">
        <v>1761</v>
      </c>
      <c r="U39" s="1154" t="s">
        <v>1745</v>
      </c>
      <c r="V39" s="1154" t="s">
        <v>1746</v>
      </c>
      <c r="W39" s="1154" t="s">
        <v>1747</v>
      </c>
      <c r="X39" s="1159" t="s">
        <v>1762</v>
      </c>
    </row>
    <row r="40" spans="1:24" ht="27" customHeight="1" x14ac:dyDescent="0.2">
      <c r="A40" s="2113" t="s">
        <v>227</v>
      </c>
      <c r="B40" s="2115" t="s">
        <v>266</v>
      </c>
      <c r="C40" s="2125" t="s">
        <v>2238</v>
      </c>
      <c r="D40" s="1201" t="s">
        <v>1838</v>
      </c>
      <c r="E40" s="1201" t="s">
        <v>1288</v>
      </c>
      <c r="F40" s="1201" t="s">
        <v>128</v>
      </c>
      <c r="G40" s="1202" t="s">
        <v>1829</v>
      </c>
      <c r="H40" s="1165"/>
      <c r="I40" s="1165"/>
      <c r="J40" s="1165"/>
      <c r="K40" s="1165"/>
      <c r="L40" s="1165"/>
      <c r="M40" s="1165"/>
      <c r="N40" s="1165"/>
      <c r="O40" s="1165"/>
      <c r="P40" s="1203"/>
      <c r="Q40" s="1204"/>
      <c r="R40" s="1165"/>
      <c r="S40" s="1165"/>
      <c r="T40" s="1165"/>
      <c r="U40" s="1165"/>
      <c r="V40" s="1165"/>
      <c r="W40" s="1165"/>
      <c r="X40" s="1203">
        <v>1981200</v>
      </c>
    </row>
    <row r="41" spans="1:24" ht="27" customHeight="1" x14ac:dyDescent="0.2">
      <c r="A41" s="2111"/>
      <c r="B41" s="2110"/>
      <c r="C41" s="2109"/>
      <c r="D41" s="1206" t="s">
        <v>1838</v>
      </c>
      <c r="E41" s="1206" t="s">
        <v>74</v>
      </c>
      <c r="F41" s="1206" t="s">
        <v>91</v>
      </c>
      <c r="G41" s="1207" t="s">
        <v>1829</v>
      </c>
      <c r="H41" s="1208"/>
      <c r="I41" s="1208"/>
      <c r="J41" s="1208">
        <f>1560000+421200</f>
        <v>1981200</v>
      </c>
      <c r="K41" s="1208"/>
      <c r="L41" s="1208"/>
      <c r="M41" s="1208"/>
      <c r="N41" s="1208"/>
      <c r="O41" s="1208"/>
      <c r="P41" s="1209"/>
      <c r="Q41" s="1210"/>
      <c r="R41" s="1208"/>
      <c r="S41" s="1208"/>
      <c r="T41" s="1208"/>
      <c r="U41" s="1208"/>
      <c r="V41" s="1208"/>
      <c r="W41" s="1208"/>
      <c r="X41" s="1209"/>
    </row>
    <row r="42" spans="1:24" ht="23.25" customHeight="1" x14ac:dyDescent="0.2">
      <c r="A42" s="2111" t="s">
        <v>228</v>
      </c>
      <c r="B42" s="2110" t="s">
        <v>267</v>
      </c>
      <c r="C42" s="2109" t="s">
        <v>2240</v>
      </c>
      <c r="D42" s="1212" t="s">
        <v>1838</v>
      </c>
      <c r="E42" s="1212" t="s">
        <v>1288</v>
      </c>
      <c r="F42" s="1212" t="s">
        <v>128</v>
      </c>
      <c r="G42" s="1213" t="s">
        <v>1829</v>
      </c>
      <c r="H42" s="1173"/>
      <c r="I42" s="1173"/>
      <c r="J42" s="1173"/>
      <c r="K42" s="1173"/>
      <c r="L42" s="1173"/>
      <c r="M42" s="1173"/>
      <c r="N42" s="1173"/>
      <c r="O42" s="1173"/>
      <c r="P42" s="1174"/>
      <c r="Q42" s="1214"/>
      <c r="R42" s="1173"/>
      <c r="S42" s="1173"/>
      <c r="T42" s="1173"/>
      <c r="U42" s="1173"/>
      <c r="V42" s="1173"/>
      <c r="W42" s="1173"/>
      <c r="X42" s="1174">
        <v>1739900</v>
      </c>
    </row>
    <row r="43" spans="1:24" ht="23.25" customHeight="1" x14ac:dyDescent="0.2">
      <c r="A43" s="2111"/>
      <c r="B43" s="2110"/>
      <c r="C43" s="2109"/>
      <c r="D43" s="1212" t="s">
        <v>1838</v>
      </c>
      <c r="E43" s="1212" t="s">
        <v>74</v>
      </c>
      <c r="F43" s="1212" t="s">
        <v>91</v>
      </c>
      <c r="G43" s="1213" t="s">
        <v>1829</v>
      </c>
      <c r="H43" s="1173"/>
      <c r="I43" s="1173"/>
      <c r="J43" s="1173">
        <f>1370000+369900</f>
        <v>1739900</v>
      </c>
      <c r="K43" s="1173"/>
      <c r="L43" s="1173"/>
      <c r="M43" s="1173"/>
      <c r="N43" s="1173"/>
      <c r="O43" s="1173"/>
      <c r="P43" s="1174"/>
      <c r="Q43" s="1214"/>
      <c r="R43" s="1173"/>
      <c r="S43" s="1173"/>
      <c r="T43" s="1173"/>
      <c r="U43" s="1173"/>
      <c r="V43" s="1173"/>
      <c r="W43" s="1173"/>
      <c r="X43" s="1174"/>
    </row>
    <row r="44" spans="1:24" ht="17.25" customHeight="1" x14ac:dyDescent="0.2">
      <c r="A44" s="2099" t="s">
        <v>229</v>
      </c>
      <c r="B44" s="2104" t="s">
        <v>268</v>
      </c>
      <c r="C44" s="2102" t="s">
        <v>2304</v>
      </c>
      <c r="D44" s="1212" t="s">
        <v>1838</v>
      </c>
      <c r="E44" s="1212" t="s">
        <v>1288</v>
      </c>
      <c r="F44" s="1212" t="s">
        <v>128</v>
      </c>
      <c r="G44" s="1213" t="s">
        <v>1829</v>
      </c>
      <c r="H44" s="1173"/>
      <c r="I44" s="1173"/>
      <c r="J44" s="1173"/>
      <c r="K44" s="1173"/>
      <c r="L44" s="1173"/>
      <c r="M44" s="1173"/>
      <c r="N44" s="1173"/>
      <c r="O44" s="1173"/>
      <c r="P44" s="1174"/>
      <c r="Q44" s="1214"/>
      <c r="R44" s="1173"/>
      <c r="S44" s="1173"/>
      <c r="T44" s="1173"/>
      <c r="U44" s="1173"/>
      <c r="V44" s="1173"/>
      <c r="W44" s="1173"/>
      <c r="X44" s="1174">
        <v>37007500</v>
      </c>
    </row>
    <row r="45" spans="1:24" ht="17.25" customHeight="1" x14ac:dyDescent="0.2">
      <c r="A45" s="2100"/>
      <c r="B45" s="2107"/>
      <c r="C45" s="2106"/>
      <c r="D45" s="1212" t="s">
        <v>1838</v>
      </c>
      <c r="E45" s="1212" t="s">
        <v>161</v>
      </c>
      <c r="F45" s="1212" t="s">
        <v>132</v>
      </c>
      <c r="G45" s="1213" t="s">
        <v>1829</v>
      </c>
      <c r="H45" s="1173">
        <v>3500000</v>
      </c>
      <c r="I45" s="1173">
        <v>455000</v>
      </c>
      <c r="J45" s="1173"/>
      <c r="K45" s="1173"/>
      <c r="L45" s="1173"/>
      <c r="M45" s="1173"/>
      <c r="N45" s="1173"/>
      <c r="O45" s="1173"/>
      <c r="P45" s="1174"/>
      <c r="Q45" s="1214"/>
      <c r="R45" s="1173"/>
      <c r="S45" s="1173"/>
      <c r="T45" s="1173"/>
      <c r="U45" s="1173"/>
      <c r="V45" s="1173"/>
      <c r="W45" s="1173"/>
      <c r="X45" s="1174"/>
    </row>
    <row r="46" spans="1:24" ht="17.25" customHeight="1" x14ac:dyDescent="0.2">
      <c r="A46" s="2100"/>
      <c r="B46" s="2107"/>
      <c r="C46" s="2106"/>
      <c r="D46" s="1212" t="s">
        <v>1838</v>
      </c>
      <c r="E46" s="1212" t="s">
        <v>508</v>
      </c>
      <c r="F46" s="1212" t="s">
        <v>151</v>
      </c>
      <c r="G46" s="1213" t="s">
        <v>1829</v>
      </c>
      <c r="H46" s="1173">
        <v>1000000</v>
      </c>
      <c r="I46" s="1173">
        <v>130000</v>
      </c>
      <c r="J46" s="1173"/>
      <c r="K46" s="1173"/>
      <c r="L46" s="1173"/>
      <c r="M46" s="1173"/>
      <c r="N46" s="1173"/>
      <c r="O46" s="1173"/>
      <c r="P46" s="1174"/>
      <c r="Q46" s="1214"/>
      <c r="R46" s="1173"/>
      <c r="S46" s="1173"/>
      <c r="T46" s="1173"/>
      <c r="U46" s="1173"/>
      <c r="V46" s="1173"/>
      <c r="W46" s="1173"/>
      <c r="X46" s="1174"/>
    </row>
    <row r="47" spans="1:24" ht="17.25" customHeight="1" x14ac:dyDescent="0.2">
      <c r="A47" s="2100"/>
      <c r="B47" s="2107"/>
      <c r="C47" s="2106"/>
      <c r="D47" s="1212" t="s">
        <v>1838</v>
      </c>
      <c r="E47" s="1212" t="s">
        <v>626</v>
      </c>
      <c r="F47" s="1212" t="s">
        <v>134</v>
      </c>
      <c r="G47" s="1213" t="s">
        <v>1829</v>
      </c>
      <c r="H47" s="1173">
        <f>5500000+2000000</f>
        <v>7500000</v>
      </c>
      <c r="I47" s="1173">
        <v>975000</v>
      </c>
      <c r="J47" s="1173"/>
      <c r="K47" s="1173"/>
      <c r="L47" s="1173"/>
      <c r="M47" s="1173"/>
      <c r="N47" s="1173"/>
      <c r="O47" s="1173"/>
      <c r="P47" s="1174"/>
      <c r="Q47" s="1214"/>
      <c r="R47" s="1173"/>
      <c r="S47" s="1173"/>
      <c r="T47" s="1173"/>
      <c r="U47" s="1173"/>
      <c r="V47" s="1173"/>
      <c r="W47" s="1173"/>
      <c r="X47" s="1174"/>
    </row>
    <row r="48" spans="1:24" ht="17.25" customHeight="1" x14ac:dyDescent="0.2">
      <c r="A48" s="2101"/>
      <c r="B48" s="2105"/>
      <c r="C48" s="2103"/>
      <c r="D48" s="1212" t="s">
        <v>1838</v>
      </c>
      <c r="E48" s="1212" t="s">
        <v>74</v>
      </c>
      <c r="F48" s="1212" t="s">
        <v>91</v>
      </c>
      <c r="G48" s="1213" t="s">
        <v>2100</v>
      </c>
      <c r="H48" s="1173">
        <v>20750000</v>
      </c>
      <c r="I48" s="1173">
        <v>2697500</v>
      </c>
      <c r="J48" s="1173"/>
      <c r="K48" s="1173"/>
      <c r="L48" s="1173"/>
      <c r="M48" s="1173"/>
      <c r="N48" s="1173"/>
      <c r="O48" s="1173"/>
      <c r="P48" s="1174"/>
      <c r="Q48" s="1214"/>
      <c r="R48" s="1173"/>
      <c r="S48" s="1173"/>
      <c r="T48" s="1173"/>
      <c r="U48" s="1173"/>
      <c r="V48" s="1173"/>
      <c r="W48" s="1173"/>
      <c r="X48" s="1174"/>
    </row>
    <row r="49" spans="1:24" ht="18.75" customHeight="1" x14ac:dyDescent="0.2">
      <c r="A49" s="2099" t="s">
        <v>230</v>
      </c>
      <c r="B49" s="2104" t="s">
        <v>269</v>
      </c>
      <c r="C49" s="2102" t="s">
        <v>2256</v>
      </c>
      <c r="D49" s="1212" t="s">
        <v>1838</v>
      </c>
      <c r="E49" s="1212" t="s">
        <v>74</v>
      </c>
      <c r="F49" s="1212" t="s">
        <v>91</v>
      </c>
      <c r="G49" s="1213" t="s">
        <v>1837</v>
      </c>
      <c r="H49" s="1173">
        <f>-300000+300000</f>
        <v>0</v>
      </c>
      <c r="I49" s="1173"/>
      <c r="J49" s="1173"/>
      <c r="K49" s="1173"/>
      <c r="L49" s="1173"/>
      <c r="M49" s="1173"/>
      <c r="N49" s="1173"/>
      <c r="O49" s="1173"/>
      <c r="P49" s="1174"/>
      <c r="Q49" s="1214"/>
      <c r="R49" s="1173"/>
      <c r="S49" s="1173"/>
      <c r="T49" s="1173"/>
      <c r="U49" s="1173"/>
      <c r="V49" s="1173"/>
      <c r="W49" s="1173"/>
      <c r="X49" s="1174"/>
    </row>
    <row r="50" spans="1:24" ht="18.75" customHeight="1" x14ac:dyDescent="0.2">
      <c r="A50" s="2100"/>
      <c r="B50" s="2107"/>
      <c r="C50" s="2106"/>
      <c r="D50" s="1212" t="s">
        <v>1838</v>
      </c>
      <c r="E50" s="1212" t="s">
        <v>161</v>
      </c>
      <c r="F50" s="1212" t="s">
        <v>132</v>
      </c>
      <c r="G50" s="1213" t="s">
        <v>1837</v>
      </c>
      <c r="H50" s="1173">
        <f>-76210+7344+68866</f>
        <v>0</v>
      </c>
      <c r="I50" s="1173"/>
      <c r="J50" s="1173"/>
      <c r="K50" s="1173"/>
      <c r="L50" s="1173"/>
      <c r="M50" s="1173"/>
      <c r="N50" s="1173"/>
      <c r="O50" s="1173"/>
      <c r="P50" s="1174"/>
      <c r="Q50" s="1214"/>
      <c r="R50" s="1173"/>
      <c r="S50" s="1173"/>
      <c r="T50" s="1173"/>
      <c r="U50" s="1173"/>
      <c r="V50" s="1173"/>
      <c r="W50" s="1173"/>
      <c r="X50" s="1174"/>
    </row>
    <row r="51" spans="1:24" ht="18.75" customHeight="1" x14ac:dyDescent="0.2">
      <c r="A51" s="2101"/>
      <c r="B51" s="2105"/>
      <c r="C51" s="2103"/>
      <c r="D51" s="1212" t="s">
        <v>1838</v>
      </c>
      <c r="E51" s="1212" t="s">
        <v>626</v>
      </c>
      <c r="F51" s="1212" t="s">
        <v>134</v>
      </c>
      <c r="G51" s="1213" t="s">
        <v>1837</v>
      </c>
      <c r="H51" s="1173">
        <f>-1232740+45540+1187200</f>
        <v>0</v>
      </c>
      <c r="I51" s="1173"/>
      <c r="J51" s="1173"/>
      <c r="K51" s="1173"/>
      <c r="L51" s="1173"/>
      <c r="M51" s="1173"/>
      <c r="N51" s="1173"/>
      <c r="O51" s="1173"/>
      <c r="P51" s="1174"/>
      <c r="Q51" s="1214"/>
      <c r="R51" s="1173"/>
      <c r="S51" s="1173"/>
      <c r="T51" s="1173"/>
      <c r="U51" s="1173"/>
      <c r="V51" s="1173"/>
      <c r="W51" s="1173"/>
      <c r="X51" s="1174"/>
    </row>
    <row r="52" spans="1:24" ht="41.25" customHeight="1" x14ac:dyDescent="0.2">
      <c r="A52" s="1650" t="s">
        <v>231</v>
      </c>
      <c r="B52" s="1649" t="s">
        <v>270</v>
      </c>
      <c r="C52" s="1648" t="s">
        <v>2317</v>
      </c>
      <c r="D52" s="1212" t="s">
        <v>1838</v>
      </c>
      <c r="E52" s="1212" t="s">
        <v>1288</v>
      </c>
      <c r="F52" s="1212" t="s">
        <v>128</v>
      </c>
      <c r="G52" s="1213" t="s">
        <v>1829</v>
      </c>
      <c r="H52" s="1173"/>
      <c r="I52" s="1173"/>
      <c r="J52" s="1173"/>
      <c r="K52" s="1173"/>
      <c r="L52" s="1173">
        <v>18696181</v>
      </c>
      <c r="M52" s="1173"/>
      <c r="N52" s="1173"/>
      <c r="O52" s="1173"/>
      <c r="P52" s="1174"/>
      <c r="Q52" s="1214"/>
      <c r="R52" s="1173"/>
      <c r="S52" s="1173"/>
      <c r="T52" s="1173"/>
      <c r="U52" s="1173"/>
      <c r="V52" s="1173"/>
      <c r="W52" s="1173"/>
      <c r="X52" s="1174">
        <v>18696181</v>
      </c>
    </row>
    <row r="53" spans="1:24" ht="29.25" customHeight="1" x14ac:dyDescent="0.2">
      <c r="A53" s="1650" t="s">
        <v>232</v>
      </c>
      <c r="B53" s="1649" t="s">
        <v>271</v>
      </c>
      <c r="C53" s="1648" t="s">
        <v>2367</v>
      </c>
      <c r="D53" s="1212" t="s">
        <v>1838</v>
      </c>
      <c r="E53" s="1212" t="s">
        <v>153</v>
      </c>
      <c r="F53" s="1212" t="s">
        <v>132</v>
      </c>
      <c r="G53" s="1213" t="s">
        <v>1837</v>
      </c>
      <c r="H53" s="1173"/>
      <c r="I53" s="1173"/>
      <c r="J53" s="1173">
        <f>-1500000+1500000</f>
        <v>0</v>
      </c>
      <c r="K53" s="1173"/>
      <c r="L53" s="1173"/>
      <c r="M53" s="1173"/>
      <c r="N53" s="1173"/>
      <c r="O53" s="1173"/>
      <c r="P53" s="1174"/>
      <c r="Q53" s="1214"/>
      <c r="R53" s="1173"/>
      <c r="S53" s="1173"/>
      <c r="T53" s="1173"/>
      <c r="U53" s="1173"/>
      <c r="V53" s="1173"/>
      <c r="W53" s="1173"/>
      <c r="X53" s="1174"/>
    </row>
    <row r="54" spans="1:24" ht="42" customHeight="1" x14ac:dyDescent="0.2">
      <c r="A54" s="1650" t="s">
        <v>233</v>
      </c>
      <c r="B54" s="1649" t="s">
        <v>272</v>
      </c>
      <c r="C54" s="1648" t="s">
        <v>2368</v>
      </c>
      <c r="D54" s="1212" t="s">
        <v>1838</v>
      </c>
      <c r="E54" s="1212" t="s">
        <v>626</v>
      </c>
      <c r="F54" s="1212" t="s">
        <v>134</v>
      </c>
      <c r="G54" s="1213" t="s">
        <v>1829</v>
      </c>
      <c r="H54" s="1173"/>
      <c r="I54" s="1173"/>
      <c r="J54" s="1173">
        <v>233250</v>
      </c>
      <c r="K54" s="1173"/>
      <c r="L54" s="1173"/>
      <c r="M54" s="1173"/>
      <c r="N54" s="1173"/>
      <c r="O54" s="1173"/>
      <c r="P54" s="1174"/>
      <c r="Q54" s="1214"/>
      <c r="R54" s="1173"/>
      <c r="S54" s="1173"/>
      <c r="T54" s="1173">
        <v>233250</v>
      </c>
      <c r="U54" s="1173"/>
      <c r="V54" s="1173"/>
      <c r="W54" s="1173"/>
      <c r="X54" s="1174"/>
    </row>
    <row r="55" spans="1:24" ht="24" customHeight="1" x14ac:dyDescent="0.2">
      <c r="A55" s="2099" t="s">
        <v>260</v>
      </c>
      <c r="B55" s="2104" t="s">
        <v>276</v>
      </c>
      <c r="C55" s="2102" t="s">
        <v>2404</v>
      </c>
      <c r="D55" s="1212" t="s">
        <v>1838</v>
      </c>
      <c r="E55" s="1212" t="s">
        <v>74</v>
      </c>
      <c r="F55" s="1212" t="s">
        <v>91</v>
      </c>
      <c r="G55" s="1213" t="s">
        <v>1837</v>
      </c>
      <c r="H55" s="1173">
        <f>-74560+74560</f>
        <v>0</v>
      </c>
      <c r="I55" s="1173"/>
      <c r="J55" s="1173"/>
      <c r="K55" s="1173"/>
      <c r="L55" s="1173"/>
      <c r="M55" s="1173"/>
      <c r="N55" s="1173"/>
      <c r="O55" s="1173"/>
      <c r="P55" s="1174"/>
      <c r="Q55" s="1214"/>
      <c r="R55" s="1173"/>
      <c r="S55" s="1173"/>
      <c r="T55" s="1173"/>
      <c r="U55" s="1173"/>
      <c r="V55" s="1173"/>
      <c r="W55" s="1173"/>
      <c r="X55" s="1174"/>
    </row>
    <row r="56" spans="1:24" ht="24" customHeight="1" x14ac:dyDescent="0.2">
      <c r="A56" s="2100"/>
      <c r="B56" s="2107"/>
      <c r="C56" s="2106"/>
      <c r="D56" s="1212" t="s">
        <v>1838</v>
      </c>
      <c r="E56" s="1212" t="s">
        <v>161</v>
      </c>
      <c r="F56" s="1212" t="s">
        <v>132</v>
      </c>
      <c r="G56" s="1213" t="s">
        <v>1837</v>
      </c>
      <c r="H56" s="1173">
        <f>-108640+8640+100000</f>
        <v>0</v>
      </c>
      <c r="I56" s="1173"/>
      <c r="J56" s="1173"/>
      <c r="K56" s="1173"/>
      <c r="L56" s="1173"/>
      <c r="M56" s="1173"/>
      <c r="N56" s="1173"/>
      <c r="O56" s="1173"/>
      <c r="P56" s="1174"/>
      <c r="Q56" s="1214"/>
      <c r="R56" s="1173"/>
      <c r="S56" s="1173"/>
      <c r="T56" s="1173"/>
      <c r="U56" s="1173"/>
      <c r="V56" s="1173"/>
      <c r="W56" s="1173"/>
      <c r="X56" s="1174"/>
    </row>
    <row r="57" spans="1:24" ht="24" customHeight="1" x14ac:dyDescent="0.2">
      <c r="A57" s="2101"/>
      <c r="B57" s="2105"/>
      <c r="C57" s="2103"/>
      <c r="D57" s="1212" t="s">
        <v>1838</v>
      </c>
      <c r="E57" s="1212" t="s">
        <v>626</v>
      </c>
      <c r="F57" s="1212" t="s">
        <v>134</v>
      </c>
      <c r="G57" s="1213" t="s">
        <v>1837</v>
      </c>
      <c r="H57" s="1173">
        <f>-988464+84204+4420+899840</f>
        <v>0</v>
      </c>
      <c r="I57" s="1173"/>
      <c r="J57" s="1173"/>
      <c r="K57" s="1173"/>
      <c r="L57" s="1173"/>
      <c r="M57" s="1173"/>
      <c r="N57" s="1173"/>
      <c r="O57" s="1173"/>
      <c r="P57" s="1174"/>
      <c r="Q57" s="1214"/>
      <c r="R57" s="1173"/>
      <c r="S57" s="1173"/>
      <c r="T57" s="1173"/>
      <c r="U57" s="1173"/>
      <c r="V57" s="1173"/>
      <c r="W57" s="1173"/>
      <c r="X57" s="1174"/>
    </row>
    <row r="58" spans="1:24" ht="42" customHeight="1" x14ac:dyDescent="0.2">
      <c r="A58" s="1650" t="s">
        <v>261</v>
      </c>
      <c r="B58" s="1649" t="s">
        <v>277</v>
      </c>
      <c r="C58" s="1648" t="s">
        <v>1853</v>
      </c>
      <c r="D58" s="1212" t="s">
        <v>1838</v>
      </c>
      <c r="E58" s="1212" t="s">
        <v>74</v>
      </c>
      <c r="F58" s="1212" t="s">
        <v>830</v>
      </c>
      <c r="G58" s="1213" t="s">
        <v>1829</v>
      </c>
      <c r="H58" s="1173"/>
      <c r="I58" s="1173"/>
      <c r="J58" s="1173">
        <f>2000000+540000</f>
        <v>2540000</v>
      </c>
      <c r="K58" s="1173"/>
      <c r="L58" s="1173"/>
      <c r="M58" s="1173"/>
      <c r="N58" s="1173"/>
      <c r="O58" s="1173"/>
      <c r="P58" s="1174"/>
      <c r="Q58" s="1214"/>
      <c r="R58" s="1173"/>
      <c r="S58" s="1173"/>
      <c r="T58" s="1173">
        <f>2000000+540000</f>
        <v>2540000</v>
      </c>
      <c r="U58" s="1173"/>
      <c r="V58" s="1173"/>
      <c r="W58" s="1173"/>
      <c r="X58" s="1174"/>
    </row>
    <row r="59" spans="1:24" ht="42" customHeight="1" x14ac:dyDescent="0.2">
      <c r="A59" s="1650" t="s">
        <v>262</v>
      </c>
      <c r="B59" s="1649" t="s">
        <v>278</v>
      </c>
      <c r="C59" s="1648" t="s">
        <v>2471</v>
      </c>
      <c r="D59" s="1212" t="s">
        <v>1838</v>
      </c>
      <c r="E59" s="1212" t="s">
        <v>508</v>
      </c>
      <c r="F59" s="1212" t="s">
        <v>151</v>
      </c>
      <c r="G59" s="1213" t="s">
        <v>1829</v>
      </c>
      <c r="H59" s="1173"/>
      <c r="I59" s="1173"/>
      <c r="J59" s="1173">
        <v>2</v>
      </c>
      <c r="K59" s="1173"/>
      <c r="L59" s="1173"/>
      <c r="M59" s="1173"/>
      <c r="N59" s="1173"/>
      <c r="O59" s="1173"/>
      <c r="P59" s="1174"/>
      <c r="Q59" s="1214"/>
      <c r="R59" s="1173"/>
      <c r="S59" s="1173"/>
      <c r="T59" s="1173">
        <v>2</v>
      </c>
      <c r="U59" s="1173"/>
      <c r="V59" s="1173"/>
      <c r="W59" s="1173"/>
      <c r="X59" s="1174"/>
    </row>
    <row r="60" spans="1:24" ht="38.25" customHeight="1" x14ac:dyDescent="0.2">
      <c r="A60" s="1650" t="s">
        <v>263</v>
      </c>
      <c r="B60" s="1649" t="s">
        <v>279</v>
      </c>
      <c r="C60" s="1648" t="s">
        <v>2472</v>
      </c>
      <c r="D60" s="1212" t="s">
        <v>1838</v>
      </c>
      <c r="E60" s="1212" t="s">
        <v>626</v>
      </c>
      <c r="F60" s="1212" t="s">
        <v>134</v>
      </c>
      <c r="G60" s="1213" t="s">
        <v>1829</v>
      </c>
      <c r="H60" s="1173"/>
      <c r="I60" s="1173"/>
      <c r="J60" s="1173">
        <v>16480</v>
      </c>
      <c r="K60" s="1173"/>
      <c r="L60" s="1173"/>
      <c r="M60" s="1173"/>
      <c r="N60" s="1173"/>
      <c r="O60" s="1173"/>
      <c r="P60" s="1174"/>
      <c r="Q60" s="1214"/>
      <c r="R60" s="1173"/>
      <c r="S60" s="1173"/>
      <c r="T60" s="1173">
        <v>16480</v>
      </c>
      <c r="U60" s="1173"/>
      <c r="V60" s="1173"/>
      <c r="W60" s="1173"/>
      <c r="X60" s="1174"/>
    </row>
    <row r="61" spans="1:24" ht="27.75" customHeight="1" x14ac:dyDescent="0.2">
      <c r="A61" s="2099" t="s">
        <v>264</v>
      </c>
      <c r="B61" s="2104" t="s">
        <v>280</v>
      </c>
      <c r="C61" s="2102" t="s">
        <v>2526</v>
      </c>
      <c r="D61" s="1212" t="s">
        <v>1838</v>
      </c>
      <c r="E61" s="1212" t="s">
        <v>74</v>
      </c>
      <c r="F61" s="1212" t="s">
        <v>91</v>
      </c>
      <c r="G61" s="1213" t="s">
        <v>1837</v>
      </c>
      <c r="H61" s="1173">
        <f>-20250000+20250000</f>
        <v>0</v>
      </c>
      <c r="I61" s="1173"/>
      <c r="J61" s="1173"/>
      <c r="K61" s="1173"/>
      <c r="L61" s="1173"/>
      <c r="M61" s="1173"/>
      <c r="N61" s="1173"/>
      <c r="O61" s="1173"/>
      <c r="P61" s="1174"/>
      <c r="Q61" s="1214"/>
      <c r="R61" s="1173"/>
      <c r="S61" s="1173"/>
      <c r="T61" s="1173"/>
      <c r="U61" s="1173"/>
      <c r="V61" s="1173"/>
      <c r="W61" s="1173"/>
      <c r="X61" s="1174"/>
    </row>
    <row r="62" spans="1:24" ht="27.75" customHeight="1" x14ac:dyDescent="0.2">
      <c r="A62" s="2100"/>
      <c r="B62" s="2107"/>
      <c r="C62" s="2106"/>
      <c r="D62" s="1212" t="s">
        <v>1838</v>
      </c>
      <c r="E62" s="1212" t="s">
        <v>161</v>
      </c>
      <c r="F62" s="1212" t="s">
        <v>132</v>
      </c>
      <c r="G62" s="1213" t="s">
        <v>1837</v>
      </c>
      <c r="H62" s="1173">
        <f>-3500000+3500000-7776+7776</f>
        <v>0</v>
      </c>
      <c r="I62" s="1173"/>
      <c r="J62" s="1173"/>
      <c r="K62" s="1173"/>
      <c r="L62" s="1173"/>
      <c r="M62" s="1173"/>
      <c r="N62" s="1173"/>
      <c r="O62" s="1173"/>
      <c r="P62" s="1174"/>
      <c r="Q62" s="1214"/>
      <c r="R62" s="1173"/>
      <c r="S62" s="1173"/>
      <c r="T62" s="1173"/>
      <c r="U62" s="1173"/>
      <c r="V62" s="1173"/>
      <c r="W62" s="1173"/>
      <c r="X62" s="1174"/>
    </row>
    <row r="63" spans="1:24" ht="27.75" customHeight="1" x14ac:dyDescent="0.2">
      <c r="A63" s="2100"/>
      <c r="B63" s="2107"/>
      <c r="C63" s="2106"/>
      <c r="D63" s="1212" t="s">
        <v>1838</v>
      </c>
      <c r="E63" s="1212" t="s">
        <v>508</v>
      </c>
      <c r="F63" s="1212" t="s">
        <v>151</v>
      </c>
      <c r="G63" s="1213" t="s">
        <v>1837</v>
      </c>
      <c r="H63" s="1173">
        <f>-1000000+1000000</f>
        <v>0</v>
      </c>
      <c r="I63" s="1173"/>
      <c r="J63" s="1173"/>
      <c r="K63" s="1173"/>
      <c r="L63" s="1173"/>
      <c r="M63" s="1173"/>
      <c r="N63" s="1173"/>
      <c r="O63" s="1173"/>
      <c r="P63" s="1174"/>
      <c r="Q63" s="1214"/>
      <c r="R63" s="1173"/>
      <c r="S63" s="1173"/>
      <c r="T63" s="1173"/>
      <c r="U63" s="1173"/>
      <c r="V63" s="1173"/>
      <c r="W63" s="1173"/>
      <c r="X63" s="1174"/>
    </row>
    <row r="64" spans="1:24" ht="27.75" customHeight="1" x14ac:dyDescent="0.2">
      <c r="A64" s="2101"/>
      <c r="B64" s="2105"/>
      <c r="C64" s="2103"/>
      <c r="D64" s="1212" t="s">
        <v>1838</v>
      </c>
      <c r="E64" s="1212" t="s">
        <v>626</v>
      </c>
      <c r="F64" s="1212" t="s">
        <v>134</v>
      </c>
      <c r="G64" s="1213" t="s">
        <v>1837</v>
      </c>
      <c r="H64" s="1173">
        <f>-5500000+5500000-1257398+75528+1181870</f>
        <v>0</v>
      </c>
      <c r="I64" s="1173"/>
      <c r="J64" s="1173"/>
      <c r="K64" s="1173"/>
      <c r="L64" s="1173"/>
      <c r="M64" s="1173"/>
      <c r="N64" s="1173"/>
      <c r="O64" s="1173"/>
      <c r="P64" s="1174"/>
      <c r="Q64" s="1214"/>
      <c r="R64" s="1173"/>
      <c r="S64" s="1173"/>
      <c r="T64" s="1173"/>
      <c r="U64" s="1173"/>
      <c r="V64" s="1173"/>
      <c r="W64" s="1173"/>
      <c r="X64" s="1174"/>
    </row>
    <row r="65" spans="1:24" ht="27.75" customHeight="1" x14ac:dyDescent="0.2">
      <c r="A65" s="2099" t="s">
        <v>265</v>
      </c>
      <c r="B65" s="2104" t="s">
        <v>281</v>
      </c>
      <c r="C65" s="2102" t="s">
        <v>2535</v>
      </c>
      <c r="D65" s="1212" t="s">
        <v>1838</v>
      </c>
      <c r="E65" s="1212" t="s">
        <v>1288</v>
      </c>
      <c r="F65" s="1212" t="s">
        <v>128</v>
      </c>
      <c r="G65" s="1213" t="s">
        <v>1829</v>
      </c>
      <c r="H65" s="1173"/>
      <c r="I65" s="1173"/>
      <c r="J65" s="1173"/>
      <c r="K65" s="1173"/>
      <c r="L65" s="1173"/>
      <c r="M65" s="1173"/>
      <c r="N65" s="1173"/>
      <c r="O65" s="1173"/>
      <c r="P65" s="1174"/>
      <c r="Q65" s="1214"/>
      <c r="R65" s="1173"/>
      <c r="S65" s="1173"/>
      <c r="T65" s="1173"/>
      <c r="U65" s="1173"/>
      <c r="V65" s="1173"/>
      <c r="W65" s="1173"/>
      <c r="X65" s="1174">
        <v>165630</v>
      </c>
    </row>
    <row r="66" spans="1:24" ht="27.75" customHeight="1" x14ac:dyDescent="0.2">
      <c r="A66" s="2101"/>
      <c r="B66" s="2105"/>
      <c r="C66" s="2103"/>
      <c r="D66" s="1212" t="s">
        <v>1838</v>
      </c>
      <c r="E66" s="1212" t="s">
        <v>74</v>
      </c>
      <c r="F66" s="1212" t="s">
        <v>91</v>
      </c>
      <c r="G66" s="1213" t="s">
        <v>1829</v>
      </c>
      <c r="H66" s="1173"/>
      <c r="I66" s="1173"/>
      <c r="J66" s="1173">
        <f>130417+35213</f>
        <v>165630</v>
      </c>
      <c r="K66" s="1173"/>
      <c r="L66" s="1173"/>
      <c r="M66" s="1173"/>
      <c r="N66" s="1173"/>
      <c r="O66" s="1173"/>
      <c r="P66" s="1174"/>
      <c r="Q66" s="1214"/>
      <c r="R66" s="1173"/>
      <c r="S66" s="1173"/>
      <c r="T66" s="1173"/>
      <c r="U66" s="1173"/>
      <c r="V66" s="1173"/>
      <c r="W66" s="1173"/>
      <c r="X66" s="1174"/>
    </row>
    <row r="67" spans="1:24" ht="30.75" customHeight="1" x14ac:dyDescent="0.2">
      <c r="A67" s="1650" t="s">
        <v>266</v>
      </c>
      <c r="B67" s="1649" t="s">
        <v>282</v>
      </c>
      <c r="C67" s="1648" t="s">
        <v>2539</v>
      </c>
      <c r="D67" s="1212" t="s">
        <v>1838</v>
      </c>
      <c r="E67" s="1212" t="s">
        <v>74</v>
      </c>
      <c r="F67" s="1212" t="s">
        <v>91</v>
      </c>
      <c r="G67" s="1213" t="s">
        <v>1829</v>
      </c>
      <c r="H67" s="1173"/>
      <c r="I67" s="1173"/>
      <c r="J67" s="1173">
        <v>120000</v>
      </c>
      <c r="K67" s="1173"/>
      <c r="L67" s="1173"/>
      <c r="M67" s="1173"/>
      <c r="N67" s="1173"/>
      <c r="O67" s="1173"/>
      <c r="P67" s="1174"/>
      <c r="Q67" s="1214"/>
      <c r="R67" s="1173"/>
      <c r="S67" s="1173">
        <v>120000</v>
      </c>
      <c r="T67" s="1173"/>
      <c r="U67" s="1173"/>
      <c r="V67" s="1173"/>
      <c r="W67" s="1173"/>
      <c r="X67" s="1174"/>
    </row>
    <row r="68" spans="1:24" ht="28.5" customHeight="1" x14ac:dyDescent="0.2">
      <c r="A68" s="1645" t="s">
        <v>267</v>
      </c>
      <c r="B68" s="1642" t="s">
        <v>283</v>
      </c>
      <c r="C68" s="1640" t="s">
        <v>2595</v>
      </c>
      <c r="D68" s="1212" t="s">
        <v>1838</v>
      </c>
      <c r="E68" s="1212" t="s">
        <v>74</v>
      </c>
      <c r="F68" s="1212" t="s">
        <v>91</v>
      </c>
      <c r="G68" s="1213" t="s">
        <v>1829</v>
      </c>
      <c r="H68" s="1173"/>
      <c r="I68" s="1173"/>
      <c r="J68" s="1173">
        <v>200000</v>
      </c>
      <c r="K68" s="1173"/>
      <c r="L68" s="1173"/>
      <c r="M68" s="1173"/>
      <c r="N68" s="1173"/>
      <c r="O68" s="1173"/>
      <c r="P68" s="1174"/>
      <c r="Q68" s="1214"/>
      <c r="R68" s="1173"/>
      <c r="S68" s="1173"/>
      <c r="T68" s="1173">
        <v>200000</v>
      </c>
      <c r="U68" s="1173"/>
      <c r="V68" s="1173"/>
      <c r="W68" s="1173"/>
      <c r="X68" s="1174"/>
    </row>
    <row r="69" spans="1:24" ht="38.25" customHeight="1" x14ac:dyDescent="0.2">
      <c r="A69" s="1647" t="s">
        <v>268</v>
      </c>
      <c r="B69" s="1652" t="s">
        <v>284</v>
      </c>
      <c r="C69" s="1651" t="s">
        <v>2596</v>
      </c>
      <c r="D69" s="1212" t="s">
        <v>1838</v>
      </c>
      <c r="E69" s="1212" t="s">
        <v>626</v>
      </c>
      <c r="F69" s="1212" t="s">
        <v>134</v>
      </c>
      <c r="G69" s="1213" t="s">
        <v>1829</v>
      </c>
      <c r="H69" s="1173"/>
      <c r="I69" s="1173"/>
      <c r="J69" s="1173">
        <v>200000</v>
      </c>
      <c r="K69" s="1173"/>
      <c r="L69" s="1173"/>
      <c r="M69" s="1173"/>
      <c r="N69" s="1173"/>
      <c r="O69" s="1173"/>
      <c r="P69" s="1174"/>
      <c r="Q69" s="1214"/>
      <c r="R69" s="1173"/>
      <c r="S69" s="1173"/>
      <c r="T69" s="1173">
        <v>200000</v>
      </c>
      <c r="U69" s="1173"/>
      <c r="V69" s="1173"/>
      <c r="W69" s="1173"/>
      <c r="X69" s="1174"/>
    </row>
    <row r="70" spans="1:24" ht="21" customHeight="1" x14ac:dyDescent="0.3">
      <c r="A70" s="2082" t="s">
        <v>1749</v>
      </c>
      <c r="B70" s="2083"/>
      <c r="C70" s="2084"/>
      <c r="D70" s="1499"/>
      <c r="E70" s="1288"/>
      <c r="F70" s="1288"/>
      <c r="G70" s="1288"/>
      <c r="H70" s="1365">
        <f t="shared" ref="H70:X70" si="2">SUM(H40:H69)+H24</f>
        <v>32745103</v>
      </c>
      <c r="I70" s="1365">
        <f t="shared" si="2"/>
        <v>4257500</v>
      </c>
      <c r="J70" s="1365">
        <f t="shared" si="2"/>
        <v>5752072</v>
      </c>
      <c r="K70" s="1365">
        <f t="shared" si="2"/>
        <v>0</v>
      </c>
      <c r="L70" s="1365">
        <f t="shared" si="2"/>
        <v>23805431</v>
      </c>
      <c r="M70" s="1365">
        <f t="shared" si="2"/>
        <v>10000</v>
      </c>
      <c r="N70" s="1365">
        <f t="shared" si="2"/>
        <v>0</v>
      </c>
      <c r="O70" s="1365">
        <f t="shared" si="2"/>
        <v>276800</v>
      </c>
      <c r="P70" s="1366">
        <f t="shared" si="2"/>
        <v>0</v>
      </c>
      <c r="Q70" s="1367">
        <f t="shared" si="2"/>
        <v>0</v>
      </c>
      <c r="R70" s="1365">
        <f t="shared" si="2"/>
        <v>0</v>
      </c>
      <c r="S70" s="1365">
        <f t="shared" si="2"/>
        <v>1023037</v>
      </c>
      <c r="T70" s="1365">
        <f t="shared" si="2"/>
        <v>5946658</v>
      </c>
      <c r="U70" s="1365">
        <f t="shared" si="2"/>
        <v>10000</v>
      </c>
      <c r="V70" s="1365">
        <f t="shared" si="2"/>
        <v>0</v>
      </c>
      <c r="W70" s="1365">
        <f t="shared" si="2"/>
        <v>276800</v>
      </c>
      <c r="X70" s="1366">
        <f t="shared" si="2"/>
        <v>59590411</v>
      </c>
    </row>
    <row r="71" spans="1:24" ht="23.25" customHeight="1" x14ac:dyDescent="0.3">
      <c r="A71" s="1217"/>
      <c r="B71" s="1217"/>
      <c r="C71" s="1217"/>
      <c r="D71" s="1218"/>
      <c r="E71" s="1219"/>
      <c r="F71" s="1219"/>
      <c r="G71" s="1219"/>
      <c r="H71" s="1150"/>
      <c r="I71" s="1150"/>
      <c r="J71" s="1150"/>
      <c r="K71" s="1150"/>
      <c r="L71" s="1150"/>
      <c r="M71" s="1150"/>
      <c r="N71" s="1150"/>
      <c r="O71" s="1150"/>
      <c r="P71" s="1150"/>
      <c r="Q71" s="1150"/>
      <c r="R71" s="1150"/>
      <c r="S71" s="1150"/>
      <c r="T71" s="1150"/>
      <c r="U71" s="1150"/>
      <c r="V71" s="1150"/>
      <c r="W71" s="1150"/>
      <c r="X71" s="1150"/>
    </row>
    <row r="72" spans="1:24" ht="17.25" customHeight="1" x14ac:dyDescent="0.2">
      <c r="A72" s="1220"/>
      <c r="B72" s="1220"/>
      <c r="C72" s="1221"/>
      <c r="D72" s="1222"/>
      <c r="E72" s="1223"/>
      <c r="F72" s="1223"/>
      <c r="G72" s="1223"/>
      <c r="H72" s="1150"/>
      <c r="I72" s="1150"/>
      <c r="J72" s="1150"/>
      <c r="K72" s="1150"/>
      <c r="L72" s="1150"/>
      <c r="M72" s="1150"/>
      <c r="N72" s="1150"/>
      <c r="O72" s="1150"/>
      <c r="P72" s="1150"/>
      <c r="Q72" s="1150"/>
      <c r="R72" s="1150"/>
      <c r="S72" s="1150"/>
      <c r="T72" s="1150"/>
      <c r="U72" s="1150"/>
      <c r="V72" s="1150"/>
      <c r="W72" s="1150"/>
      <c r="X72" s="1150"/>
    </row>
    <row r="73" spans="1:24" x14ac:dyDescent="0.2">
      <c r="A73" s="1220"/>
      <c r="B73" s="1220"/>
      <c r="C73" s="1221"/>
      <c r="D73" s="1222"/>
      <c r="E73" s="1223"/>
      <c r="F73" s="1223"/>
      <c r="G73" s="1223"/>
      <c r="H73" s="1150"/>
      <c r="I73" s="1150"/>
      <c r="J73" s="1150"/>
      <c r="K73" s="1150"/>
      <c r="L73" s="1150"/>
      <c r="M73" s="1150"/>
      <c r="N73" s="1150"/>
      <c r="O73" s="1150"/>
      <c r="P73" s="1150"/>
      <c r="Q73" s="1150"/>
      <c r="R73" s="1150"/>
      <c r="S73" s="1150"/>
      <c r="T73" s="1150"/>
      <c r="U73" s="1150"/>
      <c r="V73" s="1150"/>
      <c r="W73" s="1150"/>
      <c r="X73" s="1150"/>
    </row>
    <row r="74" spans="1:24" ht="22.5" customHeight="1" x14ac:dyDescent="0.25">
      <c r="A74" s="1196"/>
      <c r="B74" s="1196"/>
      <c r="C74" s="1196"/>
      <c r="D74" s="1197"/>
      <c r="E74" s="1197"/>
      <c r="F74" s="1197"/>
      <c r="G74" s="1197"/>
      <c r="H74" s="1224"/>
      <c r="I74" s="2108" t="s">
        <v>1750</v>
      </c>
      <c r="J74" s="2108"/>
      <c r="K74" s="2108"/>
      <c r="L74" s="2108">
        <v>1070527166</v>
      </c>
      <c r="M74" s="2108"/>
      <c r="N74" s="1225"/>
      <c r="O74" s="1225"/>
      <c r="P74" s="1225"/>
      <c r="Q74" s="1225"/>
      <c r="R74" s="2108" t="s">
        <v>1751</v>
      </c>
      <c r="S74" s="2108"/>
      <c r="T74" s="2108"/>
      <c r="U74" s="2108">
        <v>1070527166</v>
      </c>
      <c r="V74" s="2108"/>
      <c r="W74" s="1224"/>
      <c r="X74" s="1224"/>
    </row>
    <row r="75" spans="1:24" ht="21" customHeight="1" x14ac:dyDescent="0.25">
      <c r="A75" s="1196"/>
      <c r="B75" s="1196"/>
      <c r="C75" s="1196"/>
      <c r="D75" s="1197"/>
      <c r="E75" s="1197"/>
      <c r="F75" s="1197"/>
      <c r="G75" s="1197"/>
      <c r="H75" s="1224"/>
      <c r="I75" s="2066" t="s">
        <v>3474</v>
      </c>
      <c r="J75" s="2066"/>
      <c r="K75" s="2066"/>
      <c r="L75" s="2108">
        <f>SUM(H70:P70)</f>
        <v>66846906</v>
      </c>
      <c r="M75" s="2108"/>
      <c r="N75" s="1225"/>
      <c r="O75" s="1225"/>
      <c r="P75" s="1225"/>
      <c r="Q75" s="1225"/>
      <c r="R75" s="2066" t="s">
        <v>3474</v>
      </c>
      <c r="S75" s="2066"/>
      <c r="T75" s="2066"/>
      <c r="U75" s="2108">
        <f>SUM(Q70:X70)</f>
        <v>66846906</v>
      </c>
      <c r="V75" s="2108"/>
      <c r="W75" s="1224"/>
      <c r="X75" s="1224"/>
    </row>
    <row r="76" spans="1:24" ht="20.25" customHeight="1" x14ac:dyDescent="0.25">
      <c r="A76" s="1196"/>
      <c r="B76" s="1196"/>
      <c r="C76" s="1196"/>
      <c r="D76" s="1197"/>
      <c r="E76" s="1197"/>
      <c r="F76" s="1197"/>
      <c r="G76" s="1197"/>
      <c r="H76" s="1224"/>
      <c r="I76" s="2108" t="s">
        <v>1561</v>
      </c>
      <c r="J76" s="2108"/>
      <c r="K76" s="2108"/>
      <c r="L76" s="2108">
        <f>+L74+L75</f>
        <v>1137374072</v>
      </c>
      <c r="M76" s="2108"/>
      <c r="N76" s="1225"/>
      <c r="O76" s="1225"/>
      <c r="P76" s="1225"/>
      <c r="Q76" s="1225"/>
      <c r="R76" s="2108" t="s">
        <v>1561</v>
      </c>
      <c r="S76" s="2108"/>
      <c r="T76" s="2108"/>
      <c r="U76" s="2108">
        <f>+U74+U75</f>
        <v>1137374072</v>
      </c>
      <c r="V76" s="2108"/>
      <c r="W76" s="1224"/>
      <c r="X76" s="1224"/>
    </row>
    <row r="77" spans="1:24" x14ac:dyDescent="0.2">
      <c r="A77" s="348"/>
      <c r="B77" s="348"/>
      <c r="C77" s="348"/>
      <c r="D77" s="348"/>
      <c r="E77" s="348"/>
      <c r="F77" s="348"/>
      <c r="G77" s="348"/>
      <c r="H77" s="348"/>
      <c r="I77" s="348"/>
      <c r="J77" s="348"/>
      <c r="K77" s="348"/>
      <c r="L77" s="348"/>
      <c r="M77" s="348"/>
      <c r="N77" s="348"/>
      <c r="O77" s="348"/>
      <c r="P77" s="348"/>
      <c r="Q77" s="348"/>
      <c r="R77" s="348"/>
      <c r="S77" s="348"/>
      <c r="T77" s="348"/>
      <c r="U77" s="348"/>
      <c r="V77" s="348"/>
      <c r="W77" s="348"/>
      <c r="X77" s="348"/>
    </row>
    <row r="78" spans="1:24" x14ac:dyDescent="0.2">
      <c r="A78" s="348"/>
      <c r="B78" s="348"/>
      <c r="C78" s="348"/>
      <c r="D78" s="348"/>
      <c r="E78" s="348"/>
      <c r="F78" s="348"/>
      <c r="G78" s="348"/>
      <c r="H78" s="348"/>
      <c r="I78" s="348"/>
      <c r="J78" s="348"/>
      <c r="K78" s="348"/>
      <c r="L78" s="348"/>
      <c r="M78" s="348"/>
      <c r="N78" s="348"/>
      <c r="O78" s="348"/>
      <c r="P78" s="348"/>
      <c r="Q78" s="348"/>
      <c r="R78" s="348"/>
      <c r="S78" s="348"/>
      <c r="T78" s="348"/>
      <c r="U78" s="348"/>
      <c r="V78" s="348"/>
      <c r="W78" s="348"/>
      <c r="X78" s="348"/>
    </row>
    <row r="79" spans="1:24" x14ac:dyDescent="0.2">
      <c r="A79" s="348"/>
      <c r="B79" s="348"/>
      <c r="C79" s="348"/>
      <c r="D79" s="348"/>
      <c r="E79" s="348"/>
      <c r="F79" s="348"/>
      <c r="G79" s="348"/>
      <c r="H79" s="348"/>
      <c r="I79" s="348"/>
      <c r="J79" s="348"/>
      <c r="K79" s="348"/>
      <c r="L79" s="348"/>
      <c r="M79" s="348"/>
      <c r="N79" s="348"/>
      <c r="O79" s="348"/>
      <c r="P79" s="348"/>
      <c r="Q79" s="348"/>
      <c r="R79" s="348"/>
      <c r="S79" s="348"/>
      <c r="T79" s="348"/>
      <c r="U79" s="348"/>
      <c r="V79" s="348"/>
      <c r="W79" s="348"/>
      <c r="X79" s="348"/>
    </row>
    <row r="80" spans="1:24" x14ac:dyDescent="0.2">
      <c r="A80" s="348"/>
      <c r="B80" s="348"/>
      <c r="C80" s="348"/>
      <c r="D80" s="348"/>
      <c r="E80" s="348"/>
      <c r="F80" s="348"/>
      <c r="G80" s="348"/>
      <c r="H80" s="348"/>
      <c r="I80" s="348"/>
      <c r="J80" s="348"/>
      <c r="K80" s="348"/>
      <c r="L80" s="348"/>
      <c r="M80" s="348"/>
      <c r="N80" s="348"/>
      <c r="O80" s="348"/>
      <c r="P80" s="348"/>
      <c r="Q80" s="348"/>
      <c r="R80" s="348"/>
      <c r="S80" s="348"/>
      <c r="T80" s="348"/>
      <c r="U80" s="348"/>
      <c r="V80" s="348"/>
      <c r="W80" s="348"/>
      <c r="X80" s="348"/>
    </row>
    <row r="81" spans="1:24" ht="15.75" x14ac:dyDescent="0.25">
      <c r="A81" s="2069" t="s">
        <v>2824</v>
      </c>
      <c r="B81" s="2069"/>
      <c r="C81" s="2069"/>
      <c r="D81" s="2069"/>
      <c r="E81" s="2069"/>
      <c r="F81" s="2069"/>
      <c r="G81" s="2069"/>
      <c r="H81" s="2069"/>
      <c r="I81" s="2069"/>
      <c r="J81" s="2069"/>
      <c r="K81" s="2069"/>
      <c r="L81" s="2069"/>
      <c r="M81" s="2069"/>
      <c r="N81" s="2069"/>
      <c r="O81" s="2069"/>
      <c r="P81" s="2069"/>
      <c r="Q81" s="2069"/>
      <c r="R81" s="2069"/>
      <c r="S81" s="2069"/>
      <c r="T81" s="2069"/>
      <c r="U81" s="2069"/>
      <c r="V81" s="2069"/>
      <c r="W81" s="2069"/>
      <c r="X81" s="2069"/>
    </row>
    <row r="82" spans="1:24" ht="15" x14ac:dyDescent="0.25">
      <c r="A82" s="1194"/>
      <c r="B82" s="1194"/>
      <c r="C82" s="1194"/>
      <c r="D82" s="1195"/>
      <c r="E82" s="1195"/>
      <c r="F82" s="1195"/>
      <c r="G82" s="1195"/>
      <c r="H82" s="1195"/>
      <c r="I82" s="1195"/>
      <c r="J82" s="1195"/>
      <c r="K82" s="1195"/>
      <c r="L82" s="1195"/>
      <c r="M82" s="1195"/>
      <c r="N82" s="1195"/>
      <c r="O82" s="1195"/>
      <c r="P82" s="1195"/>
      <c r="Q82" s="1195"/>
      <c r="R82" s="1195"/>
      <c r="S82" s="1195"/>
      <c r="T82" s="1195"/>
      <c r="U82" s="1195"/>
      <c r="V82" s="1195"/>
      <c r="W82" s="1195"/>
      <c r="X82" s="1195"/>
    </row>
    <row r="83" spans="1:24" ht="15" x14ac:dyDescent="0.25">
      <c r="A83" s="2112" t="s">
        <v>87</v>
      </c>
      <c r="B83" s="2112"/>
      <c r="C83" s="2112"/>
      <c r="D83" s="2112"/>
      <c r="E83" s="2112"/>
      <c r="F83" s="2112"/>
      <c r="G83" s="2112"/>
      <c r="H83" s="2112"/>
      <c r="I83" s="2112"/>
      <c r="J83" s="2112"/>
      <c r="K83" s="2112"/>
      <c r="L83" s="2112"/>
      <c r="M83" s="2112"/>
      <c r="N83" s="2112"/>
      <c r="O83" s="2112"/>
      <c r="P83" s="2112"/>
      <c r="Q83" s="2112"/>
      <c r="R83" s="2112"/>
      <c r="S83" s="2112"/>
      <c r="T83" s="2112"/>
      <c r="U83" s="2112"/>
      <c r="V83" s="2112"/>
      <c r="W83" s="2112"/>
      <c r="X83" s="2112"/>
    </row>
    <row r="84" spans="1:24" ht="15" x14ac:dyDescent="0.25">
      <c r="A84" s="1196"/>
      <c r="B84" s="1196"/>
      <c r="C84" s="1196"/>
      <c r="D84" s="1197"/>
      <c r="E84" s="1197"/>
      <c r="F84" s="1197"/>
      <c r="G84" s="1197"/>
      <c r="H84" s="1197"/>
      <c r="I84" s="1197"/>
      <c r="J84" s="1197"/>
      <c r="K84" s="1197"/>
      <c r="L84" s="1197"/>
      <c r="M84" s="1197"/>
      <c r="N84" s="1197"/>
      <c r="O84" s="1197"/>
      <c r="P84" s="1197"/>
      <c r="Q84" s="1198"/>
      <c r="R84" s="1197"/>
      <c r="S84" s="1197"/>
      <c r="T84" s="1197"/>
      <c r="U84" s="1197"/>
      <c r="V84" s="1197"/>
      <c r="W84" s="1197"/>
      <c r="X84" s="1197"/>
    </row>
    <row r="85" spans="1:24" ht="15" customHeight="1" x14ac:dyDescent="0.25">
      <c r="A85" s="2113" t="s">
        <v>37</v>
      </c>
      <c r="B85" s="2093" t="s">
        <v>1726</v>
      </c>
      <c r="C85" s="2115" t="s">
        <v>2</v>
      </c>
      <c r="D85" s="2117" t="s">
        <v>1727</v>
      </c>
      <c r="E85" s="2117" t="s">
        <v>117</v>
      </c>
      <c r="F85" s="2117" t="s">
        <v>1728</v>
      </c>
      <c r="G85" s="2117" t="s">
        <v>1729</v>
      </c>
      <c r="H85" s="2119" t="s">
        <v>1730</v>
      </c>
      <c r="I85" s="2119"/>
      <c r="J85" s="2119"/>
      <c r="K85" s="2119"/>
      <c r="L85" s="2119"/>
      <c r="M85" s="2119"/>
      <c r="N85" s="2119"/>
      <c r="O85" s="2119"/>
      <c r="P85" s="1655"/>
      <c r="Q85" s="2120" t="s">
        <v>1731</v>
      </c>
      <c r="R85" s="2119"/>
      <c r="S85" s="2119"/>
      <c r="T85" s="2119"/>
      <c r="U85" s="2119"/>
      <c r="V85" s="2119"/>
      <c r="W85" s="2119"/>
      <c r="X85" s="2121"/>
    </row>
    <row r="86" spans="1:24" ht="81" customHeight="1" x14ac:dyDescent="0.2">
      <c r="A86" s="2114"/>
      <c r="B86" s="2094"/>
      <c r="C86" s="2116"/>
      <c r="D86" s="2118"/>
      <c r="E86" s="2118"/>
      <c r="F86" s="2118"/>
      <c r="G86" s="2118"/>
      <c r="H86" s="1154" t="s">
        <v>2382</v>
      </c>
      <c r="I86" s="1154" t="s">
        <v>1752</v>
      </c>
      <c r="J86" s="1154" t="s">
        <v>1753</v>
      </c>
      <c r="K86" s="1154" t="s">
        <v>1754</v>
      </c>
      <c r="L86" s="1154" t="s">
        <v>1755</v>
      </c>
      <c r="M86" s="1154" t="s">
        <v>1756</v>
      </c>
      <c r="N86" s="1154" t="s">
        <v>1757</v>
      </c>
      <c r="O86" s="1154" t="s">
        <v>1739</v>
      </c>
      <c r="P86" s="1159" t="s">
        <v>1758</v>
      </c>
      <c r="Q86" s="1227" t="s">
        <v>1741</v>
      </c>
      <c r="R86" s="1154" t="s">
        <v>1759</v>
      </c>
      <c r="S86" s="1154" t="s">
        <v>1760</v>
      </c>
      <c r="T86" s="1154" t="s">
        <v>1761</v>
      </c>
      <c r="U86" s="1154" t="s">
        <v>1745</v>
      </c>
      <c r="V86" s="1154" t="s">
        <v>1746</v>
      </c>
      <c r="W86" s="1154" t="s">
        <v>1747</v>
      </c>
      <c r="X86" s="1159" t="s">
        <v>1762</v>
      </c>
    </row>
    <row r="87" spans="1:24" ht="21.75" customHeight="1" x14ac:dyDescent="0.2">
      <c r="A87" s="2124" t="s">
        <v>269</v>
      </c>
      <c r="B87" s="2123" t="s">
        <v>285</v>
      </c>
      <c r="C87" s="2122" t="s">
        <v>2658</v>
      </c>
      <c r="D87" s="1201" t="s">
        <v>1838</v>
      </c>
      <c r="E87" s="1201" t="s">
        <v>1288</v>
      </c>
      <c r="F87" s="1201" t="s">
        <v>128</v>
      </c>
      <c r="G87" s="1202" t="s">
        <v>1829</v>
      </c>
      <c r="H87" s="1165"/>
      <c r="I87" s="1165"/>
      <c r="J87" s="1165"/>
      <c r="K87" s="1165"/>
      <c r="L87" s="1165"/>
      <c r="M87" s="1165"/>
      <c r="N87" s="1165"/>
      <c r="O87" s="1165"/>
      <c r="P87" s="1203"/>
      <c r="Q87" s="1204"/>
      <c r="R87" s="1165"/>
      <c r="S87" s="1165"/>
      <c r="T87" s="1165"/>
      <c r="U87" s="1165"/>
      <c r="V87" s="1165"/>
      <c r="W87" s="1165"/>
      <c r="X87" s="1203">
        <v>135000</v>
      </c>
    </row>
    <row r="88" spans="1:24" ht="21.75" customHeight="1" x14ac:dyDescent="0.2">
      <c r="A88" s="2101"/>
      <c r="B88" s="2105"/>
      <c r="C88" s="2103"/>
      <c r="D88" s="1206" t="s">
        <v>1838</v>
      </c>
      <c r="E88" s="1206" t="s">
        <v>74</v>
      </c>
      <c r="F88" s="1206" t="s">
        <v>91</v>
      </c>
      <c r="G88" s="1207" t="s">
        <v>1829</v>
      </c>
      <c r="H88" s="1208"/>
      <c r="I88" s="1208"/>
      <c r="J88" s="1208">
        <v>135000</v>
      </c>
      <c r="K88" s="1208"/>
      <c r="L88" s="1208"/>
      <c r="M88" s="1208"/>
      <c r="N88" s="1208"/>
      <c r="O88" s="1208"/>
      <c r="P88" s="1209"/>
      <c r="Q88" s="1210"/>
      <c r="R88" s="1208"/>
      <c r="S88" s="1208"/>
      <c r="T88" s="1208"/>
      <c r="U88" s="1208"/>
      <c r="V88" s="1208"/>
      <c r="W88" s="1208"/>
      <c r="X88" s="1209"/>
    </row>
    <row r="89" spans="1:24" ht="19.5" customHeight="1" x14ac:dyDescent="0.2">
      <c r="A89" s="2099" t="s">
        <v>270</v>
      </c>
      <c r="B89" s="2104" t="s">
        <v>286</v>
      </c>
      <c r="C89" s="2102" t="s">
        <v>2690</v>
      </c>
      <c r="D89" s="1212" t="s">
        <v>1838</v>
      </c>
      <c r="E89" s="1212" t="s">
        <v>74</v>
      </c>
      <c r="F89" s="1212" t="s">
        <v>91</v>
      </c>
      <c r="G89" s="1213" t="s">
        <v>1837</v>
      </c>
      <c r="H89" s="1173">
        <f>-300000+300000</f>
        <v>0</v>
      </c>
      <c r="I89" s="1173"/>
      <c r="J89" s="1173"/>
      <c r="K89" s="1173"/>
      <c r="L89" s="1173"/>
      <c r="M89" s="1173"/>
      <c r="N89" s="1173"/>
      <c r="O89" s="1173"/>
      <c r="P89" s="1174"/>
      <c r="Q89" s="1214"/>
      <c r="R89" s="1173"/>
      <c r="S89" s="1173"/>
      <c r="T89" s="1173"/>
      <c r="U89" s="1173"/>
      <c r="V89" s="1173"/>
      <c r="W89" s="1173"/>
      <c r="X89" s="1174"/>
    </row>
    <row r="90" spans="1:24" ht="19.5" customHeight="1" x14ac:dyDescent="0.2">
      <c r="A90" s="2100"/>
      <c r="B90" s="2107"/>
      <c r="C90" s="2106"/>
      <c r="D90" s="1212" t="s">
        <v>1838</v>
      </c>
      <c r="E90" s="1212" t="s">
        <v>161</v>
      </c>
      <c r="F90" s="1212" t="s">
        <v>132</v>
      </c>
      <c r="G90" s="1213" t="s">
        <v>1837</v>
      </c>
      <c r="H90" s="1173">
        <f>-5616+5616</f>
        <v>0</v>
      </c>
      <c r="I90" s="1173"/>
      <c r="J90" s="1173"/>
      <c r="K90" s="1173"/>
      <c r="L90" s="1173"/>
      <c r="M90" s="1173"/>
      <c r="N90" s="1173"/>
      <c r="O90" s="1173"/>
      <c r="P90" s="1174"/>
      <c r="Q90" s="1214"/>
      <c r="R90" s="1173"/>
      <c r="S90" s="1173"/>
      <c r="T90" s="1173"/>
      <c r="U90" s="1173"/>
      <c r="V90" s="1173"/>
      <c r="W90" s="1173"/>
      <c r="X90" s="1174"/>
    </row>
    <row r="91" spans="1:24" ht="19.5" customHeight="1" x14ac:dyDescent="0.2">
      <c r="A91" s="2101"/>
      <c r="B91" s="2105"/>
      <c r="C91" s="2103"/>
      <c r="D91" s="1212" t="s">
        <v>1838</v>
      </c>
      <c r="E91" s="1212" t="s">
        <v>626</v>
      </c>
      <c r="F91" s="1212" t="s">
        <v>134</v>
      </c>
      <c r="G91" s="1213" t="s">
        <v>1837</v>
      </c>
      <c r="H91" s="1173">
        <f>-1165041+56808+1108233</f>
        <v>0</v>
      </c>
      <c r="I91" s="1173"/>
      <c r="J91" s="1173"/>
      <c r="K91" s="1173"/>
      <c r="L91" s="1173"/>
      <c r="M91" s="1173"/>
      <c r="N91" s="1173"/>
      <c r="O91" s="1173"/>
      <c r="P91" s="1174"/>
      <c r="Q91" s="1214"/>
      <c r="R91" s="1173"/>
      <c r="S91" s="1173"/>
      <c r="T91" s="1173"/>
      <c r="U91" s="1173"/>
      <c r="V91" s="1173"/>
      <c r="W91" s="1173"/>
      <c r="X91" s="1174"/>
    </row>
    <row r="92" spans="1:24" ht="32.25" customHeight="1" x14ac:dyDescent="0.2">
      <c r="A92" s="1646" t="s">
        <v>271</v>
      </c>
      <c r="B92" s="1643" t="s">
        <v>287</v>
      </c>
      <c r="C92" s="1641" t="s">
        <v>2367</v>
      </c>
      <c r="D92" s="1212" t="s">
        <v>1838</v>
      </c>
      <c r="E92" s="1212" t="s">
        <v>161</v>
      </c>
      <c r="F92" s="1212" t="s">
        <v>132</v>
      </c>
      <c r="G92" s="1213" t="s">
        <v>1837</v>
      </c>
      <c r="H92" s="1173"/>
      <c r="I92" s="1173"/>
      <c r="J92" s="1173">
        <f>-1500000+1500000</f>
        <v>0</v>
      </c>
      <c r="K92" s="1173"/>
      <c r="L92" s="1173"/>
      <c r="M92" s="1173"/>
      <c r="N92" s="1173"/>
      <c r="O92" s="1173"/>
      <c r="P92" s="1174"/>
      <c r="Q92" s="1214"/>
      <c r="R92" s="1173"/>
      <c r="S92" s="1173"/>
      <c r="T92" s="1173"/>
      <c r="U92" s="1173"/>
      <c r="V92" s="1173"/>
      <c r="W92" s="1173"/>
      <c r="X92" s="1174"/>
    </row>
    <row r="93" spans="1:24" ht="30.75" customHeight="1" x14ac:dyDescent="0.2">
      <c r="A93" s="1646" t="s">
        <v>272</v>
      </c>
      <c r="B93" s="1643" t="s">
        <v>288</v>
      </c>
      <c r="C93" s="1641" t="s">
        <v>2726</v>
      </c>
      <c r="D93" s="1212" t="s">
        <v>1838</v>
      </c>
      <c r="E93" s="1212" t="s">
        <v>508</v>
      </c>
      <c r="F93" s="1212" t="s">
        <v>151</v>
      </c>
      <c r="G93" s="1213" t="s">
        <v>1829</v>
      </c>
      <c r="H93" s="1173"/>
      <c r="I93" s="1173"/>
      <c r="J93" s="1173">
        <f>1574803+425197</f>
        <v>2000000</v>
      </c>
      <c r="K93" s="1173"/>
      <c r="L93" s="1173"/>
      <c r="M93" s="1173"/>
      <c r="N93" s="1173"/>
      <c r="O93" s="1173"/>
      <c r="P93" s="1174"/>
      <c r="Q93" s="1214"/>
      <c r="R93" s="1173"/>
      <c r="S93" s="1173">
        <v>2000000</v>
      </c>
      <c r="T93" s="1173"/>
      <c r="U93" s="1173"/>
      <c r="V93" s="1173"/>
      <c r="W93" s="1173"/>
      <c r="X93" s="1174"/>
    </row>
    <row r="94" spans="1:24" ht="24.75" customHeight="1" x14ac:dyDescent="0.2">
      <c r="A94" s="2099" t="s">
        <v>276</v>
      </c>
      <c r="B94" s="2104" t="s">
        <v>289</v>
      </c>
      <c r="C94" s="2102" t="s">
        <v>2777</v>
      </c>
      <c r="D94" s="1212" t="s">
        <v>1838</v>
      </c>
      <c r="E94" s="1212" t="s">
        <v>1288</v>
      </c>
      <c r="F94" s="1212" t="s">
        <v>128</v>
      </c>
      <c r="G94" s="1213" t="s">
        <v>1829</v>
      </c>
      <c r="H94" s="1173"/>
      <c r="I94" s="1173"/>
      <c r="J94" s="1173"/>
      <c r="K94" s="1173"/>
      <c r="L94" s="1173"/>
      <c r="M94" s="1173"/>
      <c r="N94" s="1173"/>
      <c r="O94" s="1173"/>
      <c r="P94" s="1174"/>
      <c r="Q94" s="1214"/>
      <c r="R94" s="1173"/>
      <c r="S94" s="1173"/>
      <c r="T94" s="1173"/>
      <c r="U94" s="1173"/>
      <c r="V94" s="1173"/>
      <c r="W94" s="1173"/>
      <c r="X94" s="1174">
        <v>7552000</v>
      </c>
    </row>
    <row r="95" spans="1:24" ht="24.75" customHeight="1" x14ac:dyDescent="0.2">
      <c r="A95" s="2100"/>
      <c r="B95" s="2107"/>
      <c r="C95" s="2106"/>
      <c r="D95" s="1212" t="s">
        <v>1838</v>
      </c>
      <c r="E95" s="1212" t="s">
        <v>74</v>
      </c>
      <c r="F95" s="1212" t="s">
        <v>91</v>
      </c>
      <c r="G95" s="1213" t="s">
        <v>1829</v>
      </c>
      <c r="H95" s="1173">
        <v>4000000</v>
      </c>
      <c r="I95" s="1173">
        <v>1120000</v>
      </c>
      <c r="J95" s="1173"/>
      <c r="K95" s="1173"/>
      <c r="L95" s="1173"/>
      <c r="M95" s="1173"/>
      <c r="N95" s="1173"/>
      <c r="O95" s="1173"/>
      <c r="P95" s="1174"/>
      <c r="Q95" s="1214"/>
      <c r="R95" s="1173"/>
      <c r="S95" s="1173"/>
      <c r="T95" s="1173"/>
      <c r="U95" s="1173"/>
      <c r="V95" s="1173"/>
      <c r="W95" s="1173"/>
      <c r="X95" s="1174"/>
    </row>
    <row r="96" spans="1:24" ht="24.75" customHeight="1" x14ac:dyDescent="0.2">
      <c r="A96" s="2100"/>
      <c r="B96" s="2107"/>
      <c r="C96" s="2106"/>
      <c r="D96" s="1212" t="s">
        <v>1838</v>
      </c>
      <c r="E96" s="1212" t="s">
        <v>161</v>
      </c>
      <c r="F96" s="1212" t="s">
        <v>132</v>
      </c>
      <c r="G96" s="1213" t="s">
        <v>1829</v>
      </c>
      <c r="H96" s="1173">
        <v>700000</v>
      </c>
      <c r="I96" s="1173">
        <v>196000</v>
      </c>
      <c r="J96" s="1173"/>
      <c r="K96" s="1173"/>
      <c r="L96" s="1173"/>
      <c r="M96" s="1173"/>
      <c r="N96" s="1173"/>
      <c r="O96" s="1173"/>
      <c r="P96" s="1174"/>
      <c r="Q96" s="1214"/>
      <c r="R96" s="1173"/>
      <c r="S96" s="1173"/>
      <c r="T96" s="1173"/>
      <c r="U96" s="1173"/>
      <c r="V96" s="1173"/>
      <c r="W96" s="1173"/>
      <c r="X96" s="1174"/>
    </row>
    <row r="97" spans="1:24" ht="24.75" customHeight="1" x14ac:dyDescent="0.2">
      <c r="A97" s="2100"/>
      <c r="B97" s="2107"/>
      <c r="C97" s="2106"/>
      <c r="D97" s="1212" t="s">
        <v>1838</v>
      </c>
      <c r="E97" s="1212" t="s">
        <v>508</v>
      </c>
      <c r="F97" s="1212" t="s">
        <v>151</v>
      </c>
      <c r="G97" s="1213" t="s">
        <v>1829</v>
      </c>
      <c r="H97" s="1173">
        <v>200000</v>
      </c>
      <c r="I97" s="1173">
        <v>56000</v>
      </c>
      <c r="J97" s="1173"/>
      <c r="K97" s="1173"/>
      <c r="L97" s="1173"/>
      <c r="M97" s="1173"/>
      <c r="N97" s="1173"/>
      <c r="O97" s="1173"/>
      <c r="P97" s="1174"/>
      <c r="Q97" s="1214"/>
      <c r="R97" s="1173"/>
      <c r="S97" s="1173"/>
      <c r="T97" s="1173"/>
      <c r="U97" s="1173"/>
      <c r="V97" s="1173"/>
      <c r="W97" s="1173"/>
      <c r="X97" s="1174"/>
    </row>
    <row r="98" spans="1:24" ht="24.75" customHeight="1" x14ac:dyDescent="0.2">
      <c r="A98" s="2101"/>
      <c r="B98" s="2105"/>
      <c r="C98" s="2103"/>
      <c r="D98" s="1212" t="s">
        <v>1838</v>
      </c>
      <c r="E98" s="1212" t="s">
        <v>626</v>
      </c>
      <c r="F98" s="1212" t="s">
        <v>134</v>
      </c>
      <c r="G98" s="1213" t="s">
        <v>1829</v>
      </c>
      <c r="H98" s="1173">
        <v>1000000</v>
      </c>
      <c r="I98" s="1173">
        <v>280000</v>
      </c>
      <c r="J98" s="1173"/>
      <c r="K98" s="1173"/>
      <c r="L98" s="1173"/>
      <c r="M98" s="1173"/>
      <c r="N98" s="1173"/>
      <c r="O98" s="1173"/>
      <c r="P98" s="1174"/>
      <c r="Q98" s="1214"/>
      <c r="R98" s="1173"/>
      <c r="S98" s="1173"/>
      <c r="T98" s="1173"/>
      <c r="U98" s="1173"/>
      <c r="V98" s="1173"/>
      <c r="W98" s="1173"/>
      <c r="X98" s="1174"/>
    </row>
    <row r="99" spans="1:24" ht="41.25" customHeight="1" x14ac:dyDescent="0.2">
      <c r="A99" s="1646" t="s">
        <v>277</v>
      </c>
      <c r="B99" s="1643" t="s">
        <v>290</v>
      </c>
      <c r="C99" s="1641" t="s">
        <v>2781</v>
      </c>
      <c r="D99" s="1212" t="s">
        <v>1838</v>
      </c>
      <c r="E99" s="1212" t="s">
        <v>74</v>
      </c>
      <c r="F99" s="1212" t="s">
        <v>91</v>
      </c>
      <c r="G99" s="1213" t="s">
        <v>1829</v>
      </c>
      <c r="H99" s="1173"/>
      <c r="I99" s="1173"/>
      <c r="J99" s="1173"/>
      <c r="K99" s="1173"/>
      <c r="L99" s="1173"/>
      <c r="M99" s="1173"/>
      <c r="N99" s="1173"/>
      <c r="O99" s="1173">
        <v>1169500</v>
      </c>
      <c r="P99" s="1174"/>
      <c r="Q99" s="1214"/>
      <c r="R99" s="1173"/>
      <c r="S99" s="1173"/>
      <c r="T99" s="1173"/>
      <c r="U99" s="1173"/>
      <c r="V99" s="1173"/>
      <c r="W99" s="1173">
        <v>1169500</v>
      </c>
      <c r="X99" s="1174"/>
    </row>
    <row r="100" spans="1:24" ht="22.5" customHeight="1" x14ac:dyDescent="0.2">
      <c r="A100" s="2099" t="s">
        <v>278</v>
      </c>
      <c r="B100" s="2104" t="s">
        <v>291</v>
      </c>
      <c r="C100" s="2102" t="s">
        <v>2784</v>
      </c>
      <c r="D100" s="1212" t="s">
        <v>1838</v>
      </c>
      <c r="E100" s="1212" t="s">
        <v>1288</v>
      </c>
      <c r="F100" s="1212" t="s">
        <v>128</v>
      </c>
      <c r="G100" s="1213" t="s">
        <v>1829</v>
      </c>
      <c r="H100" s="1173"/>
      <c r="I100" s="1173"/>
      <c r="J100" s="1173"/>
      <c r="K100" s="1173"/>
      <c r="L100" s="1173"/>
      <c r="M100" s="1173"/>
      <c r="N100" s="1173"/>
      <c r="O100" s="1173"/>
      <c r="P100" s="1174"/>
      <c r="Q100" s="1214"/>
      <c r="R100" s="1173"/>
      <c r="S100" s="1173"/>
      <c r="T100" s="1173"/>
      <c r="U100" s="1173"/>
      <c r="V100" s="1173"/>
      <c r="W100" s="1173"/>
      <c r="X100" s="1174">
        <v>254000</v>
      </c>
    </row>
    <row r="101" spans="1:24" ht="22.5" customHeight="1" x14ac:dyDescent="0.2">
      <c r="A101" s="2101"/>
      <c r="B101" s="2105"/>
      <c r="C101" s="2103"/>
      <c r="D101" s="1212" t="s">
        <v>1838</v>
      </c>
      <c r="E101" s="1212" t="s">
        <v>161</v>
      </c>
      <c r="F101" s="1212" t="s">
        <v>132</v>
      </c>
      <c r="G101" s="1213" t="s">
        <v>1829</v>
      </c>
      <c r="H101" s="1173"/>
      <c r="I101" s="1173"/>
      <c r="J101" s="1173">
        <f>200000+54000</f>
        <v>254000</v>
      </c>
      <c r="K101" s="1173"/>
      <c r="L101" s="1173"/>
      <c r="M101" s="1173"/>
      <c r="N101" s="1173"/>
      <c r="O101" s="1173"/>
      <c r="P101" s="1174"/>
      <c r="Q101" s="1214"/>
      <c r="R101" s="1173"/>
      <c r="S101" s="1173"/>
      <c r="T101" s="1173"/>
      <c r="U101" s="1173"/>
      <c r="V101" s="1173"/>
      <c r="W101" s="1173"/>
      <c r="X101" s="1174"/>
    </row>
    <row r="102" spans="1:24" ht="22.5" customHeight="1" x14ac:dyDescent="0.2">
      <c r="A102" s="2099" t="s">
        <v>279</v>
      </c>
      <c r="B102" s="2104" t="s">
        <v>292</v>
      </c>
      <c r="C102" s="2102" t="s">
        <v>2856</v>
      </c>
      <c r="D102" s="1212" t="s">
        <v>1838</v>
      </c>
      <c r="E102" s="1212" t="s">
        <v>161</v>
      </c>
      <c r="F102" s="1212" t="s">
        <v>132</v>
      </c>
      <c r="G102" s="1213" t="s">
        <v>1837</v>
      </c>
      <c r="H102" s="1173">
        <f>-6048+6048</f>
        <v>0</v>
      </c>
      <c r="I102" s="1173"/>
      <c r="J102" s="1173"/>
      <c r="K102" s="1173"/>
      <c r="L102" s="1173"/>
      <c r="M102" s="1173"/>
      <c r="N102" s="1173"/>
      <c r="O102" s="1173"/>
      <c r="P102" s="1174"/>
      <c r="Q102" s="1214"/>
      <c r="R102" s="1173"/>
      <c r="S102" s="1173"/>
      <c r="T102" s="1173"/>
      <c r="U102" s="1173"/>
      <c r="V102" s="1173"/>
      <c r="W102" s="1173"/>
      <c r="X102" s="1174"/>
    </row>
    <row r="103" spans="1:24" ht="22.5" customHeight="1" x14ac:dyDescent="0.2">
      <c r="A103" s="2101"/>
      <c r="B103" s="2105"/>
      <c r="C103" s="2103"/>
      <c r="D103" s="1212" t="s">
        <v>1838</v>
      </c>
      <c r="E103" s="1212" t="s">
        <v>626</v>
      </c>
      <c r="F103" s="1212" t="s">
        <v>134</v>
      </c>
      <c r="G103" s="1213" t="s">
        <v>1837</v>
      </c>
      <c r="H103" s="1173">
        <f>-912873+80064+832809</f>
        <v>0</v>
      </c>
      <c r="I103" s="1173"/>
      <c r="J103" s="1173"/>
      <c r="K103" s="1173"/>
      <c r="L103" s="1173"/>
      <c r="M103" s="1173"/>
      <c r="N103" s="1173"/>
      <c r="O103" s="1173"/>
      <c r="P103" s="1174"/>
      <c r="Q103" s="1214"/>
      <c r="R103" s="1173"/>
      <c r="S103" s="1173"/>
      <c r="T103" s="1173"/>
      <c r="U103" s="1173"/>
      <c r="V103" s="1173"/>
      <c r="W103" s="1173"/>
      <c r="X103" s="1174"/>
    </row>
    <row r="104" spans="1:24" ht="32.25" customHeight="1" x14ac:dyDescent="0.2">
      <c r="A104" s="2099" t="s">
        <v>280</v>
      </c>
      <c r="B104" s="2104" t="s">
        <v>293</v>
      </c>
      <c r="C104" s="2102" t="s">
        <v>2928</v>
      </c>
      <c r="D104" s="1212" t="s">
        <v>1838</v>
      </c>
      <c r="E104" s="1212" t="s">
        <v>1288</v>
      </c>
      <c r="F104" s="1212" t="s">
        <v>128</v>
      </c>
      <c r="G104" s="1213" t="s">
        <v>1829</v>
      </c>
      <c r="H104" s="1173"/>
      <c r="I104" s="1173"/>
      <c r="J104" s="1173"/>
      <c r="K104" s="1173"/>
      <c r="L104" s="1173"/>
      <c r="M104" s="1173"/>
      <c r="N104" s="1173"/>
      <c r="O104" s="1173"/>
      <c r="P104" s="1174"/>
      <c r="Q104" s="1214"/>
      <c r="R104" s="1173"/>
      <c r="S104" s="1173"/>
      <c r="T104" s="1173"/>
      <c r="U104" s="1173"/>
      <c r="V104" s="1173"/>
      <c r="W104" s="1173"/>
      <c r="X104" s="1174">
        <v>7000000</v>
      </c>
    </row>
    <row r="105" spans="1:24" ht="32.25" customHeight="1" x14ac:dyDescent="0.2">
      <c r="A105" s="2101"/>
      <c r="B105" s="2105"/>
      <c r="C105" s="2103"/>
      <c r="D105" s="1212" t="s">
        <v>1838</v>
      </c>
      <c r="E105" s="1212" t="s">
        <v>626</v>
      </c>
      <c r="F105" s="1212" t="s">
        <v>134</v>
      </c>
      <c r="G105" s="1213" t="s">
        <v>1829</v>
      </c>
      <c r="H105" s="1173"/>
      <c r="I105" s="1173"/>
      <c r="J105" s="1173"/>
      <c r="K105" s="1173"/>
      <c r="L105" s="1173"/>
      <c r="M105" s="1173">
        <f>5511811+1488189</f>
        <v>7000000</v>
      </c>
      <c r="N105" s="1173"/>
      <c r="O105" s="1173"/>
      <c r="P105" s="1174"/>
      <c r="Q105" s="1214"/>
      <c r="R105" s="1173"/>
      <c r="S105" s="1173"/>
      <c r="T105" s="1173"/>
      <c r="U105" s="1173"/>
      <c r="V105" s="1173"/>
      <c r="W105" s="1173"/>
      <c r="X105" s="1174"/>
    </row>
    <row r="106" spans="1:24" ht="42" customHeight="1" x14ac:dyDescent="0.2">
      <c r="A106" s="1646" t="s">
        <v>281</v>
      </c>
      <c r="B106" s="1643" t="s">
        <v>294</v>
      </c>
      <c r="C106" s="1641" t="s">
        <v>2781</v>
      </c>
      <c r="D106" s="1212" t="s">
        <v>1838</v>
      </c>
      <c r="E106" s="1212" t="s">
        <v>74</v>
      </c>
      <c r="F106" s="1212" t="s">
        <v>91</v>
      </c>
      <c r="G106" s="1213" t="s">
        <v>1829</v>
      </c>
      <c r="H106" s="1173"/>
      <c r="I106" s="1173"/>
      <c r="J106" s="1173"/>
      <c r="K106" s="1173"/>
      <c r="L106" s="1173"/>
      <c r="M106" s="1173"/>
      <c r="N106" s="1173"/>
      <c r="O106" s="1173">
        <v>553700</v>
      </c>
      <c r="P106" s="1174"/>
      <c r="Q106" s="1214"/>
      <c r="R106" s="1173"/>
      <c r="S106" s="1173"/>
      <c r="T106" s="1173"/>
      <c r="U106" s="1173"/>
      <c r="V106" s="1173"/>
      <c r="W106" s="1173">
        <v>553700</v>
      </c>
      <c r="X106" s="1174"/>
    </row>
    <row r="107" spans="1:24" ht="20.25" customHeight="1" x14ac:dyDescent="0.2">
      <c r="A107" s="1650"/>
      <c r="B107" s="1649"/>
      <c r="C107" s="1205"/>
      <c r="D107" s="1212"/>
      <c r="E107" s="1212"/>
      <c r="F107" s="1212"/>
      <c r="G107" s="1213"/>
      <c r="H107" s="1173"/>
      <c r="I107" s="1173"/>
      <c r="J107" s="1173"/>
      <c r="K107" s="1173"/>
      <c r="L107" s="1173"/>
      <c r="M107" s="1173"/>
      <c r="N107" s="1173"/>
      <c r="O107" s="1173"/>
      <c r="P107" s="1174"/>
      <c r="Q107" s="1214"/>
      <c r="R107" s="1173"/>
      <c r="S107" s="1173"/>
      <c r="T107" s="1173"/>
      <c r="U107" s="1173"/>
      <c r="V107" s="1173"/>
      <c r="W107" s="1173"/>
      <c r="X107" s="1174"/>
    </row>
    <row r="108" spans="1:24" ht="18.75" x14ac:dyDescent="0.3">
      <c r="A108" s="2082" t="s">
        <v>1749</v>
      </c>
      <c r="B108" s="2083"/>
      <c r="C108" s="2084"/>
      <c r="D108" s="1499"/>
      <c r="E108" s="1288"/>
      <c r="F108" s="1288"/>
      <c r="G108" s="1288"/>
      <c r="H108" s="1365">
        <f t="shared" ref="H108:X108" si="3">SUM(H87:H107)+H70</f>
        <v>38645103</v>
      </c>
      <c r="I108" s="1365">
        <f t="shared" si="3"/>
        <v>5909500</v>
      </c>
      <c r="J108" s="1365">
        <f t="shared" si="3"/>
        <v>8141072</v>
      </c>
      <c r="K108" s="1365">
        <f t="shared" si="3"/>
        <v>0</v>
      </c>
      <c r="L108" s="1365">
        <f t="shared" si="3"/>
        <v>23805431</v>
      </c>
      <c r="M108" s="1365">
        <f t="shared" si="3"/>
        <v>7010000</v>
      </c>
      <c r="N108" s="1365">
        <f t="shared" si="3"/>
        <v>0</v>
      </c>
      <c r="O108" s="1365">
        <f t="shared" si="3"/>
        <v>2000000</v>
      </c>
      <c r="P108" s="1366">
        <f t="shared" si="3"/>
        <v>0</v>
      </c>
      <c r="Q108" s="1367">
        <f t="shared" si="3"/>
        <v>0</v>
      </c>
      <c r="R108" s="1365">
        <f t="shared" si="3"/>
        <v>0</v>
      </c>
      <c r="S108" s="1365">
        <f t="shared" si="3"/>
        <v>3023037</v>
      </c>
      <c r="T108" s="1365">
        <f t="shared" si="3"/>
        <v>5946658</v>
      </c>
      <c r="U108" s="1365">
        <f t="shared" si="3"/>
        <v>10000</v>
      </c>
      <c r="V108" s="1365">
        <f t="shared" si="3"/>
        <v>0</v>
      </c>
      <c r="W108" s="1365">
        <f t="shared" si="3"/>
        <v>2000000</v>
      </c>
      <c r="X108" s="1366">
        <f t="shared" si="3"/>
        <v>74531411</v>
      </c>
    </row>
    <row r="109" spans="1:24" ht="21" customHeight="1" x14ac:dyDescent="0.3">
      <c r="A109" s="1217"/>
      <c r="B109" s="1217"/>
      <c r="C109" s="1217"/>
      <c r="D109" s="1218"/>
      <c r="E109" s="1219"/>
      <c r="F109" s="1219"/>
      <c r="G109" s="1219"/>
      <c r="H109" s="1150"/>
      <c r="I109" s="1150"/>
      <c r="J109" s="1150"/>
      <c r="K109" s="1150"/>
      <c r="L109" s="1150"/>
      <c r="M109" s="1150"/>
      <c r="N109" s="1150"/>
      <c r="O109" s="1150"/>
      <c r="P109" s="1150"/>
      <c r="Q109" s="1150"/>
      <c r="R109" s="1150"/>
      <c r="S109" s="1150"/>
      <c r="T109" s="1150"/>
      <c r="U109" s="1150"/>
      <c r="V109" s="1150"/>
      <c r="W109" s="1150"/>
      <c r="X109" s="1150"/>
    </row>
    <row r="110" spans="1:24" ht="15.75" customHeight="1" x14ac:dyDescent="0.2">
      <c r="A110" s="1220"/>
      <c r="B110" s="1220"/>
      <c r="C110" s="1221"/>
      <c r="D110" s="1222"/>
      <c r="E110" s="1223"/>
      <c r="F110" s="1223"/>
      <c r="G110" s="1223"/>
      <c r="H110" s="1150"/>
      <c r="I110" s="1150"/>
      <c r="J110" s="1150"/>
      <c r="K110" s="1150"/>
      <c r="L110" s="1150"/>
      <c r="M110" s="1150"/>
      <c r="N110" s="1150"/>
      <c r="O110" s="1150"/>
      <c r="P110" s="1150"/>
      <c r="Q110" s="1150"/>
      <c r="R110" s="1150"/>
      <c r="S110" s="1150"/>
      <c r="T110" s="1150"/>
      <c r="U110" s="1150"/>
      <c r="V110" s="1150"/>
      <c r="W110" s="1150"/>
      <c r="X110" s="1150"/>
    </row>
    <row r="111" spans="1:24" x14ac:dyDescent="0.2">
      <c r="A111" s="1220"/>
      <c r="B111" s="1220"/>
      <c r="C111" s="1221"/>
      <c r="D111" s="1222"/>
      <c r="E111" s="1223"/>
      <c r="F111" s="1223"/>
      <c r="G111" s="1223"/>
      <c r="H111" s="1150"/>
      <c r="I111" s="1150"/>
      <c r="J111" s="1150"/>
      <c r="K111" s="1150"/>
      <c r="L111" s="1150"/>
      <c r="M111" s="1150"/>
      <c r="N111" s="1150"/>
      <c r="O111" s="1150"/>
      <c r="P111" s="1150"/>
      <c r="Q111" s="1150"/>
      <c r="R111" s="1150"/>
      <c r="S111" s="1150"/>
      <c r="T111" s="1150"/>
      <c r="U111" s="1150"/>
      <c r="V111" s="1150"/>
      <c r="W111" s="1150"/>
      <c r="X111" s="1150"/>
    </row>
    <row r="112" spans="1:24" ht="21.75" customHeight="1" x14ac:dyDescent="0.25">
      <c r="A112" s="1196"/>
      <c r="B112" s="1196"/>
      <c r="C112" s="1196"/>
      <c r="D112" s="1197"/>
      <c r="E112" s="1197"/>
      <c r="F112" s="1197"/>
      <c r="G112" s="1197"/>
      <c r="H112" s="1224"/>
      <c r="I112" s="2108" t="s">
        <v>1750</v>
      </c>
      <c r="J112" s="2108"/>
      <c r="K112" s="2108"/>
      <c r="L112" s="2108">
        <v>1070527166</v>
      </c>
      <c r="M112" s="2108"/>
      <c r="N112" s="1225"/>
      <c r="O112" s="1225"/>
      <c r="P112" s="1225"/>
      <c r="Q112" s="1225"/>
      <c r="R112" s="2108" t="s">
        <v>1751</v>
      </c>
      <c r="S112" s="2108"/>
      <c r="T112" s="2108"/>
      <c r="U112" s="2108">
        <v>1070527166</v>
      </c>
      <c r="V112" s="2108"/>
      <c r="W112" s="1224"/>
      <c r="X112" s="1224"/>
    </row>
    <row r="113" spans="1:24" ht="20.25" customHeight="1" x14ac:dyDescent="0.25">
      <c r="A113" s="1196"/>
      <c r="B113" s="1196"/>
      <c r="C113" s="1196"/>
      <c r="D113" s="1197"/>
      <c r="E113" s="1197"/>
      <c r="F113" s="1197"/>
      <c r="G113" s="1197"/>
      <c r="H113" s="1224"/>
      <c r="I113" s="2066" t="s">
        <v>3474</v>
      </c>
      <c r="J113" s="2066"/>
      <c r="K113" s="2066"/>
      <c r="L113" s="2108">
        <f>SUM(H108:P108)</f>
        <v>85511106</v>
      </c>
      <c r="M113" s="2108"/>
      <c r="N113" s="1225"/>
      <c r="O113" s="1225"/>
      <c r="P113" s="1225"/>
      <c r="Q113" s="1225"/>
      <c r="R113" s="2066" t="s">
        <v>3474</v>
      </c>
      <c r="S113" s="2066"/>
      <c r="T113" s="2066"/>
      <c r="U113" s="2108">
        <f>SUM(Q108:X108)</f>
        <v>85511106</v>
      </c>
      <c r="V113" s="2108"/>
      <c r="W113" s="1224"/>
      <c r="X113" s="1224"/>
    </row>
    <row r="114" spans="1:24" ht="21.75" customHeight="1" x14ac:dyDescent="0.25">
      <c r="A114" s="1196"/>
      <c r="B114" s="1196"/>
      <c r="C114" s="1196"/>
      <c r="D114" s="1197"/>
      <c r="E114" s="1197"/>
      <c r="F114" s="1197"/>
      <c r="G114" s="1197"/>
      <c r="H114" s="1224"/>
      <c r="I114" s="2108" t="s">
        <v>1561</v>
      </c>
      <c r="J114" s="2108"/>
      <c r="K114" s="2108"/>
      <c r="L114" s="2108">
        <f>+L112+L113</f>
        <v>1156038272</v>
      </c>
      <c r="M114" s="2108"/>
      <c r="N114" s="1225"/>
      <c r="O114" s="1225"/>
      <c r="P114" s="1225"/>
      <c r="Q114" s="1225"/>
      <c r="R114" s="2108" t="s">
        <v>1561</v>
      </c>
      <c r="S114" s="2108"/>
      <c r="T114" s="2108"/>
      <c r="U114" s="2108">
        <f>+U112+U113</f>
        <v>1156038272</v>
      </c>
      <c r="V114" s="2108"/>
      <c r="W114" s="1224"/>
      <c r="X114" s="1224"/>
    </row>
    <row r="115" spans="1:24" x14ac:dyDescent="0.2">
      <c r="A115" s="348"/>
      <c r="B115" s="348"/>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row>
    <row r="116" spans="1:24" x14ac:dyDescent="0.2">
      <c r="A116" s="348"/>
      <c r="B116" s="348"/>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row>
    <row r="117" spans="1:24" x14ac:dyDescent="0.2">
      <c r="A117" s="348"/>
      <c r="B117" s="348"/>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row>
    <row r="118" spans="1:24" x14ac:dyDescent="0.2">
      <c r="A118" s="348"/>
      <c r="B118" s="348"/>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row>
    <row r="119" spans="1:24" x14ac:dyDescent="0.2">
      <c r="A119" s="348"/>
      <c r="B119" s="348"/>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row>
    <row r="120" spans="1:24" x14ac:dyDescent="0.2">
      <c r="A120" s="348"/>
      <c r="B120" s="348"/>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row>
    <row r="121" spans="1:24" ht="15.75" x14ac:dyDescent="0.25">
      <c r="A121" s="2069" t="s">
        <v>3354</v>
      </c>
      <c r="B121" s="2069"/>
      <c r="C121" s="2069"/>
      <c r="D121" s="2069"/>
      <c r="E121" s="2069"/>
      <c r="F121" s="2069"/>
      <c r="G121" s="2069"/>
      <c r="H121" s="2069"/>
      <c r="I121" s="2069"/>
      <c r="J121" s="2069"/>
      <c r="K121" s="2069"/>
      <c r="L121" s="2069"/>
      <c r="M121" s="2069"/>
      <c r="N121" s="2069"/>
      <c r="O121" s="2069"/>
      <c r="P121" s="2069"/>
      <c r="Q121" s="2069"/>
      <c r="R121" s="2069"/>
      <c r="S121" s="2069"/>
      <c r="T121" s="2069"/>
      <c r="U121" s="2069"/>
      <c r="V121" s="2069"/>
      <c r="W121" s="2069"/>
      <c r="X121" s="2069"/>
    </row>
    <row r="122" spans="1:24" ht="15" x14ac:dyDescent="0.25">
      <c r="A122" s="1194"/>
      <c r="B122" s="1194"/>
      <c r="C122" s="1194"/>
      <c r="D122" s="1195"/>
      <c r="E122" s="1195"/>
      <c r="F122" s="1195"/>
      <c r="G122" s="1195"/>
      <c r="H122" s="1195"/>
      <c r="I122" s="1195"/>
      <c r="J122" s="1195"/>
      <c r="K122" s="1195"/>
      <c r="L122" s="1195"/>
      <c r="M122" s="1195"/>
      <c r="N122" s="1195"/>
      <c r="O122" s="1195"/>
      <c r="P122" s="1195"/>
      <c r="Q122" s="1195"/>
      <c r="R122" s="1195"/>
      <c r="S122" s="1195"/>
      <c r="T122" s="1195"/>
      <c r="U122" s="1195"/>
      <c r="V122" s="1195"/>
      <c r="W122" s="1195"/>
      <c r="X122" s="1195"/>
    </row>
    <row r="123" spans="1:24" ht="15" x14ac:dyDescent="0.25">
      <c r="A123" s="2112" t="s">
        <v>87</v>
      </c>
      <c r="B123" s="2112"/>
      <c r="C123" s="2112"/>
      <c r="D123" s="2112"/>
      <c r="E123" s="2112"/>
      <c r="F123" s="2112"/>
      <c r="G123" s="2112"/>
      <c r="H123" s="2112"/>
      <c r="I123" s="2112"/>
      <c r="J123" s="2112"/>
      <c r="K123" s="2112"/>
      <c r="L123" s="2112"/>
      <c r="M123" s="2112"/>
      <c r="N123" s="2112"/>
      <c r="O123" s="2112"/>
      <c r="P123" s="2112"/>
      <c r="Q123" s="2112"/>
      <c r="R123" s="2112"/>
      <c r="S123" s="2112"/>
      <c r="T123" s="2112"/>
      <c r="U123" s="2112"/>
      <c r="V123" s="2112"/>
      <c r="W123" s="2112"/>
      <c r="X123" s="2112"/>
    </row>
    <row r="124" spans="1:24" ht="15" x14ac:dyDescent="0.25">
      <c r="A124" s="1196"/>
      <c r="B124" s="1196"/>
      <c r="C124" s="1196"/>
      <c r="D124" s="1197"/>
      <c r="E124" s="1197"/>
      <c r="F124" s="1197"/>
      <c r="G124" s="1197"/>
      <c r="H124" s="1197"/>
      <c r="I124" s="1197"/>
      <c r="J124" s="1197"/>
      <c r="K124" s="1197"/>
      <c r="L124" s="1197"/>
      <c r="M124" s="1197"/>
      <c r="N124" s="1197"/>
      <c r="O124" s="1197"/>
      <c r="P124" s="1197"/>
      <c r="Q124" s="1198"/>
      <c r="R124" s="1197"/>
      <c r="S124" s="1197"/>
      <c r="T124" s="1197"/>
      <c r="U124" s="1197"/>
      <c r="V124" s="1197"/>
      <c r="W124" s="1197"/>
      <c r="X124" s="1197"/>
    </row>
    <row r="125" spans="1:24" ht="15" customHeight="1" x14ac:dyDescent="0.25">
      <c r="A125" s="2113" t="s">
        <v>37</v>
      </c>
      <c r="B125" s="2093" t="s">
        <v>1726</v>
      </c>
      <c r="C125" s="2115" t="s">
        <v>2</v>
      </c>
      <c r="D125" s="2117" t="s">
        <v>1727</v>
      </c>
      <c r="E125" s="2117" t="s">
        <v>117</v>
      </c>
      <c r="F125" s="2117" t="s">
        <v>1728</v>
      </c>
      <c r="G125" s="2117" t="s">
        <v>1729</v>
      </c>
      <c r="H125" s="2119" t="s">
        <v>1730</v>
      </c>
      <c r="I125" s="2119"/>
      <c r="J125" s="2119"/>
      <c r="K125" s="2119"/>
      <c r="L125" s="2119"/>
      <c r="M125" s="2119"/>
      <c r="N125" s="2119"/>
      <c r="O125" s="2119"/>
      <c r="P125" s="1655"/>
      <c r="Q125" s="2120" t="s">
        <v>1731</v>
      </c>
      <c r="R125" s="2119"/>
      <c r="S125" s="2119"/>
      <c r="T125" s="2119"/>
      <c r="U125" s="2119"/>
      <c r="V125" s="2119"/>
      <c r="W125" s="2119"/>
      <c r="X125" s="2121"/>
    </row>
    <row r="126" spans="1:24" ht="82.5" customHeight="1" x14ac:dyDescent="0.2">
      <c r="A126" s="2114"/>
      <c r="B126" s="2094"/>
      <c r="C126" s="2116"/>
      <c r="D126" s="2118"/>
      <c r="E126" s="2118"/>
      <c r="F126" s="2118"/>
      <c r="G126" s="2118"/>
      <c r="H126" s="1154" t="s">
        <v>2382</v>
      </c>
      <c r="I126" s="1154" t="s">
        <v>1752</v>
      </c>
      <c r="J126" s="1154" t="s">
        <v>1753</v>
      </c>
      <c r="K126" s="1154" t="s">
        <v>1754</v>
      </c>
      <c r="L126" s="1154" t="s">
        <v>1755</v>
      </c>
      <c r="M126" s="1154" t="s">
        <v>1756</v>
      </c>
      <c r="N126" s="1154" t="s">
        <v>1757</v>
      </c>
      <c r="O126" s="1154" t="s">
        <v>1739</v>
      </c>
      <c r="P126" s="1159" t="s">
        <v>1758</v>
      </c>
      <c r="Q126" s="1227" t="s">
        <v>1741</v>
      </c>
      <c r="R126" s="1154" t="s">
        <v>1759</v>
      </c>
      <c r="S126" s="1154" t="s">
        <v>1760</v>
      </c>
      <c r="T126" s="1154" t="s">
        <v>1761</v>
      </c>
      <c r="U126" s="1154" t="s">
        <v>1745</v>
      </c>
      <c r="V126" s="1154" t="s">
        <v>1746</v>
      </c>
      <c r="W126" s="1154" t="s">
        <v>1747</v>
      </c>
      <c r="X126" s="1159" t="s">
        <v>1762</v>
      </c>
    </row>
    <row r="127" spans="1:24" ht="21" customHeight="1" x14ac:dyDescent="0.2">
      <c r="A127" s="2124" t="s">
        <v>282</v>
      </c>
      <c r="B127" s="2123" t="s">
        <v>730</v>
      </c>
      <c r="C127" s="2122" t="s">
        <v>3030</v>
      </c>
      <c r="D127" s="1201" t="s">
        <v>3037</v>
      </c>
      <c r="E127" s="1201" t="s">
        <v>74</v>
      </c>
      <c r="F127" s="1201" t="s">
        <v>91</v>
      </c>
      <c r="G127" s="1202" t="s">
        <v>1837</v>
      </c>
      <c r="H127" s="1165">
        <f>-3008000+3008000</f>
        <v>0</v>
      </c>
      <c r="I127" s="1165"/>
      <c r="J127" s="1165"/>
      <c r="K127" s="1165"/>
      <c r="L127" s="1165"/>
      <c r="M127" s="1165"/>
      <c r="N127" s="1165"/>
      <c r="O127" s="1165"/>
      <c r="P127" s="1203"/>
      <c r="Q127" s="1204"/>
      <c r="R127" s="1165"/>
      <c r="S127" s="1165"/>
      <c r="T127" s="1165"/>
      <c r="U127" s="1165"/>
      <c r="V127" s="1165"/>
      <c r="W127" s="1165"/>
      <c r="X127" s="1203"/>
    </row>
    <row r="128" spans="1:24" ht="21" customHeight="1" x14ac:dyDescent="0.2">
      <c r="A128" s="2100"/>
      <c r="B128" s="2107"/>
      <c r="C128" s="2106"/>
      <c r="D128" s="1206" t="s">
        <v>1838</v>
      </c>
      <c r="E128" s="1206" t="s">
        <v>161</v>
      </c>
      <c r="F128" s="1206" t="s">
        <v>132</v>
      </c>
      <c r="G128" s="1207" t="s">
        <v>1837</v>
      </c>
      <c r="H128" s="1208">
        <f>-8640+8640</f>
        <v>0</v>
      </c>
      <c r="I128" s="1208"/>
      <c r="J128" s="1208"/>
      <c r="K128" s="1208"/>
      <c r="L128" s="1208"/>
      <c r="M128" s="1208"/>
      <c r="N128" s="1208"/>
      <c r="O128" s="1208"/>
      <c r="P128" s="1209"/>
      <c r="Q128" s="1210"/>
      <c r="R128" s="1208"/>
      <c r="S128" s="1208"/>
      <c r="T128" s="1208"/>
      <c r="U128" s="1208"/>
      <c r="V128" s="1208"/>
      <c r="W128" s="1208"/>
      <c r="X128" s="1209"/>
    </row>
    <row r="129" spans="1:24" ht="21" customHeight="1" x14ac:dyDescent="0.2">
      <c r="A129" s="2101"/>
      <c r="B129" s="2105"/>
      <c r="C129" s="2103"/>
      <c r="D129" s="1212" t="s">
        <v>1838</v>
      </c>
      <c r="E129" s="1212" t="s">
        <v>626</v>
      </c>
      <c r="F129" s="1212" t="s">
        <v>134</v>
      </c>
      <c r="G129" s="1213" t="s">
        <v>1837</v>
      </c>
      <c r="H129" s="1173">
        <f>-1781432+56052+1725380</f>
        <v>0</v>
      </c>
      <c r="I129" s="1173"/>
      <c r="J129" s="1173"/>
      <c r="K129" s="1173"/>
      <c r="L129" s="1173"/>
      <c r="M129" s="1173"/>
      <c r="N129" s="1173"/>
      <c r="O129" s="1173"/>
      <c r="P129" s="1174"/>
      <c r="Q129" s="1214"/>
      <c r="R129" s="1173"/>
      <c r="S129" s="1173"/>
      <c r="T129" s="1173"/>
      <c r="U129" s="1173"/>
      <c r="V129" s="1173"/>
      <c r="W129" s="1173"/>
      <c r="X129" s="1174"/>
    </row>
    <row r="130" spans="1:24" ht="19.5" customHeight="1" x14ac:dyDescent="0.2">
      <c r="A130" s="2099" t="s">
        <v>283</v>
      </c>
      <c r="B130" s="2104" t="s">
        <v>295</v>
      </c>
      <c r="C130" s="2102" t="s">
        <v>3083</v>
      </c>
      <c r="D130" s="1212" t="s">
        <v>1838</v>
      </c>
      <c r="E130" s="1212" t="s">
        <v>1288</v>
      </c>
      <c r="F130" s="1212" t="s">
        <v>128</v>
      </c>
      <c r="G130" s="1213" t="s">
        <v>1829</v>
      </c>
      <c r="H130" s="1173"/>
      <c r="I130" s="1173"/>
      <c r="J130" s="1173"/>
      <c r="K130" s="1173"/>
      <c r="L130" s="1173"/>
      <c r="M130" s="1173"/>
      <c r="N130" s="1173"/>
      <c r="O130" s="1173"/>
      <c r="P130" s="1174"/>
      <c r="Q130" s="1214"/>
      <c r="R130" s="1173"/>
      <c r="S130" s="1173"/>
      <c r="T130" s="1173"/>
      <c r="U130" s="1173"/>
      <c r="V130" s="1173"/>
      <c r="W130" s="1173"/>
      <c r="X130" s="1174">
        <v>1555750</v>
      </c>
    </row>
    <row r="131" spans="1:24" ht="19.5" customHeight="1" x14ac:dyDescent="0.2">
      <c r="A131" s="2100"/>
      <c r="B131" s="2107"/>
      <c r="C131" s="2106"/>
      <c r="D131" s="1212" t="s">
        <v>1838</v>
      </c>
      <c r="E131" s="1212" t="s">
        <v>74</v>
      </c>
      <c r="F131" s="1212" t="s">
        <v>91</v>
      </c>
      <c r="G131" s="1213" t="s">
        <v>1829</v>
      </c>
      <c r="H131" s="1173"/>
      <c r="I131" s="1173"/>
      <c r="J131" s="1173">
        <f>700000+189000</f>
        <v>889000</v>
      </c>
      <c r="K131" s="1173"/>
      <c r="L131" s="1173"/>
      <c r="M131" s="1173"/>
      <c r="N131" s="1173"/>
      <c r="O131" s="1173"/>
      <c r="P131" s="1174"/>
      <c r="Q131" s="1214"/>
      <c r="R131" s="1173"/>
      <c r="S131" s="1173"/>
      <c r="T131" s="1173"/>
      <c r="U131" s="1173"/>
      <c r="V131" s="1173"/>
      <c r="W131" s="1173"/>
      <c r="X131" s="1174"/>
    </row>
    <row r="132" spans="1:24" ht="19.5" customHeight="1" x14ac:dyDescent="0.2">
      <c r="A132" s="2100"/>
      <c r="B132" s="2107"/>
      <c r="C132" s="2106"/>
      <c r="D132" s="1212" t="s">
        <v>1838</v>
      </c>
      <c r="E132" s="1212" t="s">
        <v>161</v>
      </c>
      <c r="F132" s="1212" t="s">
        <v>132</v>
      </c>
      <c r="G132" s="1213" t="s">
        <v>1829</v>
      </c>
      <c r="H132" s="1173"/>
      <c r="I132" s="1173"/>
      <c r="J132" s="1173">
        <f>350000+94500</f>
        <v>444500</v>
      </c>
      <c r="K132" s="1173"/>
      <c r="L132" s="1173"/>
      <c r="M132" s="1173"/>
      <c r="N132" s="1173"/>
      <c r="O132" s="1173"/>
      <c r="P132" s="1174"/>
      <c r="Q132" s="1214"/>
      <c r="R132" s="1173"/>
      <c r="S132" s="1173"/>
      <c r="T132" s="1173"/>
      <c r="U132" s="1173"/>
      <c r="V132" s="1173"/>
      <c r="W132" s="1173"/>
      <c r="X132" s="1174"/>
    </row>
    <row r="133" spans="1:24" ht="19.5" customHeight="1" x14ac:dyDescent="0.2">
      <c r="A133" s="2101"/>
      <c r="B133" s="2105"/>
      <c r="C133" s="2103"/>
      <c r="D133" s="1212" t="s">
        <v>1838</v>
      </c>
      <c r="E133" s="1212" t="s">
        <v>508</v>
      </c>
      <c r="F133" s="1212" t="s">
        <v>151</v>
      </c>
      <c r="G133" s="1213" t="s">
        <v>1829</v>
      </c>
      <c r="H133" s="1173"/>
      <c r="I133" s="1173"/>
      <c r="J133" s="1173">
        <f>175000+47250</f>
        <v>222250</v>
      </c>
      <c r="K133" s="1173"/>
      <c r="L133" s="1173"/>
      <c r="M133" s="1173"/>
      <c r="N133" s="1173"/>
      <c r="O133" s="1173"/>
      <c r="P133" s="1174"/>
      <c r="Q133" s="1214"/>
      <c r="R133" s="1173"/>
      <c r="S133" s="1173"/>
      <c r="T133" s="1173"/>
      <c r="U133" s="1173"/>
      <c r="V133" s="1173"/>
      <c r="W133" s="1173"/>
      <c r="X133" s="1174"/>
    </row>
    <row r="134" spans="1:24" ht="22.5" customHeight="1" x14ac:dyDescent="0.2">
      <c r="A134" s="2099" t="s">
        <v>284</v>
      </c>
      <c r="B134" s="2104" t="s">
        <v>731</v>
      </c>
      <c r="C134" s="2102" t="s">
        <v>3119</v>
      </c>
      <c r="D134" s="1212" t="s">
        <v>1838</v>
      </c>
      <c r="E134" s="1212" t="s">
        <v>508</v>
      </c>
      <c r="F134" s="1212" t="s">
        <v>151</v>
      </c>
      <c r="G134" s="1213" t="s">
        <v>3120</v>
      </c>
      <c r="H134" s="1173">
        <f>-100000+100000</f>
        <v>0</v>
      </c>
      <c r="I134" s="1173"/>
      <c r="J134" s="1173"/>
      <c r="K134" s="1173"/>
      <c r="L134" s="1173"/>
      <c r="M134" s="1173"/>
      <c r="N134" s="1173"/>
      <c r="O134" s="1173"/>
      <c r="P134" s="1174"/>
      <c r="Q134" s="1214"/>
      <c r="R134" s="1173"/>
      <c r="S134" s="1173"/>
      <c r="T134" s="1173"/>
      <c r="U134" s="1173"/>
      <c r="V134" s="1173"/>
      <c r="W134" s="1173"/>
      <c r="X134" s="1174"/>
    </row>
    <row r="135" spans="1:24" ht="22.5" customHeight="1" x14ac:dyDescent="0.2">
      <c r="A135" s="2101"/>
      <c r="B135" s="2105"/>
      <c r="C135" s="2103"/>
      <c r="D135" s="1212" t="s">
        <v>1838</v>
      </c>
      <c r="E135" s="1212" t="s">
        <v>626</v>
      </c>
      <c r="F135" s="1212" t="s">
        <v>134</v>
      </c>
      <c r="G135" s="1213" t="s">
        <v>3120</v>
      </c>
      <c r="H135" s="1173">
        <f>-100000+100000</f>
        <v>0</v>
      </c>
      <c r="I135" s="1173"/>
      <c r="J135" s="1173"/>
      <c r="K135" s="1173"/>
      <c r="L135" s="1173"/>
      <c r="M135" s="1173"/>
      <c r="N135" s="1173"/>
      <c r="O135" s="1173"/>
      <c r="P135" s="1174"/>
      <c r="Q135" s="1214"/>
      <c r="R135" s="1173"/>
      <c r="S135" s="1173"/>
      <c r="T135" s="1173"/>
      <c r="U135" s="1173"/>
      <c r="V135" s="1173"/>
      <c r="W135" s="1173"/>
      <c r="X135" s="1174"/>
    </row>
    <row r="136" spans="1:24" ht="33" customHeight="1" x14ac:dyDescent="0.2">
      <c r="A136" s="1646" t="s">
        <v>285</v>
      </c>
      <c r="B136" s="1643" t="s">
        <v>296</v>
      </c>
      <c r="C136" s="1641" t="s">
        <v>3121</v>
      </c>
      <c r="D136" s="1212" t="s">
        <v>1838</v>
      </c>
      <c r="E136" s="1212" t="s">
        <v>161</v>
      </c>
      <c r="F136" s="1212" t="s">
        <v>132</v>
      </c>
      <c r="G136" s="1213" t="s">
        <v>1837</v>
      </c>
      <c r="H136" s="1173"/>
      <c r="I136" s="1173"/>
      <c r="J136" s="1173">
        <f>-800000+800000</f>
        <v>0</v>
      </c>
      <c r="K136" s="1173"/>
      <c r="L136" s="1173"/>
      <c r="M136" s="1173"/>
      <c r="N136" s="1173"/>
      <c r="O136" s="1173"/>
      <c r="P136" s="1174"/>
      <c r="Q136" s="1214"/>
      <c r="R136" s="1173"/>
      <c r="S136" s="1173"/>
      <c r="T136" s="1173"/>
      <c r="U136" s="1173"/>
      <c r="V136" s="1173"/>
      <c r="W136" s="1173"/>
      <c r="X136" s="1174"/>
    </row>
    <row r="137" spans="1:24" ht="45" customHeight="1" x14ac:dyDescent="0.2">
      <c r="A137" s="1646" t="s">
        <v>286</v>
      </c>
      <c r="B137" s="1643" t="s">
        <v>297</v>
      </c>
      <c r="C137" s="1641" t="s">
        <v>3123</v>
      </c>
      <c r="D137" s="1212" t="s">
        <v>1838</v>
      </c>
      <c r="E137" s="1212" t="s">
        <v>74</v>
      </c>
      <c r="F137" s="1212" t="s">
        <v>91</v>
      </c>
      <c r="G137" s="1213" t="s">
        <v>1837</v>
      </c>
      <c r="H137" s="1173"/>
      <c r="I137" s="1173"/>
      <c r="J137" s="1173"/>
      <c r="K137" s="1173"/>
      <c r="L137" s="1173"/>
      <c r="M137" s="1173">
        <v>-2000000</v>
      </c>
      <c r="N137" s="1173"/>
      <c r="O137" s="1173">
        <v>2000000</v>
      </c>
      <c r="P137" s="1174"/>
      <c r="Q137" s="1214"/>
      <c r="R137" s="1173"/>
      <c r="S137" s="1173"/>
      <c r="T137" s="1173"/>
      <c r="U137" s="1173"/>
      <c r="V137" s="1173"/>
      <c r="W137" s="1173"/>
      <c r="X137" s="1174"/>
    </row>
    <row r="138" spans="1:24" ht="30" customHeight="1" x14ac:dyDescent="0.2">
      <c r="A138" s="1646" t="s">
        <v>287</v>
      </c>
      <c r="B138" s="1643" t="s">
        <v>298</v>
      </c>
      <c r="C138" s="1641" t="s">
        <v>3124</v>
      </c>
      <c r="D138" s="1212" t="s">
        <v>1838</v>
      </c>
      <c r="E138" s="1212" t="s">
        <v>626</v>
      </c>
      <c r="F138" s="1212" t="s">
        <v>134</v>
      </c>
      <c r="G138" s="1213" t="s">
        <v>1829</v>
      </c>
      <c r="H138" s="1173"/>
      <c r="I138" s="1173"/>
      <c r="J138" s="1173">
        <v>800000</v>
      </c>
      <c r="K138" s="1173"/>
      <c r="L138" s="1173"/>
      <c r="M138" s="1173"/>
      <c r="N138" s="1173"/>
      <c r="O138" s="1173"/>
      <c r="P138" s="1174"/>
      <c r="Q138" s="1214"/>
      <c r="R138" s="1173"/>
      <c r="S138" s="1173">
        <v>800000</v>
      </c>
      <c r="T138" s="1173"/>
      <c r="U138" s="1173"/>
      <c r="V138" s="1173"/>
      <c r="W138" s="1173"/>
      <c r="X138" s="1174"/>
    </row>
    <row r="139" spans="1:24" ht="23.25" customHeight="1" x14ac:dyDescent="0.2">
      <c r="A139" s="2111" t="s">
        <v>288</v>
      </c>
      <c r="B139" s="2110" t="s">
        <v>299</v>
      </c>
      <c r="C139" s="2109" t="s">
        <v>3182</v>
      </c>
      <c r="D139" s="1212" t="s">
        <v>1838</v>
      </c>
      <c r="E139" s="1212" t="s">
        <v>74</v>
      </c>
      <c r="F139" s="1212" t="s">
        <v>91</v>
      </c>
      <c r="G139" s="1213" t="s">
        <v>1837</v>
      </c>
      <c r="H139" s="1173">
        <f>-21278693-43743473+105500+216666+64700000</f>
        <v>0</v>
      </c>
      <c r="I139" s="1173"/>
      <c r="J139" s="1173"/>
      <c r="K139" s="1173"/>
      <c r="L139" s="1173"/>
      <c r="M139" s="1173"/>
      <c r="N139" s="1173"/>
      <c r="O139" s="1173"/>
      <c r="P139" s="1174"/>
      <c r="Q139" s="1214"/>
      <c r="R139" s="1173"/>
      <c r="S139" s="1173"/>
      <c r="T139" s="1173"/>
      <c r="U139" s="1173"/>
      <c r="V139" s="1173"/>
      <c r="W139" s="1173"/>
      <c r="X139" s="1174"/>
    </row>
    <row r="140" spans="1:24" ht="23.25" customHeight="1" x14ac:dyDescent="0.2">
      <c r="A140" s="2111"/>
      <c r="B140" s="2110"/>
      <c r="C140" s="2109"/>
      <c r="D140" s="1212" t="s">
        <v>1838</v>
      </c>
      <c r="E140" s="1212" t="s">
        <v>161</v>
      </c>
      <c r="F140" s="1212" t="s">
        <v>132</v>
      </c>
      <c r="G140" s="1213" t="s">
        <v>1837</v>
      </c>
      <c r="H140" s="1173">
        <f>-1999000-6601000+8600000</f>
        <v>0</v>
      </c>
      <c r="I140" s="1173"/>
      <c r="J140" s="1173"/>
      <c r="K140" s="1173"/>
      <c r="L140" s="1173"/>
      <c r="M140" s="1173"/>
      <c r="N140" s="1173"/>
      <c r="O140" s="1173"/>
      <c r="P140" s="1174"/>
      <c r="Q140" s="1214"/>
      <c r="R140" s="1173"/>
      <c r="S140" s="1173"/>
      <c r="T140" s="1173"/>
      <c r="U140" s="1173"/>
      <c r="V140" s="1173"/>
      <c r="W140" s="1173"/>
      <c r="X140" s="1174"/>
    </row>
    <row r="141" spans="1:24" ht="23.25" customHeight="1" x14ac:dyDescent="0.2">
      <c r="A141" s="2111"/>
      <c r="B141" s="2110"/>
      <c r="C141" s="2109"/>
      <c r="D141" s="1212" t="s">
        <v>1838</v>
      </c>
      <c r="E141" s="1212" t="s">
        <v>508</v>
      </c>
      <c r="F141" s="1212" t="s">
        <v>151</v>
      </c>
      <c r="G141" s="1213" t="s">
        <v>1837</v>
      </c>
      <c r="H141" s="1173">
        <f>-600000-1600000+2200000</f>
        <v>0</v>
      </c>
      <c r="I141" s="1173"/>
      <c r="J141" s="1173"/>
      <c r="K141" s="1173"/>
      <c r="L141" s="1173"/>
      <c r="M141" s="1173"/>
      <c r="N141" s="1173"/>
      <c r="O141" s="1173"/>
      <c r="P141" s="1174"/>
      <c r="Q141" s="1214"/>
      <c r="R141" s="1173"/>
      <c r="S141" s="1173"/>
      <c r="T141" s="1173"/>
      <c r="U141" s="1173"/>
      <c r="V141" s="1173"/>
      <c r="W141" s="1173"/>
      <c r="X141" s="1174"/>
    </row>
    <row r="142" spans="1:24" ht="23.25" customHeight="1" x14ac:dyDescent="0.2">
      <c r="A142" s="2111"/>
      <c r="B142" s="2110"/>
      <c r="C142" s="2109"/>
      <c r="D142" s="1212" t="s">
        <v>1838</v>
      </c>
      <c r="E142" s="1212" t="s">
        <v>626</v>
      </c>
      <c r="F142" s="1212" t="s">
        <v>134</v>
      </c>
      <c r="G142" s="1213" t="s">
        <v>1837</v>
      </c>
      <c r="H142" s="1173">
        <f>-2243727-10400000+11700000+943727</f>
        <v>0</v>
      </c>
      <c r="I142" s="1173"/>
      <c r="J142" s="1173"/>
      <c r="K142" s="1173"/>
      <c r="L142" s="1173"/>
      <c r="M142" s="1173"/>
      <c r="N142" s="1173"/>
      <c r="O142" s="1173"/>
      <c r="P142" s="1174"/>
      <c r="Q142" s="1214"/>
      <c r="R142" s="1173"/>
      <c r="S142" s="1173"/>
      <c r="T142" s="1173"/>
      <c r="U142" s="1173"/>
      <c r="V142" s="1173"/>
      <c r="W142" s="1173"/>
      <c r="X142" s="1174"/>
    </row>
    <row r="143" spans="1:24" ht="28.5" customHeight="1" x14ac:dyDescent="0.2">
      <c r="A143" s="1650" t="s">
        <v>289</v>
      </c>
      <c r="B143" s="1649" t="s">
        <v>300</v>
      </c>
      <c r="C143" s="1648" t="s">
        <v>3332</v>
      </c>
      <c r="D143" s="1212" t="s">
        <v>1838</v>
      </c>
      <c r="E143" s="1212" t="s">
        <v>74</v>
      </c>
      <c r="F143" s="1212" t="s">
        <v>91</v>
      </c>
      <c r="G143" s="1213" t="s">
        <v>1829</v>
      </c>
      <c r="H143" s="1173"/>
      <c r="I143" s="1173"/>
      <c r="J143" s="1173">
        <v>414497</v>
      </c>
      <c r="K143" s="1173"/>
      <c r="L143" s="1173"/>
      <c r="M143" s="1173"/>
      <c r="N143" s="1173"/>
      <c r="O143" s="1173"/>
      <c r="P143" s="1174"/>
      <c r="Q143" s="1214"/>
      <c r="R143" s="1173"/>
      <c r="S143" s="1173"/>
      <c r="T143" s="1173">
        <v>414497</v>
      </c>
      <c r="U143" s="1173"/>
      <c r="V143" s="1173"/>
      <c r="W143" s="1173"/>
      <c r="X143" s="1174"/>
    </row>
    <row r="144" spans="1:24" ht="22.5" customHeight="1" x14ac:dyDescent="0.2">
      <c r="A144" s="2099" t="s">
        <v>290</v>
      </c>
      <c r="B144" s="2104" t="s">
        <v>188</v>
      </c>
      <c r="C144" s="2102" t="s">
        <v>3374</v>
      </c>
      <c r="D144" s="1212" t="s">
        <v>1838</v>
      </c>
      <c r="E144" s="1212" t="s">
        <v>74</v>
      </c>
      <c r="F144" s="1212" t="s">
        <v>91</v>
      </c>
      <c r="G144" s="1213" t="s">
        <v>1837</v>
      </c>
      <c r="H144" s="1173">
        <f>-300000+300000</f>
        <v>0</v>
      </c>
      <c r="I144" s="1173"/>
      <c r="J144" s="1173"/>
      <c r="K144" s="1173"/>
      <c r="L144" s="1173"/>
      <c r="M144" s="1173"/>
      <c r="N144" s="1173"/>
      <c r="O144" s="1173"/>
      <c r="P144" s="1174"/>
      <c r="Q144" s="1214"/>
      <c r="R144" s="1173"/>
      <c r="S144" s="1173"/>
      <c r="T144" s="1173"/>
      <c r="U144" s="1173"/>
      <c r="V144" s="1173"/>
      <c r="W144" s="1173"/>
      <c r="X144" s="1174"/>
    </row>
    <row r="145" spans="1:24" ht="22.5" customHeight="1" x14ac:dyDescent="0.2">
      <c r="A145" s="2100"/>
      <c r="B145" s="2107"/>
      <c r="C145" s="2106"/>
      <c r="D145" s="1212" t="s">
        <v>1838</v>
      </c>
      <c r="E145" s="1212" t="s">
        <v>161</v>
      </c>
      <c r="F145" s="1212" t="s">
        <v>132</v>
      </c>
      <c r="G145" s="1213" t="s">
        <v>1837</v>
      </c>
      <c r="H145" s="1173">
        <f>-9072+9072</f>
        <v>0</v>
      </c>
      <c r="I145" s="1173"/>
      <c r="J145" s="1173"/>
      <c r="K145" s="1173"/>
      <c r="L145" s="1173"/>
      <c r="M145" s="1173"/>
      <c r="N145" s="1173"/>
      <c r="O145" s="1173"/>
      <c r="P145" s="1174"/>
      <c r="Q145" s="1214"/>
      <c r="R145" s="1173"/>
      <c r="S145" s="1173"/>
      <c r="T145" s="1173"/>
      <c r="U145" s="1173"/>
      <c r="V145" s="1173"/>
      <c r="W145" s="1173"/>
      <c r="X145" s="1174"/>
    </row>
    <row r="146" spans="1:24" ht="22.5" customHeight="1" x14ac:dyDescent="0.2">
      <c r="A146" s="2100"/>
      <c r="B146" s="2107"/>
      <c r="C146" s="2106"/>
      <c r="D146" s="1212" t="s">
        <v>1838</v>
      </c>
      <c r="E146" s="1212" t="s">
        <v>508</v>
      </c>
      <c r="F146" s="1212" t="s">
        <v>151</v>
      </c>
      <c r="G146" s="1213" t="s">
        <v>1837</v>
      </c>
      <c r="H146" s="1173">
        <f>-600000+600000</f>
        <v>0</v>
      </c>
      <c r="I146" s="1173"/>
      <c r="J146" s="1173"/>
      <c r="K146" s="1173"/>
      <c r="L146" s="1173"/>
      <c r="M146" s="1173"/>
      <c r="N146" s="1173"/>
      <c r="O146" s="1173"/>
      <c r="P146" s="1174"/>
      <c r="Q146" s="1214"/>
      <c r="R146" s="1173"/>
      <c r="S146" s="1173"/>
      <c r="T146" s="1173"/>
      <c r="U146" s="1173"/>
      <c r="V146" s="1173"/>
      <c r="W146" s="1173"/>
      <c r="X146" s="1174"/>
    </row>
    <row r="147" spans="1:24" ht="22.5" customHeight="1" x14ac:dyDescent="0.2">
      <c r="A147" s="2101"/>
      <c r="B147" s="2105"/>
      <c r="C147" s="2103"/>
      <c r="D147" s="1212" t="s">
        <v>1838</v>
      </c>
      <c r="E147" s="1212" t="s">
        <v>626</v>
      </c>
      <c r="F147" s="1212" t="s">
        <v>134</v>
      </c>
      <c r="G147" s="1213" t="s">
        <v>1837</v>
      </c>
      <c r="H147" s="1173">
        <f>-3558016+2700000+52416+805600</f>
        <v>0</v>
      </c>
      <c r="I147" s="1173"/>
      <c r="J147" s="1173"/>
      <c r="K147" s="1173"/>
      <c r="L147" s="1173"/>
      <c r="M147" s="1173"/>
      <c r="N147" s="1173"/>
      <c r="O147" s="1173"/>
      <c r="P147" s="1174"/>
      <c r="Q147" s="1214"/>
      <c r="R147" s="1173"/>
      <c r="S147" s="1173"/>
      <c r="T147" s="1173"/>
      <c r="U147" s="1173"/>
      <c r="V147" s="1173"/>
      <c r="W147" s="1173"/>
      <c r="X147" s="1174"/>
    </row>
    <row r="148" spans="1:24" ht="28.5" customHeight="1" x14ac:dyDescent="0.2">
      <c r="A148" s="2099" t="s">
        <v>291</v>
      </c>
      <c r="B148" s="2104" t="s">
        <v>189</v>
      </c>
      <c r="C148" s="2102" t="s">
        <v>3383</v>
      </c>
      <c r="D148" s="1212" t="s">
        <v>1838</v>
      </c>
      <c r="E148" s="1212" t="s">
        <v>1288</v>
      </c>
      <c r="F148" s="1212" t="s">
        <v>128</v>
      </c>
      <c r="G148" s="1213" t="s">
        <v>1829</v>
      </c>
      <c r="H148" s="1173"/>
      <c r="I148" s="1173"/>
      <c r="J148" s="1173"/>
      <c r="K148" s="1173"/>
      <c r="L148" s="1173"/>
      <c r="M148" s="1173"/>
      <c r="N148" s="1173"/>
      <c r="O148" s="1173"/>
      <c r="P148" s="1174"/>
      <c r="Q148" s="1214"/>
      <c r="R148" s="1173"/>
      <c r="S148" s="1173"/>
      <c r="T148" s="1173"/>
      <c r="U148" s="1173"/>
      <c r="V148" s="1173"/>
      <c r="W148" s="1173"/>
      <c r="X148" s="1174">
        <v>1717265</v>
      </c>
    </row>
    <row r="149" spans="1:24" ht="28.5" customHeight="1" x14ac:dyDescent="0.2">
      <c r="A149" s="2101"/>
      <c r="B149" s="2105"/>
      <c r="C149" s="2103"/>
      <c r="D149" s="1212" t="s">
        <v>1838</v>
      </c>
      <c r="E149" s="1212" t="s">
        <v>74</v>
      </c>
      <c r="F149" s="1212" t="s">
        <v>91</v>
      </c>
      <c r="G149" s="1213" t="s">
        <v>1829</v>
      </c>
      <c r="H149" s="1173"/>
      <c r="I149" s="1173"/>
      <c r="J149" s="1173">
        <f>1352177+365088</f>
        <v>1717265</v>
      </c>
      <c r="K149" s="1173"/>
      <c r="L149" s="1173"/>
      <c r="M149" s="1173"/>
      <c r="N149" s="1173"/>
      <c r="O149" s="1173"/>
      <c r="P149" s="1174"/>
      <c r="Q149" s="1214"/>
      <c r="R149" s="1173"/>
      <c r="S149" s="1173"/>
      <c r="T149" s="1173"/>
      <c r="U149" s="1173"/>
      <c r="V149" s="1173"/>
      <c r="W149" s="1173"/>
      <c r="X149" s="1174"/>
    </row>
    <row r="150" spans="1:24" ht="47.25" customHeight="1" x14ac:dyDescent="0.2">
      <c r="A150" s="1646" t="s">
        <v>292</v>
      </c>
      <c r="B150" s="1643" t="s">
        <v>190</v>
      </c>
      <c r="C150" s="1641" t="s">
        <v>3436</v>
      </c>
      <c r="D150" s="1212" t="s">
        <v>1838</v>
      </c>
      <c r="E150" s="1212" t="s">
        <v>161</v>
      </c>
      <c r="F150" s="1212" t="s">
        <v>132</v>
      </c>
      <c r="G150" s="1213" t="s">
        <v>1837</v>
      </c>
      <c r="H150" s="1173"/>
      <c r="I150" s="1173"/>
      <c r="J150" s="1173">
        <f>-1100000+500000+600000</f>
        <v>0</v>
      </c>
      <c r="K150" s="1173"/>
      <c r="L150" s="1173"/>
      <c r="M150" s="1173"/>
      <c r="N150" s="1173"/>
      <c r="O150" s="1173"/>
      <c r="P150" s="1174"/>
      <c r="Q150" s="1214"/>
      <c r="R150" s="1173"/>
      <c r="S150" s="1173"/>
      <c r="T150" s="1173"/>
      <c r="U150" s="1173"/>
      <c r="V150" s="1173"/>
      <c r="W150" s="1173"/>
      <c r="X150" s="1174"/>
    </row>
    <row r="151" spans="1:24" ht="36.75" customHeight="1" x14ac:dyDescent="0.2">
      <c r="A151" s="1646" t="s">
        <v>293</v>
      </c>
      <c r="B151" s="1643" t="s">
        <v>191</v>
      </c>
      <c r="C151" s="1641" t="s">
        <v>3451</v>
      </c>
      <c r="D151" s="1212" t="s">
        <v>1838</v>
      </c>
      <c r="E151" s="1212" t="s">
        <v>626</v>
      </c>
      <c r="F151" s="1212" t="s">
        <v>134</v>
      </c>
      <c r="G151" s="1213" t="s">
        <v>1837</v>
      </c>
      <c r="H151" s="1173">
        <f>-95740+95740</f>
        <v>0</v>
      </c>
      <c r="I151" s="1173"/>
      <c r="J151" s="1173"/>
      <c r="K151" s="1173"/>
      <c r="L151" s="1173"/>
      <c r="M151" s="1173"/>
      <c r="N151" s="1173"/>
      <c r="O151" s="1173"/>
      <c r="P151" s="1174"/>
      <c r="Q151" s="1214"/>
      <c r="R151" s="1173"/>
      <c r="S151" s="1173"/>
      <c r="T151" s="1173"/>
      <c r="U151" s="1173"/>
      <c r="V151" s="1173"/>
      <c r="W151" s="1173"/>
      <c r="X151" s="1174"/>
    </row>
    <row r="152" spans="1:24" ht="31.5" customHeight="1" x14ac:dyDescent="0.2">
      <c r="A152" s="2099" t="s">
        <v>294</v>
      </c>
      <c r="B152" s="2104" t="s">
        <v>192</v>
      </c>
      <c r="C152" s="2102" t="s">
        <v>3468</v>
      </c>
      <c r="D152" s="1212" t="s">
        <v>1838</v>
      </c>
      <c r="E152" s="1212" t="s">
        <v>74</v>
      </c>
      <c r="F152" s="1212" t="s">
        <v>91</v>
      </c>
      <c r="G152" s="1213" t="s">
        <v>1828</v>
      </c>
      <c r="H152" s="1173"/>
      <c r="I152" s="1173"/>
      <c r="J152" s="1173">
        <v>-1105305</v>
      </c>
      <c r="K152" s="1173"/>
      <c r="L152" s="1173"/>
      <c r="M152" s="1173"/>
      <c r="N152" s="1173"/>
      <c r="O152" s="1173"/>
      <c r="P152" s="1174"/>
      <c r="Q152" s="1214"/>
      <c r="R152" s="1173"/>
      <c r="S152" s="1173"/>
      <c r="T152" s="1173">
        <f>-278142-975-195270</f>
        <v>-474387</v>
      </c>
      <c r="U152" s="1173"/>
      <c r="V152" s="1173"/>
      <c r="W152" s="1173"/>
      <c r="X152" s="1174"/>
    </row>
    <row r="153" spans="1:24" ht="31.5" customHeight="1" x14ac:dyDescent="0.2">
      <c r="A153" s="2100"/>
      <c r="B153" s="2107"/>
      <c r="C153" s="2106"/>
      <c r="D153" s="1212" t="s">
        <v>1838</v>
      </c>
      <c r="E153" s="1212" t="s">
        <v>161</v>
      </c>
      <c r="F153" s="1212" t="s">
        <v>132</v>
      </c>
      <c r="G153" s="1213" t="s">
        <v>1828</v>
      </c>
      <c r="H153" s="1173"/>
      <c r="I153" s="1173"/>
      <c r="J153" s="1173">
        <v>-100000</v>
      </c>
      <c r="K153" s="1173"/>
      <c r="L153" s="1173"/>
      <c r="M153" s="1173"/>
      <c r="N153" s="1173"/>
      <c r="O153" s="1173"/>
      <c r="P153" s="1174"/>
      <c r="Q153" s="1214"/>
      <c r="R153" s="1173"/>
      <c r="S153" s="1173">
        <v>-100000</v>
      </c>
      <c r="T153" s="1173"/>
      <c r="U153" s="1173"/>
      <c r="V153" s="1173"/>
      <c r="W153" s="1173"/>
      <c r="X153" s="1174"/>
    </row>
    <row r="154" spans="1:24" ht="31.5" customHeight="1" x14ac:dyDescent="0.2">
      <c r="A154" s="2100"/>
      <c r="B154" s="2107"/>
      <c r="C154" s="2106"/>
      <c r="D154" s="1212" t="s">
        <v>1838</v>
      </c>
      <c r="E154" s="1212" t="s">
        <v>508</v>
      </c>
      <c r="F154" s="1212" t="s">
        <v>151</v>
      </c>
      <c r="G154" s="1213" t="s">
        <v>1828</v>
      </c>
      <c r="H154" s="1173"/>
      <c r="I154" s="1173"/>
      <c r="J154" s="1173">
        <v>-290000</v>
      </c>
      <c r="K154" s="1173"/>
      <c r="L154" s="1173"/>
      <c r="M154" s="1173"/>
      <c r="N154" s="1173"/>
      <c r="O154" s="1173"/>
      <c r="P154" s="1174"/>
      <c r="Q154" s="1214"/>
      <c r="R154" s="1173"/>
      <c r="S154" s="1173">
        <v>-290000</v>
      </c>
      <c r="T154" s="1173"/>
      <c r="U154" s="1173"/>
      <c r="V154" s="1173"/>
      <c r="W154" s="1173"/>
      <c r="X154" s="1174"/>
    </row>
    <row r="155" spans="1:24" ht="31.5" customHeight="1" x14ac:dyDescent="0.2">
      <c r="A155" s="2100"/>
      <c r="B155" s="2107"/>
      <c r="C155" s="2106"/>
      <c r="D155" s="1212" t="s">
        <v>1838</v>
      </c>
      <c r="E155" s="1212" t="s">
        <v>626</v>
      </c>
      <c r="F155" s="1212" t="s">
        <v>134</v>
      </c>
      <c r="G155" s="1213" t="s">
        <v>1828</v>
      </c>
      <c r="H155" s="1173"/>
      <c r="I155" s="1173"/>
      <c r="J155" s="1173">
        <v>-452968</v>
      </c>
      <c r="K155" s="1173"/>
      <c r="L155" s="1173"/>
      <c r="M155" s="1173"/>
      <c r="N155" s="1173"/>
      <c r="O155" s="1173"/>
      <c r="P155" s="1174"/>
      <c r="Q155" s="1214"/>
      <c r="R155" s="1173"/>
      <c r="S155" s="1173">
        <v>-319000</v>
      </c>
      <c r="T155" s="1173">
        <v>-133968</v>
      </c>
      <c r="U155" s="1173"/>
      <c r="V155" s="1173"/>
      <c r="W155" s="1173"/>
      <c r="X155" s="1174"/>
    </row>
    <row r="156" spans="1:24" ht="31.5" customHeight="1" x14ac:dyDescent="0.2">
      <c r="A156" s="2101"/>
      <c r="B156" s="2105"/>
      <c r="C156" s="2103"/>
      <c r="D156" s="1212" t="s">
        <v>1838</v>
      </c>
      <c r="E156" s="1212" t="s">
        <v>74</v>
      </c>
      <c r="F156" s="1212" t="s">
        <v>830</v>
      </c>
      <c r="G156" s="1213" t="s">
        <v>1828</v>
      </c>
      <c r="H156" s="1173"/>
      <c r="I156" s="1173"/>
      <c r="J156" s="1173">
        <f>-1098093-446437</f>
        <v>-1544530</v>
      </c>
      <c r="K156" s="1173"/>
      <c r="L156" s="1173"/>
      <c r="M156" s="1173"/>
      <c r="N156" s="1173"/>
      <c r="O156" s="1173"/>
      <c r="P156" s="1174"/>
      <c r="Q156" s="1214"/>
      <c r="R156" s="1173"/>
      <c r="S156" s="1173"/>
      <c r="T156" s="1173">
        <f>-1561338-613110-1000</f>
        <v>-2175448</v>
      </c>
      <c r="U156" s="1173"/>
      <c r="V156" s="1173"/>
      <c r="W156" s="1173"/>
      <c r="X156" s="1174"/>
    </row>
    <row r="157" spans="1:24" ht="24.75" customHeight="1" x14ac:dyDescent="0.2">
      <c r="A157" s="1657"/>
      <c r="B157" s="1654"/>
      <c r="C157" s="1215"/>
      <c r="D157" s="1212"/>
      <c r="E157" s="1212"/>
      <c r="F157" s="1212"/>
      <c r="G157" s="1213"/>
      <c r="H157" s="1173"/>
      <c r="I157" s="1173"/>
      <c r="J157" s="1173"/>
      <c r="K157" s="1173"/>
      <c r="L157" s="1173"/>
      <c r="M157" s="1173"/>
      <c r="N157" s="1173"/>
      <c r="O157" s="1173"/>
      <c r="P157" s="1174"/>
      <c r="Q157" s="1214"/>
      <c r="R157" s="1173"/>
      <c r="S157" s="1173"/>
      <c r="T157" s="1173"/>
      <c r="U157" s="1173"/>
      <c r="V157" s="1173"/>
      <c r="W157" s="1173"/>
      <c r="X157" s="1174"/>
    </row>
    <row r="158" spans="1:24" ht="18.75" x14ac:dyDescent="0.3">
      <c r="A158" s="2082" t="s">
        <v>1749</v>
      </c>
      <c r="B158" s="2083"/>
      <c r="C158" s="2084"/>
      <c r="D158" s="1499"/>
      <c r="E158" s="1288"/>
      <c r="F158" s="1288"/>
      <c r="G158" s="1288"/>
      <c r="H158" s="1365">
        <f t="shared" ref="H158:X158" si="4">SUM(H127:H157)+H108</f>
        <v>38645103</v>
      </c>
      <c r="I158" s="1365">
        <f t="shared" si="4"/>
        <v>5909500</v>
      </c>
      <c r="J158" s="1365">
        <f t="shared" si="4"/>
        <v>9135781</v>
      </c>
      <c r="K158" s="1365">
        <f t="shared" si="4"/>
        <v>0</v>
      </c>
      <c r="L158" s="1365">
        <f t="shared" si="4"/>
        <v>23805431</v>
      </c>
      <c r="M158" s="1365">
        <f t="shared" si="4"/>
        <v>5010000</v>
      </c>
      <c r="N158" s="1365">
        <f t="shared" si="4"/>
        <v>0</v>
      </c>
      <c r="O158" s="1365">
        <f t="shared" si="4"/>
        <v>4000000</v>
      </c>
      <c r="P158" s="1366">
        <f t="shared" si="4"/>
        <v>0</v>
      </c>
      <c r="Q158" s="1367">
        <f t="shared" si="4"/>
        <v>0</v>
      </c>
      <c r="R158" s="1365">
        <f t="shared" si="4"/>
        <v>0</v>
      </c>
      <c r="S158" s="1365">
        <f t="shared" si="4"/>
        <v>3114037</v>
      </c>
      <c r="T158" s="1365">
        <f t="shared" si="4"/>
        <v>3577352</v>
      </c>
      <c r="U158" s="1365">
        <f t="shared" si="4"/>
        <v>10000</v>
      </c>
      <c r="V158" s="1365">
        <f t="shared" si="4"/>
        <v>0</v>
      </c>
      <c r="W158" s="1365">
        <f t="shared" si="4"/>
        <v>2000000</v>
      </c>
      <c r="X158" s="1366">
        <f t="shared" si="4"/>
        <v>77804426</v>
      </c>
    </row>
    <row r="159" spans="1:24" ht="18.75" x14ac:dyDescent="0.3">
      <c r="A159" s="1217"/>
      <c r="B159" s="1217"/>
      <c r="C159" s="1217"/>
      <c r="D159" s="1218"/>
      <c r="E159" s="1219"/>
      <c r="F159" s="1219"/>
      <c r="G159" s="1219"/>
      <c r="H159" s="1150">
        <f>+'2.1. sz. PMH'!W9-'2.1. sz. PMH'!V9</f>
        <v>38645103</v>
      </c>
      <c r="I159" s="1150">
        <f>+'2.1. sz. PMH'!W10-'2.1. sz. PMH'!V10</f>
        <v>5909500</v>
      </c>
      <c r="J159" s="1150">
        <f>+'2.1. sz. PMH'!W11-'2.1. sz. PMH'!V11</f>
        <v>9135781</v>
      </c>
      <c r="K159" s="1150">
        <f>+'2.1. sz. PMH'!W12-'2.1. sz. PMH'!V12</f>
        <v>0</v>
      </c>
      <c r="L159" s="1150">
        <f>+'2.1. sz. PMH'!W13-'2.1. sz. PMH'!V13</f>
        <v>23805431</v>
      </c>
      <c r="M159" s="1150">
        <f>+'2.1. sz. PMH'!W17-'2.1. sz. PMH'!V17</f>
        <v>5010000</v>
      </c>
      <c r="N159" s="1150">
        <f>+'2.1. sz. PMH'!W18-'2.1. sz. PMH'!V18</f>
        <v>0</v>
      </c>
      <c r="O159" s="1150">
        <f>+'2.1. sz. PMH'!W19-'2.1. sz. PMH'!V19</f>
        <v>4000000</v>
      </c>
      <c r="P159" s="1150">
        <f>+'2.1. sz. PMH'!W22-'2.1. sz. PMH'!V22</f>
        <v>0</v>
      </c>
      <c r="Q159" s="1150">
        <f>+'2.1. sz. PMH'!W31-'2.1. sz. PMH'!V31</f>
        <v>0</v>
      </c>
      <c r="R159" s="1150">
        <f>+'2.1. sz. PMH'!W32-'2.1. sz. PMH'!V32</f>
        <v>0</v>
      </c>
      <c r="S159" s="1150">
        <f>+'2.1. sz. PMH'!W33-'2.1. sz. PMH'!V33</f>
        <v>3114037</v>
      </c>
      <c r="T159" s="1150">
        <f>+'2.1. sz. PMH'!W34-'2.1. sz. PMH'!V34</f>
        <v>3577352</v>
      </c>
      <c r="U159" s="1150">
        <f>+'2.1. sz. PMH'!W35-'2.1. sz. PMH'!V35</f>
        <v>10000</v>
      </c>
      <c r="V159" s="1150">
        <f>+'2.1. sz. PMH'!W36-'2.1. sz. PMH'!V36</f>
        <v>0</v>
      </c>
      <c r="W159" s="1150">
        <f>+'2.1. sz. PMH'!W37-'2.1. sz. PMH'!V37</f>
        <v>2000000</v>
      </c>
      <c r="X159" s="1150">
        <f>+'2.1. sz. PMH'!W39-'2.1. sz. PMH'!V39</f>
        <v>77804426</v>
      </c>
    </row>
    <row r="160" spans="1:24" ht="15.75" customHeight="1" x14ac:dyDescent="0.2">
      <c r="A160" s="1220"/>
      <c r="B160" s="1220"/>
      <c r="C160" s="1221"/>
      <c r="D160" s="1222"/>
      <c r="E160" s="1223"/>
      <c r="F160" s="1223"/>
      <c r="G160" s="1223"/>
      <c r="H160" s="1150">
        <f>H159-H158</f>
        <v>0</v>
      </c>
      <c r="I160" s="1150">
        <f>I159-I158</f>
        <v>0</v>
      </c>
      <c r="J160" s="1150">
        <f>J159-J158</f>
        <v>0</v>
      </c>
      <c r="K160" s="1150">
        <f t="shared" ref="K160:L160" si="5">K159-K158</f>
        <v>0</v>
      </c>
      <c r="L160" s="1150">
        <f t="shared" si="5"/>
        <v>0</v>
      </c>
      <c r="M160" s="1150">
        <f>M159-M158</f>
        <v>0</v>
      </c>
      <c r="N160" s="1150">
        <f t="shared" ref="N160" si="6">N159-N158</f>
        <v>0</v>
      </c>
      <c r="O160" s="1150">
        <f>O159-O158</f>
        <v>0</v>
      </c>
      <c r="P160" s="1150">
        <f>P159-P158</f>
        <v>0</v>
      </c>
      <c r="Q160" s="1150">
        <f t="shared" ref="Q160:W160" si="7">Q159-Q158</f>
        <v>0</v>
      </c>
      <c r="R160" s="1150">
        <f t="shared" si="7"/>
        <v>0</v>
      </c>
      <c r="S160" s="1150">
        <f t="shared" si="7"/>
        <v>0</v>
      </c>
      <c r="T160" s="1150">
        <f>T159-T158</f>
        <v>0</v>
      </c>
      <c r="U160" s="1150">
        <f t="shared" si="7"/>
        <v>0</v>
      </c>
      <c r="V160" s="1150">
        <f t="shared" si="7"/>
        <v>0</v>
      </c>
      <c r="W160" s="1150">
        <f t="shared" si="7"/>
        <v>0</v>
      </c>
      <c r="X160" s="1150">
        <f>X159-X158</f>
        <v>0</v>
      </c>
    </row>
    <row r="161" spans="1:24" x14ac:dyDescent="0.2">
      <c r="A161" s="1220"/>
      <c r="B161" s="1220"/>
      <c r="C161" s="1221"/>
      <c r="D161" s="1222"/>
      <c r="E161" s="1223"/>
      <c r="F161" s="1223"/>
      <c r="G161" s="1223"/>
      <c r="H161" s="1150"/>
      <c r="I161" s="1150"/>
      <c r="J161" s="1150"/>
      <c r="K161" s="1150"/>
      <c r="L161" s="1150"/>
      <c r="M161" s="1150"/>
      <c r="N161" s="1150"/>
      <c r="O161" s="1150"/>
      <c r="P161" s="1150"/>
      <c r="Q161" s="1150"/>
      <c r="R161" s="1150"/>
      <c r="S161" s="1150"/>
      <c r="T161" s="1150"/>
      <c r="U161" s="1150"/>
      <c r="V161" s="1150"/>
      <c r="W161" s="1150"/>
      <c r="X161" s="1150"/>
    </row>
    <row r="162" spans="1:24" ht="23.25" customHeight="1" x14ac:dyDescent="0.25">
      <c r="A162" s="1196"/>
      <c r="B162" s="1196"/>
      <c r="C162" s="1196"/>
      <c r="D162" s="1197"/>
      <c r="E162" s="1197"/>
      <c r="F162" s="1197"/>
      <c r="G162" s="1197"/>
      <c r="H162" s="1224"/>
      <c r="I162" s="2108" t="s">
        <v>1750</v>
      </c>
      <c r="J162" s="2108"/>
      <c r="K162" s="2108"/>
      <c r="L162" s="2108">
        <v>1070527166</v>
      </c>
      <c r="M162" s="2108"/>
      <c r="N162" s="1225"/>
      <c r="O162" s="1225"/>
      <c r="P162" s="1225"/>
      <c r="Q162" s="1225"/>
      <c r="R162" s="2108" t="s">
        <v>1751</v>
      </c>
      <c r="S162" s="2108"/>
      <c r="T162" s="2108"/>
      <c r="U162" s="2108">
        <v>1070527166</v>
      </c>
      <c r="V162" s="2108"/>
      <c r="W162" s="1224"/>
      <c r="X162" s="1224"/>
    </row>
    <row r="163" spans="1:24" ht="24" customHeight="1" x14ac:dyDescent="0.25">
      <c r="A163" s="1196"/>
      <c r="B163" s="1196"/>
      <c r="C163" s="1196"/>
      <c r="D163" s="1197"/>
      <c r="E163" s="1197"/>
      <c r="F163" s="1197"/>
      <c r="G163" s="1197"/>
      <c r="H163" s="1224"/>
      <c r="I163" s="2066" t="s">
        <v>3474</v>
      </c>
      <c r="J163" s="2066"/>
      <c r="K163" s="2066"/>
      <c r="L163" s="2108">
        <f>SUM(H158:P158)</f>
        <v>86505815</v>
      </c>
      <c r="M163" s="2108"/>
      <c r="N163" s="1225"/>
      <c r="O163" s="1225"/>
      <c r="P163" s="1225"/>
      <c r="Q163" s="1225"/>
      <c r="R163" s="2066" t="s">
        <v>3474</v>
      </c>
      <c r="S163" s="2066"/>
      <c r="T163" s="2066"/>
      <c r="U163" s="2108">
        <f>SUM(Q158:X158)</f>
        <v>86505815</v>
      </c>
      <c r="V163" s="2108"/>
      <c r="W163" s="1224"/>
      <c r="X163" s="1224"/>
    </row>
    <row r="164" spans="1:24" ht="21.75" customHeight="1" x14ac:dyDescent="0.25">
      <c r="A164" s="1196"/>
      <c r="B164" s="1196"/>
      <c r="C164" s="1196"/>
      <c r="D164" s="1197"/>
      <c r="E164" s="1197"/>
      <c r="F164" s="1197"/>
      <c r="G164" s="1197"/>
      <c r="H164" s="1224"/>
      <c r="I164" s="2108" t="s">
        <v>1561</v>
      </c>
      <c r="J164" s="2108"/>
      <c r="K164" s="2108"/>
      <c r="L164" s="2108">
        <f>+L162+L163</f>
        <v>1157032981</v>
      </c>
      <c r="M164" s="2108"/>
      <c r="N164" s="1225"/>
      <c r="O164" s="1225"/>
      <c r="P164" s="1225"/>
      <c r="Q164" s="1225"/>
      <c r="R164" s="2108" t="s">
        <v>1561</v>
      </c>
      <c r="S164" s="2108"/>
      <c r="T164" s="2108"/>
      <c r="U164" s="2108">
        <f>+U162+U163</f>
        <v>1157032981</v>
      </c>
      <c r="V164" s="2108"/>
      <c r="W164" s="1224"/>
      <c r="X164" s="1224"/>
    </row>
    <row r="165" spans="1:24" x14ac:dyDescent="0.2">
      <c r="A165" s="348"/>
      <c r="B165" s="348"/>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348"/>
    </row>
    <row r="166" spans="1:24" x14ac:dyDescent="0.2">
      <c r="A166" s="348"/>
      <c r="B166" s="348"/>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row>
    <row r="167" spans="1:24" x14ac:dyDescent="0.2">
      <c r="A167" s="348"/>
      <c r="B167" s="348"/>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row>
    <row r="168" spans="1:24" x14ac:dyDescent="0.2">
      <c r="A168" s="348"/>
      <c r="B168" s="348"/>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row>
    <row r="169" spans="1:24" x14ac:dyDescent="0.2">
      <c r="A169" s="348"/>
      <c r="B169" s="348"/>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348"/>
    </row>
    <row r="170" spans="1:24" x14ac:dyDescent="0.2">
      <c r="A170" s="348"/>
      <c r="B170" s="348"/>
      <c r="C170" s="348"/>
      <c r="D170" s="348"/>
      <c r="E170" s="348"/>
      <c r="F170" s="348"/>
      <c r="G170" s="348"/>
      <c r="H170" s="348"/>
      <c r="I170" s="348"/>
      <c r="J170" s="348"/>
      <c r="K170" s="348"/>
      <c r="L170" s="348"/>
      <c r="M170" s="348"/>
      <c r="N170" s="348"/>
      <c r="O170" s="348"/>
      <c r="P170" s="348"/>
      <c r="Q170" s="348"/>
      <c r="R170" s="348"/>
      <c r="S170" s="348"/>
      <c r="T170" s="348"/>
      <c r="U170" s="348"/>
      <c r="V170" s="348"/>
      <c r="W170" s="348"/>
      <c r="X170" s="348"/>
    </row>
    <row r="171" spans="1:24" x14ac:dyDescent="0.2">
      <c r="A171" s="348"/>
      <c r="B171" s="348"/>
      <c r="C171" s="348"/>
      <c r="D171" s="348"/>
      <c r="E171" s="348"/>
      <c r="F171" s="348"/>
      <c r="G171" s="348"/>
      <c r="H171" s="348"/>
      <c r="I171" s="348"/>
      <c r="J171" s="348"/>
      <c r="K171" s="348"/>
      <c r="L171" s="348"/>
      <c r="M171" s="348"/>
      <c r="N171" s="348"/>
      <c r="O171" s="348"/>
      <c r="P171" s="348"/>
      <c r="Q171" s="348"/>
      <c r="R171" s="348"/>
      <c r="S171" s="348"/>
      <c r="T171" s="348"/>
      <c r="U171" s="348"/>
      <c r="V171" s="348"/>
      <c r="W171" s="348"/>
      <c r="X171" s="348"/>
    </row>
    <row r="172" spans="1:24" x14ac:dyDescent="0.2">
      <c r="A172" s="348"/>
      <c r="B172" s="348"/>
      <c r="C172" s="348"/>
      <c r="D172" s="348"/>
      <c r="E172" s="348"/>
      <c r="F172" s="348"/>
      <c r="G172" s="348"/>
      <c r="H172" s="348"/>
      <c r="I172" s="348"/>
      <c r="J172" s="348"/>
      <c r="K172" s="348"/>
      <c r="L172" s="348"/>
      <c r="M172" s="348"/>
      <c r="N172" s="348"/>
      <c r="O172" s="348"/>
      <c r="P172" s="348"/>
      <c r="Q172" s="348"/>
      <c r="R172" s="348"/>
      <c r="S172" s="348"/>
      <c r="T172" s="348"/>
      <c r="U172" s="348"/>
      <c r="V172" s="348"/>
      <c r="W172" s="348"/>
      <c r="X172" s="348"/>
    </row>
    <row r="173" spans="1:24" x14ac:dyDescent="0.2">
      <c r="A173" s="348"/>
      <c r="B173" s="348"/>
      <c r="C173" s="348"/>
      <c r="D173" s="348"/>
      <c r="E173" s="348"/>
      <c r="F173" s="348"/>
      <c r="G173" s="348"/>
      <c r="H173" s="348"/>
      <c r="I173" s="348"/>
      <c r="J173" s="348"/>
      <c r="K173" s="348"/>
      <c r="L173" s="348"/>
      <c r="M173" s="348"/>
      <c r="N173" s="348"/>
      <c r="O173" s="348"/>
      <c r="P173" s="348"/>
      <c r="Q173" s="348"/>
      <c r="R173" s="348"/>
      <c r="S173" s="348"/>
      <c r="T173" s="348"/>
      <c r="U173" s="348"/>
      <c r="V173" s="348"/>
      <c r="W173" s="348"/>
      <c r="X173" s="348"/>
    </row>
    <row r="174" spans="1:24" x14ac:dyDescent="0.2">
      <c r="A174" s="348"/>
      <c r="B174" s="348"/>
      <c r="C174" s="348"/>
      <c r="D174" s="348"/>
      <c r="E174" s="348"/>
      <c r="F174" s="348"/>
      <c r="G174" s="348"/>
      <c r="H174" s="348"/>
      <c r="I174" s="348"/>
      <c r="J174" s="348"/>
      <c r="K174" s="348"/>
      <c r="L174" s="348"/>
      <c r="M174" s="348"/>
      <c r="N174" s="348"/>
      <c r="O174" s="348"/>
      <c r="P174" s="348"/>
      <c r="Q174" s="348"/>
      <c r="R174" s="348"/>
      <c r="S174" s="348"/>
      <c r="T174" s="348"/>
      <c r="U174" s="348"/>
      <c r="V174" s="348"/>
      <c r="W174" s="348"/>
      <c r="X174" s="348"/>
    </row>
    <row r="175" spans="1:24" x14ac:dyDescent="0.2">
      <c r="A175" s="348"/>
      <c r="B175" s="348"/>
      <c r="C175" s="348"/>
      <c r="D175" s="348"/>
      <c r="E175" s="348"/>
      <c r="F175" s="348"/>
      <c r="G175" s="348"/>
      <c r="H175" s="348"/>
      <c r="I175" s="348"/>
      <c r="J175" s="348"/>
      <c r="K175" s="348"/>
      <c r="L175" s="348"/>
      <c r="M175" s="348"/>
      <c r="N175" s="348"/>
      <c r="O175" s="348"/>
      <c r="P175" s="348"/>
      <c r="Q175" s="348"/>
      <c r="R175" s="348"/>
      <c r="S175" s="348"/>
      <c r="T175" s="348"/>
      <c r="U175" s="348"/>
      <c r="V175" s="348"/>
      <c r="W175" s="348"/>
      <c r="X175" s="348"/>
    </row>
    <row r="176" spans="1:24" x14ac:dyDescent="0.2">
      <c r="A176" s="348"/>
      <c r="B176" s="348"/>
      <c r="C176" s="348"/>
      <c r="D176" s="348"/>
      <c r="E176" s="348"/>
      <c r="F176" s="348"/>
      <c r="G176" s="348"/>
      <c r="H176" s="348"/>
      <c r="I176" s="348"/>
      <c r="J176" s="348"/>
      <c r="K176" s="348"/>
      <c r="L176" s="348"/>
      <c r="M176" s="348"/>
      <c r="N176" s="348"/>
      <c r="O176" s="348"/>
      <c r="P176" s="348"/>
      <c r="Q176" s="348"/>
      <c r="R176" s="348"/>
      <c r="S176" s="348"/>
      <c r="T176" s="348"/>
      <c r="U176" s="348"/>
      <c r="V176" s="348"/>
      <c r="W176" s="348"/>
      <c r="X176" s="348"/>
    </row>
    <row r="177" spans="1:24" x14ac:dyDescent="0.2">
      <c r="A177" s="348"/>
      <c r="B177" s="348"/>
      <c r="C177" s="348"/>
      <c r="D177" s="348"/>
      <c r="E177" s="348"/>
      <c r="F177" s="348"/>
      <c r="G177" s="348"/>
      <c r="H177" s="348"/>
      <c r="I177" s="348"/>
      <c r="J177" s="348"/>
      <c r="K177" s="348"/>
      <c r="L177" s="348"/>
      <c r="M177" s="348"/>
      <c r="N177" s="348"/>
      <c r="O177" s="348"/>
      <c r="P177" s="348"/>
      <c r="Q177" s="348"/>
      <c r="R177" s="348"/>
      <c r="S177" s="348"/>
      <c r="T177" s="348"/>
      <c r="U177" s="348"/>
      <c r="V177" s="348"/>
      <c r="W177" s="348"/>
      <c r="X177" s="348"/>
    </row>
    <row r="178" spans="1:24" x14ac:dyDescent="0.2">
      <c r="A178" s="348"/>
      <c r="B178" s="348"/>
      <c r="C178" s="348"/>
      <c r="D178" s="348"/>
      <c r="E178" s="348"/>
      <c r="F178" s="348"/>
      <c r="G178" s="348"/>
      <c r="H178" s="348"/>
      <c r="I178" s="348"/>
      <c r="J178" s="348"/>
      <c r="K178" s="348"/>
      <c r="L178" s="348"/>
      <c r="M178" s="348"/>
      <c r="N178" s="348"/>
      <c r="O178" s="348"/>
      <c r="P178" s="348"/>
      <c r="Q178" s="348"/>
      <c r="R178" s="348"/>
      <c r="S178" s="348"/>
      <c r="T178" s="348"/>
      <c r="U178" s="348"/>
      <c r="V178" s="348"/>
      <c r="W178" s="348"/>
      <c r="X178" s="348"/>
    </row>
    <row r="179" spans="1:24" x14ac:dyDescent="0.2">
      <c r="A179" s="348"/>
      <c r="B179" s="348"/>
      <c r="C179" s="348"/>
      <c r="D179" s="348"/>
      <c r="E179" s="348"/>
      <c r="F179" s="348"/>
      <c r="G179" s="348"/>
      <c r="H179" s="348"/>
      <c r="I179" s="348"/>
      <c r="J179" s="348"/>
      <c r="K179" s="348"/>
      <c r="L179" s="348"/>
      <c r="M179" s="348"/>
      <c r="N179" s="348"/>
      <c r="O179" s="348"/>
      <c r="P179" s="348"/>
      <c r="Q179" s="348"/>
      <c r="R179" s="348"/>
      <c r="S179" s="348"/>
      <c r="T179" s="348"/>
      <c r="U179" s="348"/>
      <c r="V179" s="348"/>
      <c r="W179" s="348"/>
      <c r="X179" s="348"/>
    </row>
    <row r="180" spans="1:24" x14ac:dyDescent="0.2">
      <c r="A180" s="348"/>
      <c r="B180" s="348"/>
      <c r="C180" s="348"/>
      <c r="D180" s="348"/>
      <c r="E180" s="348"/>
      <c r="F180" s="348"/>
      <c r="G180" s="348"/>
      <c r="H180" s="348"/>
      <c r="I180" s="348"/>
      <c r="J180" s="348"/>
      <c r="K180" s="348"/>
      <c r="L180" s="348"/>
      <c r="M180" s="348"/>
      <c r="N180" s="348"/>
      <c r="O180" s="348"/>
      <c r="P180" s="348"/>
      <c r="Q180" s="348"/>
      <c r="R180" s="348"/>
      <c r="S180" s="348"/>
      <c r="T180" s="348"/>
      <c r="U180" s="348"/>
      <c r="V180" s="348"/>
      <c r="W180" s="348"/>
      <c r="X180" s="348"/>
    </row>
    <row r="181" spans="1:24" x14ac:dyDescent="0.2">
      <c r="A181" s="348"/>
      <c r="B181" s="348"/>
      <c r="C181" s="348"/>
      <c r="D181" s="348"/>
      <c r="E181" s="348"/>
      <c r="F181" s="348"/>
      <c r="G181" s="348"/>
      <c r="H181" s="348"/>
      <c r="I181" s="348"/>
      <c r="J181" s="348"/>
      <c r="K181" s="348"/>
      <c r="L181" s="348"/>
      <c r="M181" s="348"/>
      <c r="N181" s="348"/>
      <c r="O181" s="348"/>
      <c r="P181" s="348"/>
      <c r="Q181" s="348"/>
      <c r="R181" s="348"/>
      <c r="S181" s="348"/>
      <c r="T181" s="348"/>
      <c r="U181" s="348"/>
      <c r="V181" s="348"/>
      <c r="W181" s="348"/>
      <c r="X181" s="348"/>
    </row>
    <row r="182" spans="1:24" x14ac:dyDescent="0.2">
      <c r="A182" s="348"/>
      <c r="B182" s="348"/>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348"/>
    </row>
  </sheetData>
  <mergeCells count="162">
    <mergeCell ref="C127:C129"/>
    <mergeCell ref="B127:B129"/>
    <mergeCell ref="A127:A129"/>
    <mergeCell ref="A49:A51"/>
    <mergeCell ref="C42:C43"/>
    <mergeCell ref="B42:B43"/>
    <mergeCell ref="A42:A43"/>
    <mergeCell ref="C44:C48"/>
    <mergeCell ref="B44:B48"/>
    <mergeCell ref="A44:A48"/>
    <mergeCell ref="C87:C88"/>
    <mergeCell ref="B87:B88"/>
    <mergeCell ref="A87:A88"/>
    <mergeCell ref="C89:C91"/>
    <mergeCell ref="B89:B91"/>
    <mergeCell ref="A89:A91"/>
    <mergeCell ref="C94:C98"/>
    <mergeCell ref="B94:B98"/>
    <mergeCell ref="A94:A98"/>
    <mergeCell ref="C100:C101"/>
    <mergeCell ref="B100:B101"/>
    <mergeCell ref="C104:C105"/>
    <mergeCell ref="B104:B105"/>
    <mergeCell ref="A104:A105"/>
    <mergeCell ref="I74:K74"/>
    <mergeCell ref="G38:G39"/>
    <mergeCell ref="H38:O38"/>
    <mergeCell ref="B38:B39"/>
    <mergeCell ref="C38:C39"/>
    <mergeCell ref="D38:D39"/>
    <mergeCell ref="E38:E39"/>
    <mergeCell ref="F38:F39"/>
    <mergeCell ref="C49:C51"/>
    <mergeCell ref="B49:B51"/>
    <mergeCell ref="Q38:X38"/>
    <mergeCell ref="A100:A101"/>
    <mergeCell ref="C61:C64"/>
    <mergeCell ref="B61:B64"/>
    <mergeCell ref="A61:A64"/>
    <mergeCell ref="C55:C57"/>
    <mergeCell ref="B55:B57"/>
    <mergeCell ref="A55:A57"/>
    <mergeCell ref="U76:V76"/>
    <mergeCell ref="L74:M74"/>
    <mergeCell ref="R74:T74"/>
    <mergeCell ref="U74:V74"/>
    <mergeCell ref="L75:M75"/>
    <mergeCell ref="R75:T75"/>
    <mergeCell ref="U75:V75"/>
    <mergeCell ref="C65:C66"/>
    <mergeCell ref="B65:B66"/>
    <mergeCell ref="A65:A66"/>
    <mergeCell ref="I75:K75"/>
    <mergeCell ref="A70:C70"/>
    <mergeCell ref="C40:C41"/>
    <mergeCell ref="B40:B41"/>
    <mergeCell ref="A40:A41"/>
    <mergeCell ref="A38:A39"/>
    <mergeCell ref="A1:X1"/>
    <mergeCell ref="A3:X3"/>
    <mergeCell ref="A5:A6"/>
    <mergeCell ref="B5:B6"/>
    <mergeCell ref="C5:C6"/>
    <mergeCell ref="D5:D6"/>
    <mergeCell ref="E5:E6"/>
    <mergeCell ref="F5:F6"/>
    <mergeCell ref="G5:G6"/>
    <mergeCell ref="H5:O5"/>
    <mergeCell ref="Q5:X5"/>
    <mergeCell ref="C102:C103"/>
    <mergeCell ref="B102:B103"/>
    <mergeCell ref="A102:A103"/>
    <mergeCell ref="C7:C8"/>
    <mergeCell ref="B7:B8"/>
    <mergeCell ref="A7:A8"/>
    <mergeCell ref="C18:C21"/>
    <mergeCell ref="B18:B21"/>
    <mergeCell ref="A18:A21"/>
    <mergeCell ref="A24:C24"/>
    <mergeCell ref="A34:X34"/>
    <mergeCell ref="A36:X36"/>
    <mergeCell ref="I30:K30"/>
    <mergeCell ref="L30:M30"/>
    <mergeCell ref="R30:T30"/>
    <mergeCell ref="U30:V30"/>
    <mergeCell ref="I29:K29"/>
    <mergeCell ref="L29:M29"/>
    <mergeCell ref="I28:K28"/>
    <mergeCell ref="L28:M28"/>
    <mergeCell ref="R28:T28"/>
    <mergeCell ref="U28:V28"/>
    <mergeCell ref="R29:T29"/>
    <mergeCell ref="U29:V29"/>
    <mergeCell ref="R76:T76"/>
    <mergeCell ref="A81:X81"/>
    <mergeCell ref="A83:X83"/>
    <mergeCell ref="A85:A86"/>
    <mergeCell ref="B85:B86"/>
    <mergeCell ref="C85:C86"/>
    <mergeCell ref="D85:D86"/>
    <mergeCell ref="E85:E86"/>
    <mergeCell ref="F85:F86"/>
    <mergeCell ref="G85:G86"/>
    <mergeCell ref="H85:O85"/>
    <mergeCell ref="Q85:X85"/>
    <mergeCell ref="I76:K76"/>
    <mergeCell ref="L76:M76"/>
    <mergeCell ref="A121:X121"/>
    <mergeCell ref="A123:X123"/>
    <mergeCell ref="A125:A126"/>
    <mergeCell ref="B125:B126"/>
    <mergeCell ref="C125:C126"/>
    <mergeCell ref="D125:D126"/>
    <mergeCell ref="E125:E126"/>
    <mergeCell ref="F125:F126"/>
    <mergeCell ref="G125:G126"/>
    <mergeCell ref="H125:O125"/>
    <mergeCell ref="Q125:X125"/>
    <mergeCell ref="I113:K113"/>
    <mergeCell ref="L113:M113"/>
    <mergeCell ref="R113:T113"/>
    <mergeCell ref="U113:V113"/>
    <mergeCell ref="I114:K114"/>
    <mergeCell ref="L114:M114"/>
    <mergeCell ref="R114:T114"/>
    <mergeCell ref="U114:V114"/>
    <mergeCell ref="A108:C108"/>
    <mergeCell ref="I112:K112"/>
    <mergeCell ref="L112:M112"/>
    <mergeCell ref="R112:T112"/>
    <mergeCell ref="U112:V112"/>
    <mergeCell ref="R163:T163"/>
    <mergeCell ref="U163:V163"/>
    <mergeCell ref="I164:K164"/>
    <mergeCell ref="L164:M164"/>
    <mergeCell ref="R164:T164"/>
    <mergeCell ref="U164:V164"/>
    <mergeCell ref="A158:C158"/>
    <mergeCell ref="I162:K162"/>
    <mergeCell ref="L162:M162"/>
    <mergeCell ref="R162:T162"/>
    <mergeCell ref="U162:V162"/>
    <mergeCell ref="A144:A147"/>
    <mergeCell ref="C148:C149"/>
    <mergeCell ref="B148:B149"/>
    <mergeCell ref="A148:A149"/>
    <mergeCell ref="C130:C133"/>
    <mergeCell ref="B130:B133"/>
    <mergeCell ref="A130:A133"/>
    <mergeCell ref="I163:K163"/>
    <mergeCell ref="L163:M163"/>
    <mergeCell ref="C134:C135"/>
    <mergeCell ref="B134:B135"/>
    <mergeCell ref="A134:A135"/>
    <mergeCell ref="C139:C142"/>
    <mergeCell ref="B139:B142"/>
    <mergeCell ref="A139:A142"/>
    <mergeCell ref="C144:C147"/>
    <mergeCell ref="B144:B147"/>
    <mergeCell ref="C152:C156"/>
    <mergeCell ref="B152:B156"/>
    <mergeCell ref="A152:A156"/>
  </mergeCells>
  <pageMargins left="0.51181102362204722" right="0.51181102362204722" top="0.74803149606299213" bottom="0.74803149606299213" header="0.31496062992125984" footer="0.31496062992125984"/>
  <pageSetup paperSize="9" scale="52" orientation="landscape" r:id="rId1"/>
  <headerFooter>
    <oddHeader>&amp;C2023. évi költségvetés
&amp;RDunaharaszti Polgármesteri Hivatal előirányzat-módosítása</oddHeader>
    <oddFooter>&amp;C&amp;P/&amp;N</oddFooter>
  </headerFooter>
  <rowBreaks count="5" manualBreakCount="5">
    <brk id="30" max="23" man="1"/>
    <brk id="66" max="23" man="1"/>
    <brk id="105" max="23" man="1"/>
    <brk id="143" max="23" man="1"/>
    <brk id="172" max="2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X345"/>
  <sheetViews>
    <sheetView view="pageBreakPreview" topLeftCell="A303" zoomScale="90" zoomScaleNormal="100" zoomScaleSheetLayoutView="90" workbookViewId="0">
      <selection activeCell="Q331" sqref="Q331"/>
    </sheetView>
  </sheetViews>
  <sheetFormatPr defaultRowHeight="12.75" x14ac:dyDescent="0.2"/>
  <cols>
    <col min="1" max="1" width="5" customWidth="1"/>
    <col min="2" max="2" width="4.7109375" customWidth="1"/>
    <col min="3" max="3" width="29.28515625" customWidth="1"/>
    <col min="4" max="4" width="6.140625" customWidth="1"/>
    <col min="5" max="5" width="6.85546875" customWidth="1"/>
    <col min="6" max="6" width="5.42578125" customWidth="1"/>
    <col min="7" max="7" width="5.7109375" customWidth="1"/>
    <col min="8" max="8" width="11.85546875" customWidth="1"/>
    <col min="9" max="9" width="13.5703125" customWidth="1"/>
    <col min="10" max="10" width="12.85546875" customWidth="1"/>
    <col min="11" max="11" width="11" customWidth="1"/>
    <col min="12" max="12" width="11.85546875" customWidth="1"/>
    <col min="13" max="13" width="11.5703125" customWidth="1"/>
    <col min="14" max="14" width="11.28515625" customWidth="1"/>
    <col min="15" max="15" width="11.5703125" customWidth="1"/>
    <col min="16" max="16" width="11.85546875" customWidth="1"/>
    <col min="17" max="17" width="13.7109375" customWidth="1"/>
    <col min="18" max="18" width="13.42578125" customWidth="1"/>
    <col min="19" max="20" width="12.28515625" customWidth="1"/>
    <col min="21" max="21" width="11.28515625" customWidth="1"/>
    <col min="22" max="22" width="12.28515625" customWidth="1"/>
    <col min="23" max="23" width="11.42578125" customWidth="1"/>
    <col min="24" max="24" width="11.85546875" customWidth="1"/>
  </cols>
  <sheetData>
    <row r="1" spans="1:24" ht="15.75" x14ac:dyDescent="0.25">
      <c r="A1" s="2069" t="s">
        <v>2024</v>
      </c>
      <c r="B1" s="2069"/>
      <c r="C1" s="2069"/>
      <c r="D1" s="2069"/>
      <c r="E1" s="2069"/>
      <c r="F1" s="2069"/>
      <c r="G1" s="2069"/>
      <c r="H1" s="2069"/>
      <c r="I1" s="2069"/>
      <c r="J1" s="2069"/>
      <c r="K1" s="2069"/>
      <c r="L1" s="2069"/>
      <c r="M1" s="2069"/>
      <c r="N1" s="2069"/>
      <c r="O1" s="2069"/>
      <c r="P1" s="2069"/>
      <c r="Q1" s="2069"/>
      <c r="R1" s="2069"/>
      <c r="S1" s="2069"/>
      <c r="T1" s="2069"/>
      <c r="U1" s="2069"/>
      <c r="V1" s="2069"/>
      <c r="W1" s="2069"/>
      <c r="X1" s="2069"/>
    </row>
    <row r="2" spans="1:24" ht="15" x14ac:dyDescent="0.25">
      <c r="A2" s="1195"/>
      <c r="B2" s="1195"/>
      <c r="C2" s="1194"/>
      <c r="D2" s="1195"/>
      <c r="E2" s="1195"/>
      <c r="F2" s="1195"/>
      <c r="G2" s="1195"/>
      <c r="H2" s="1195"/>
      <c r="I2" s="1195"/>
      <c r="J2" s="1195"/>
      <c r="K2" s="1195"/>
      <c r="L2" s="1195"/>
      <c r="M2" s="1195"/>
      <c r="N2" s="1195"/>
      <c r="O2" s="1195"/>
      <c r="P2" s="1195"/>
      <c r="Q2" s="1195"/>
      <c r="R2" s="1195"/>
      <c r="S2" s="1195"/>
      <c r="T2" s="1195"/>
      <c r="U2" s="1195"/>
      <c r="V2" s="1195"/>
      <c r="W2" s="1195"/>
      <c r="X2" s="1195"/>
    </row>
    <row r="3" spans="1:24" ht="15" x14ac:dyDescent="0.25">
      <c r="A3" s="2112" t="s">
        <v>25</v>
      </c>
      <c r="B3" s="2112"/>
      <c r="C3" s="2112"/>
      <c r="D3" s="2112"/>
      <c r="E3" s="2112"/>
      <c r="F3" s="2112"/>
      <c r="G3" s="2112"/>
      <c r="H3" s="2112"/>
      <c r="I3" s="2112"/>
      <c r="J3" s="2112"/>
      <c r="K3" s="2112"/>
      <c r="L3" s="2112"/>
      <c r="M3" s="2112"/>
      <c r="N3" s="2112"/>
      <c r="O3" s="2112"/>
      <c r="P3" s="2112"/>
      <c r="Q3" s="2112"/>
      <c r="R3" s="2112"/>
      <c r="S3" s="2112"/>
      <c r="T3" s="2112"/>
      <c r="U3" s="2112"/>
      <c r="V3" s="2112"/>
      <c r="W3" s="2112"/>
      <c r="X3" s="2112"/>
    </row>
    <row r="4" spans="1:24" ht="15" x14ac:dyDescent="0.25">
      <c r="A4" s="1226"/>
      <c r="B4" s="1226"/>
      <c r="C4" s="1196"/>
      <c r="D4" s="1197"/>
      <c r="E4" s="1197"/>
      <c r="F4" s="1197"/>
      <c r="G4" s="1197"/>
      <c r="H4" s="1197"/>
      <c r="I4" s="1197"/>
      <c r="J4" s="1197"/>
      <c r="K4" s="1197"/>
      <c r="L4" s="1197"/>
      <c r="M4" s="1197"/>
      <c r="N4" s="1197"/>
      <c r="O4" s="1197"/>
      <c r="P4" s="1197"/>
      <c r="Q4" s="1198"/>
      <c r="R4" s="1197"/>
      <c r="S4" s="1197"/>
      <c r="T4" s="1197"/>
      <c r="U4" s="1197"/>
      <c r="V4" s="1197"/>
      <c r="W4" s="1197"/>
      <c r="X4" s="1197"/>
    </row>
    <row r="5" spans="1:24" ht="15" x14ac:dyDescent="0.25">
      <c r="A5" s="2113" t="s">
        <v>37</v>
      </c>
      <c r="B5" s="2093" t="s">
        <v>1726</v>
      </c>
      <c r="C5" s="2115" t="s">
        <v>2</v>
      </c>
      <c r="D5" s="2117" t="s">
        <v>1727</v>
      </c>
      <c r="E5" s="2117" t="s">
        <v>117</v>
      </c>
      <c r="F5" s="2117" t="s">
        <v>1728</v>
      </c>
      <c r="G5" s="2117" t="s">
        <v>1729</v>
      </c>
      <c r="H5" s="2119" t="s">
        <v>1730</v>
      </c>
      <c r="I5" s="2119"/>
      <c r="J5" s="2119"/>
      <c r="K5" s="2119"/>
      <c r="L5" s="2119"/>
      <c r="M5" s="2119"/>
      <c r="N5" s="2119"/>
      <c r="O5" s="2133"/>
      <c r="P5" s="1661"/>
      <c r="Q5" s="2120" t="s">
        <v>1731</v>
      </c>
      <c r="R5" s="2119"/>
      <c r="S5" s="2119"/>
      <c r="T5" s="2119"/>
      <c r="U5" s="2119"/>
      <c r="V5" s="2119"/>
      <c r="W5" s="2119"/>
      <c r="X5" s="2121"/>
    </row>
    <row r="6" spans="1:24" ht="84.75" customHeight="1" x14ac:dyDescent="0.2">
      <c r="A6" s="2114"/>
      <c r="B6" s="2094"/>
      <c r="C6" s="2116"/>
      <c r="D6" s="2118"/>
      <c r="E6" s="2118"/>
      <c r="F6" s="2118"/>
      <c r="G6" s="2118"/>
      <c r="H6" s="1154" t="s">
        <v>2382</v>
      </c>
      <c r="I6" s="1154" t="s">
        <v>1763</v>
      </c>
      <c r="J6" s="1154" t="s">
        <v>1764</v>
      </c>
      <c r="K6" s="1154" t="s">
        <v>1765</v>
      </c>
      <c r="L6" s="1154" t="s">
        <v>1766</v>
      </c>
      <c r="M6" s="1154" t="s">
        <v>1767</v>
      </c>
      <c r="N6" s="1154" t="s">
        <v>1757</v>
      </c>
      <c r="O6" s="1157" t="s">
        <v>1739</v>
      </c>
      <c r="P6" s="1159" t="s">
        <v>1740</v>
      </c>
      <c r="Q6" s="1227" t="s">
        <v>1768</v>
      </c>
      <c r="R6" s="1154" t="s">
        <v>1769</v>
      </c>
      <c r="S6" s="1154" t="s">
        <v>1770</v>
      </c>
      <c r="T6" s="1154" t="s">
        <v>1771</v>
      </c>
      <c r="U6" s="1154" t="s">
        <v>1745</v>
      </c>
      <c r="V6" s="1154" t="s">
        <v>1772</v>
      </c>
      <c r="W6" s="1154" t="s">
        <v>1747</v>
      </c>
      <c r="X6" s="1159" t="s">
        <v>1773</v>
      </c>
    </row>
    <row r="7" spans="1:24" ht="17.25" customHeight="1" x14ac:dyDescent="0.2">
      <c r="A7" s="2124" t="s">
        <v>188</v>
      </c>
      <c r="B7" s="2123" t="s">
        <v>229</v>
      </c>
      <c r="C7" s="2122" t="s">
        <v>1830</v>
      </c>
      <c r="D7" s="1201" t="s">
        <v>1831</v>
      </c>
      <c r="E7" s="1202">
        <v>102031</v>
      </c>
      <c r="F7" s="1243" t="s">
        <v>1499</v>
      </c>
      <c r="G7" s="1202" t="s">
        <v>1828</v>
      </c>
      <c r="H7" s="1229"/>
      <c r="I7" s="1229"/>
      <c r="J7" s="1229"/>
      <c r="K7" s="1229"/>
      <c r="L7" s="1229"/>
      <c r="M7" s="1229"/>
      <c r="N7" s="1229"/>
      <c r="O7" s="1229"/>
      <c r="P7" s="1230"/>
      <c r="Q7" s="1231"/>
      <c r="R7" s="1229"/>
      <c r="S7" s="1229"/>
      <c r="T7" s="1229">
        <f>-133540-1514476-27260028-7772447-103580</f>
        <v>-36784071</v>
      </c>
      <c r="U7" s="1229"/>
      <c r="V7" s="1229"/>
      <c r="W7" s="1229"/>
      <c r="X7" s="1230"/>
    </row>
    <row r="8" spans="1:24" ht="17.25" customHeight="1" x14ac:dyDescent="0.2">
      <c r="A8" s="2100"/>
      <c r="B8" s="2107"/>
      <c r="C8" s="2106"/>
      <c r="D8" s="1206" t="s">
        <v>1831</v>
      </c>
      <c r="E8" s="1206" t="s">
        <v>167</v>
      </c>
      <c r="F8" s="1232" t="s">
        <v>133</v>
      </c>
      <c r="G8" s="1232" t="s">
        <v>1829</v>
      </c>
      <c r="H8" s="1233"/>
      <c r="I8" s="1233"/>
      <c r="J8" s="1233"/>
      <c r="K8" s="1233"/>
      <c r="L8" s="1233"/>
      <c r="M8" s="1233"/>
      <c r="N8" s="1233"/>
      <c r="O8" s="1233"/>
      <c r="P8" s="1234"/>
      <c r="Q8" s="1235"/>
      <c r="R8" s="1233"/>
      <c r="S8" s="1233"/>
      <c r="T8" s="1233">
        <f>133540+90987</f>
        <v>224527</v>
      </c>
      <c r="U8" s="1233"/>
      <c r="V8" s="1233"/>
      <c r="W8" s="1233"/>
      <c r="X8" s="1234"/>
    </row>
    <row r="9" spans="1:24" ht="17.25" customHeight="1" x14ac:dyDescent="0.2">
      <c r="A9" s="2100"/>
      <c r="B9" s="2107"/>
      <c r="C9" s="2106"/>
      <c r="D9" s="1206" t="s">
        <v>1831</v>
      </c>
      <c r="E9" s="1206" t="s">
        <v>557</v>
      </c>
      <c r="F9" s="1232" t="s">
        <v>68</v>
      </c>
      <c r="G9" s="1232" t="s">
        <v>1829</v>
      </c>
      <c r="H9" s="1233"/>
      <c r="I9" s="1233"/>
      <c r="J9" s="1233"/>
      <c r="K9" s="1233"/>
      <c r="L9" s="1233"/>
      <c r="M9" s="1233"/>
      <c r="N9" s="1233"/>
      <c r="O9" s="1233"/>
      <c r="P9" s="1234"/>
      <c r="Q9" s="1235"/>
      <c r="R9" s="1233"/>
      <c r="S9" s="1233"/>
      <c r="T9" s="1233">
        <f>3186950+860408</f>
        <v>4047358</v>
      </c>
      <c r="U9" s="1233"/>
      <c r="V9" s="1233"/>
      <c r="W9" s="1233"/>
      <c r="X9" s="1234"/>
    </row>
    <row r="10" spans="1:24" ht="17.25" customHeight="1" x14ac:dyDescent="0.2">
      <c r="A10" s="2100"/>
      <c r="B10" s="2107"/>
      <c r="C10" s="2106"/>
      <c r="D10" s="1206" t="s">
        <v>1831</v>
      </c>
      <c r="E10" s="1206" t="s">
        <v>557</v>
      </c>
      <c r="F10" s="1232" t="s">
        <v>154</v>
      </c>
      <c r="G10" s="1232" t="s">
        <v>1829</v>
      </c>
      <c r="H10" s="1233"/>
      <c r="I10" s="1233"/>
      <c r="J10" s="1233"/>
      <c r="K10" s="1233"/>
      <c r="L10" s="1233"/>
      <c r="M10" s="1233"/>
      <c r="N10" s="1233"/>
      <c r="O10" s="1233"/>
      <c r="P10" s="1234"/>
      <c r="Q10" s="1235"/>
      <c r="R10" s="1233"/>
      <c r="S10" s="1233"/>
      <c r="T10" s="1233">
        <f>23353330+6308805+12593</f>
        <v>29674728</v>
      </c>
      <c r="U10" s="1233"/>
      <c r="V10" s="1233"/>
      <c r="W10" s="1233"/>
      <c r="X10" s="1234"/>
    </row>
    <row r="11" spans="1:24" ht="17.25" customHeight="1" x14ac:dyDescent="0.2">
      <c r="A11" s="2100"/>
      <c r="B11" s="2107"/>
      <c r="C11" s="2106"/>
      <c r="D11" s="1206" t="s">
        <v>1831</v>
      </c>
      <c r="E11" s="1206" t="s">
        <v>557</v>
      </c>
      <c r="F11" s="1232" t="s">
        <v>155</v>
      </c>
      <c r="G11" s="1232" t="s">
        <v>1829</v>
      </c>
      <c r="H11" s="1233"/>
      <c r="I11" s="1233"/>
      <c r="J11" s="1233"/>
      <c r="K11" s="1233"/>
      <c r="L11" s="1233"/>
      <c r="M11" s="1233"/>
      <c r="N11" s="1233"/>
      <c r="O11" s="1233"/>
      <c r="P11" s="1234"/>
      <c r="Q11" s="1235"/>
      <c r="R11" s="1233"/>
      <c r="S11" s="1233"/>
      <c r="T11" s="1233">
        <f>549540+148372</f>
        <v>697912</v>
      </c>
      <c r="U11" s="1233"/>
      <c r="V11" s="1233"/>
      <c r="W11" s="1233"/>
      <c r="X11" s="1234"/>
    </row>
    <row r="12" spans="1:24" ht="17.25" customHeight="1" x14ac:dyDescent="0.2">
      <c r="A12" s="2100"/>
      <c r="B12" s="2107"/>
      <c r="C12" s="2106"/>
      <c r="D12" s="1206" t="s">
        <v>1831</v>
      </c>
      <c r="E12" s="1206" t="s">
        <v>558</v>
      </c>
      <c r="F12" s="1232" t="s">
        <v>165</v>
      </c>
      <c r="G12" s="1232" t="s">
        <v>1829</v>
      </c>
      <c r="H12" s="1233"/>
      <c r="I12" s="1233"/>
      <c r="J12" s="1233"/>
      <c r="K12" s="1233"/>
      <c r="L12" s="1233"/>
      <c r="M12" s="1233"/>
      <c r="N12" s="1233"/>
      <c r="O12" s="1233"/>
      <c r="P12" s="1234"/>
      <c r="Q12" s="1235"/>
      <c r="R12" s="1233"/>
      <c r="S12" s="1233"/>
      <c r="T12" s="1233">
        <f>167790+45304</f>
        <v>213094</v>
      </c>
      <c r="U12" s="1233"/>
      <c r="V12" s="1233"/>
      <c r="W12" s="1233"/>
      <c r="X12" s="1234"/>
    </row>
    <row r="13" spans="1:24" ht="17.25" customHeight="1" x14ac:dyDescent="0.2">
      <c r="A13" s="2100"/>
      <c r="B13" s="2107"/>
      <c r="C13" s="2106"/>
      <c r="D13" s="1206" t="s">
        <v>1831</v>
      </c>
      <c r="E13" s="1206" t="s">
        <v>1399</v>
      </c>
      <c r="F13" s="1232" t="s">
        <v>1832</v>
      </c>
      <c r="G13" s="1232" t="s">
        <v>1829</v>
      </c>
      <c r="H13" s="1233"/>
      <c r="I13" s="1233"/>
      <c r="J13" s="1233"/>
      <c r="K13" s="1233"/>
      <c r="L13" s="1233"/>
      <c r="M13" s="1233"/>
      <c r="N13" s="1233"/>
      <c r="O13" s="1233"/>
      <c r="P13" s="1234"/>
      <c r="Q13" s="1235"/>
      <c r="R13" s="1233"/>
      <c r="S13" s="1233"/>
      <c r="T13" s="1233">
        <f>2418+652</f>
        <v>3070</v>
      </c>
      <c r="U13" s="1233"/>
      <c r="V13" s="1233"/>
      <c r="W13" s="1233"/>
      <c r="X13" s="1234"/>
    </row>
    <row r="14" spans="1:24" ht="17.25" customHeight="1" x14ac:dyDescent="0.2">
      <c r="A14" s="2101"/>
      <c r="B14" s="2105"/>
      <c r="C14" s="2103"/>
      <c r="D14" s="1206" t="s">
        <v>1831</v>
      </c>
      <c r="E14" s="1206" t="s">
        <v>556</v>
      </c>
      <c r="F14" s="1232" t="s">
        <v>830</v>
      </c>
      <c r="G14" s="1232" t="s">
        <v>1829</v>
      </c>
      <c r="H14" s="1233"/>
      <c r="I14" s="1233"/>
      <c r="J14" s="1233"/>
      <c r="K14" s="1233"/>
      <c r="L14" s="1233"/>
      <c r="M14" s="1233"/>
      <c r="N14" s="1233"/>
      <c r="O14" s="1233"/>
      <c r="P14" s="1234"/>
      <c r="Q14" s="1235"/>
      <c r="R14" s="1233"/>
      <c r="S14" s="1233"/>
      <c r="T14" s="1233">
        <f>1514476+408906</f>
        <v>1923382</v>
      </c>
      <c r="U14" s="1233"/>
      <c r="V14" s="1233"/>
      <c r="W14" s="1233"/>
      <c r="X14" s="1234"/>
    </row>
    <row r="15" spans="1:24" ht="18" customHeight="1" x14ac:dyDescent="0.2">
      <c r="A15" s="2099" t="s">
        <v>189</v>
      </c>
      <c r="B15" s="2104" t="s">
        <v>230</v>
      </c>
      <c r="C15" s="2102" t="s">
        <v>1836</v>
      </c>
      <c r="D15" s="1206" t="s">
        <v>1831</v>
      </c>
      <c r="E15" s="1206" t="s">
        <v>556</v>
      </c>
      <c r="F15" s="1232" t="s">
        <v>91</v>
      </c>
      <c r="G15" s="1232" t="s">
        <v>1837</v>
      </c>
      <c r="H15" s="1233">
        <f>-2992212+22212+2970000</f>
        <v>0</v>
      </c>
      <c r="I15" s="1245"/>
      <c r="J15" s="1245"/>
      <c r="K15" s="1245"/>
      <c r="L15" s="1245"/>
      <c r="M15" s="1245"/>
      <c r="N15" s="1245"/>
      <c r="O15" s="1245"/>
      <c r="P15" s="1246"/>
      <c r="Q15" s="1247"/>
      <c r="R15" s="1245"/>
      <c r="S15" s="1245"/>
      <c r="T15" s="1245"/>
      <c r="U15" s="1245"/>
      <c r="V15" s="1245"/>
      <c r="W15" s="1245"/>
      <c r="X15" s="1246"/>
    </row>
    <row r="16" spans="1:24" ht="18" customHeight="1" x14ac:dyDescent="0.2">
      <c r="A16" s="2100"/>
      <c r="B16" s="2107"/>
      <c r="C16" s="2106"/>
      <c r="D16" s="1206" t="s">
        <v>1831</v>
      </c>
      <c r="E16" s="1206" t="s">
        <v>510</v>
      </c>
      <c r="F16" s="1232" t="s">
        <v>132</v>
      </c>
      <c r="G16" s="1232" t="s">
        <v>1837</v>
      </c>
      <c r="H16" s="1233">
        <f>-5108+5108</f>
        <v>0</v>
      </c>
      <c r="I16" s="1245"/>
      <c r="J16" s="1245"/>
      <c r="K16" s="1245"/>
      <c r="L16" s="1245"/>
      <c r="M16" s="1245"/>
      <c r="N16" s="1245"/>
      <c r="O16" s="1245"/>
      <c r="P16" s="1246"/>
      <c r="Q16" s="1247"/>
      <c r="R16" s="1245"/>
      <c r="S16" s="1245"/>
      <c r="T16" s="1245"/>
      <c r="U16" s="1245"/>
      <c r="V16" s="1245"/>
      <c r="W16" s="1245"/>
      <c r="X16" s="1246"/>
    </row>
    <row r="17" spans="1:24" ht="18" customHeight="1" x14ac:dyDescent="0.2">
      <c r="A17" s="2100"/>
      <c r="B17" s="2107"/>
      <c r="C17" s="2106"/>
      <c r="D17" s="1206" t="s">
        <v>1831</v>
      </c>
      <c r="E17" s="1206" t="s">
        <v>394</v>
      </c>
      <c r="F17" s="1232" t="s">
        <v>151</v>
      </c>
      <c r="G17" s="1232" t="s">
        <v>1837</v>
      </c>
      <c r="H17" s="1233">
        <f>-75000+75000</f>
        <v>0</v>
      </c>
      <c r="I17" s="1245"/>
      <c r="J17" s="1245"/>
      <c r="K17" s="1245"/>
      <c r="L17" s="1245"/>
      <c r="M17" s="1245"/>
      <c r="N17" s="1245"/>
      <c r="O17" s="1245"/>
      <c r="P17" s="1246"/>
      <c r="Q17" s="1247"/>
      <c r="R17" s="1245"/>
      <c r="S17" s="1245"/>
      <c r="T17" s="1245"/>
      <c r="U17" s="1245"/>
      <c r="V17" s="1245"/>
      <c r="W17" s="1245"/>
      <c r="X17" s="1246"/>
    </row>
    <row r="18" spans="1:24" ht="18" customHeight="1" x14ac:dyDescent="0.2">
      <c r="A18" s="2100"/>
      <c r="B18" s="2107"/>
      <c r="C18" s="2106"/>
      <c r="D18" s="1206" t="s">
        <v>1831</v>
      </c>
      <c r="E18" s="1206" t="s">
        <v>166</v>
      </c>
      <c r="F18" s="1232" t="s">
        <v>152</v>
      </c>
      <c r="G18" s="1232" t="s">
        <v>1837</v>
      </c>
      <c r="H18" s="1233">
        <f>-168225+3825+164400</f>
        <v>0</v>
      </c>
      <c r="I18" s="1245"/>
      <c r="J18" s="1245"/>
      <c r="K18" s="1245"/>
      <c r="L18" s="1245"/>
      <c r="M18" s="1245"/>
      <c r="N18" s="1245"/>
      <c r="O18" s="1245"/>
      <c r="P18" s="1246"/>
      <c r="Q18" s="1247"/>
      <c r="R18" s="1245"/>
      <c r="S18" s="1245"/>
      <c r="T18" s="1245"/>
      <c r="U18" s="1245"/>
      <c r="V18" s="1245"/>
      <c r="W18" s="1245"/>
      <c r="X18" s="1246"/>
    </row>
    <row r="19" spans="1:24" ht="18" customHeight="1" x14ac:dyDescent="0.2">
      <c r="A19" s="2100"/>
      <c r="B19" s="2107"/>
      <c r="C19" s="2106"/>
      <c r="D19" s="1206" t="s">
        <v>1831</v>
      </c>
      <c r="E19" s="1206" t="s">
        <v>514</v>
      </c>
      <c r="F19" s="1232" t="s">
        <v>466</v>
      </c>
      <c r="G19" s="1232" t="s">
        <v>1837</v>
      </c>
      <c r="H19" s="1233">
        <f>-3762+3762</f>
        <v>0</v>
      </c>
      <c r="I19" s="1245"/>
      <c r="J19" s="1245"/>
      <c r="K19" s="1245"/>
      <c r="L19" s="1245"/>
      <c r="M19" s="1245"/>
      <c r="N19" s="1245"/>
      <c r="O19" s="1245"/>
      <c r="P19" s="1246"/>
      <c r="Q19" s="1247"/>
      <c r="R19" s="1245"/>
      <c r="S19" s="1245"/>
      <c r="T19" s="1245"/>
      <c r="U19" s="1245"/>
      <c r="V19" s="1245"/>
      <c r="W19" s="1245"/>
      <c r="X19" s="1246"/>
    </row>
    <row r="20" spans="1:24" ht="18" customHeight="1" x14ac:dyDescent="0.2">
      <c r="A20" s="2100"/>
      <c r="B20" s="2107"/>
      <c r="C20" s="2106"/>
      <c r="D20" s="1206" t="s">
        <v>1831</v>
      </c>
      <c r="E20" s="1206" t="s">
        <v>168</v>
      </c>
      <c r="F20" s="1232" t="s">
        <v>153</v>
      </c>
      <c r="G20" s="1232" t="s">
        <v>1837</v>
      </c>
      <c r="H20" s="1233">
        <f>-49227+13371+35856</f>
        <v>0</v>
      </c>
      <c r="I20" s="1245"/>
      <c r="J20" s="1245"/>
      <c r="K20" s="1245"/>
      <c r="L20" s="1245"/>
      <c r="M20" s="1245"/>
      <c r="N20" s="1245"/>
      <c r="O20" s="1245"/>
      <c r="P20" s="1246"/>
      <c r="Q20" s="1247"/>
      <c r="R20" s="1245"/>
      <c r="S20" s="1245"/>
      <c r="T20" s="1245"/>
      <c r="U20" s="1245"/>
      <c r="V20" s="1245"/>
      <c r="W20" s="1245"/>
      <c r="X20" s="1246"/>
    </row>
    <row r="21" spans="1:24" ht="17.25" customHeight="1" x14ac:dyDescent="0.2">
      <c r="A21" s="2101"/>
      <c r="B21" s="2105"/>
      <c r="C21" s="2103"/>
      <c r="D21" s="1206" t="s">
        <v>1831</v>
      </c>
      <c r="E21" s="1206" t="s">
        <v>169</v>
      </c>
      <c r="F21" s="1232" t="s">
        <v>67</v>
      </c>
      <c r="G21" s="1232" t="s">
        <v>1837</v>
      </c>
      <c r="H21" s="1233">
        <f>-10234+10234</f>
        <v>0</v>
      </c>
      <c r="I21" s="1245"/>
      <c r="J21" s="1245"/>
      <c r="K21" s="1245"/>
      <c r="L21" s="1245"/>
      <c r="M21" s="1245"/>
      <c r="N21" s="1245"/>
      <c r="O21" s="1245"/>
      <c r="P21" s="1246"/>
      <c r="Q21" s="1247"/>
      <c r="R21" s="1245"/>
      <c r="S21" s="1245"/>
      <c r="T21" s="1245"/>
      <c r="U21" s="1245"/>
      <c r="V21" s="1245"/>
      <c r="W21" s="1245"/>
      <c r="X21" s="1246"/>
    </row>
    <row r="22" spans="1:24" ht="17.25" customHeight="1" x14ac:dyDescent="0.2">
      <c r="A22" s="2099" t="s">
        <v>190</v>
      </c>
      <c r="B22" s="2104" t="s">
        <v>1842</v>
      </c>
      <c r="C22" s="2102" t="s">
        <v>1841</v>
      </c>
      <c r="D22" s="1206" t="s">
        <v>1831</v>
      </c>
      <c r="E22" s="1206" t="s">
        <v>556</v>
      </c>
      <c r="F22" s="1232" t="s">
        <v>91</v>
      </c>
      <c r="G22" s="1232" t="s">
        <v>1837</v>
      </c>
      <c r="H22" s="1233">
        <f>-38163+18900+19263</f>
        <v>0</v>
      </c>
      <c r="I22" s="1245"/>
      <c r="J22" s="1245"/>
      <c r="K22" s="1245"/>
      <c r="L22" s="1245"/>
      <c r="M22" s="1245"/>
      <c r="N22" s="1245"/>
      <c r="O22" s="1245"/>
      <c r="P22" s="1246"/>
      <c r="Q22" s="1247"/>
      <c r="R22" s="1245"/>
      <c r="S22" s="1245"/>
      <c r="T22" s="1245"/>
      <c r="U22" s="1245"/>
      <c r="V22" s="1245"/>
      <c r="W22" s="1245"/>
      <c r="X22" s="1246"/>
    </row>
    <row r="23" spans="1:24" ht="17.25" customHeight="1" x14ac:dyDescent="0.2">
      <c r="A23" s="2100"/>
      <c r="B23" s="2107"/>
      <c r="C23" s="2106"/>
      <c r="D23" s="1206" t="s">
        <v>1831</v>
      </c>
      <c r="E23" s="1206" t="s">
        <v>510</v>
      </c>
      <c r="F23" s="1232" t="s">
        <v>132</v>
      </c>
      <c r="G23" s="1232" t="s">
        <v>1837</v>
      </c>
      <c r="H23" s="1233">
        <f>-5108+5108</f>
        <v>0</v>
      </c>
      <c r="I23" s="1245"/>
      <c r="J23" s="1245"/>
      <c r="K23" s="1245"/>
      <c r="L23" s="1245"/>
      <c r="M23" s="1245"/>
      <c r="N23" s="1245"/>
      <c r="O23" s="1245"/>
      <c r="P23" s="1246"/>
      <c r="Q23" s="1247"/>
      <c r="R23" s="1245"/>
      <c r="S23" s="1245"/>
      <c r="T23" s="1245"/>
      <c r="U23" s="1245"/>
      <c r="V23" s="1245"/>
      <c r="W23" s="1245"/>
      <c r="X23" s="1246"/>
    </row>
    <row r="24" spans="1:24" ht="17.25" customHeight="1" x14ac:dyDescent="0.2">
      <c r="A24" s="2100"/>
      <c r="B24" s="2107"/>
      <c r="C24" s="2106"/>
      <c r="D24" s="1206" t="s">
        <v>1831</v>
      </c>
      <c r="E24" s="1206" t="s">
        <v>394</v>
      </c>
      <c r="F24" s="1232" t="s">
        <v>151</v>
      </c>
      <c r="G24" s="1232" t="s">
        <v>1837</v>
      </c>
      <c r="H24" s="1233">
        <f>-107800+107800</f>
        <v>0</v>
      </c>
      <c r="I24" s="1245"/>
      <c r="J24" s="1245"/>
      <c r="K24" s="1245"/>
      <c r="L24" s="1245"/>
      <c r="M24" s="1245"/>
      <c r="N24" s="1245"/>
      <c r="O24" s="1245"/>
      <c r="P24" s="1246"/>
      <c r="Q24" s="1247"/>
      <c r="R24" s="1245"/>
      <c r="S24" s="1245"/>
      <c r="T24" s="1245"/>
      <c r="U24" s="1245"/>
      <c r="V24" s="1245"/>
      <c r="W24" s="1245"/>
      <c r="X24" s="1246"/>
    </row>
    <row r="25" spans="1:24" ht="17.25" customHeight="1" x14ac:dyDescent="0.2">
      <c r="A25" s="2100"/>
      <c r="B25" s="2107"/>
      <c r="C25" s="2106"/>
      <c r="D25" s="1206" t="s">
        <v>1831</v>
      </c>
      <c r="E25" s="1206" t="s">
        <v>166</v>
      </c>
      <c r="F25" s="1232" t="s">
        <v>152</v>
      </c>
      <c r="G25" s="1232" t="s">
        <v>1837</v>
      </c>
      <c r="H25" s="1233">
        <f>-353625+27600+3375+322650</f>
        <v>0</v>
      </c>
      <c r="I25" s="1245"/>
      <c r="J25" s="1245"/>
      <c r="K25" s="1245"/>
      <c r="L25" s="1245"/>
      <c r="M25" s="1245"/>
      <c r="N25" s="1245"/>
      <c r="O25" s="1245"/>
      <c r="P25" s="1246"/>
      <c r="Q25" s="1247"/>
      <c r="R25" s="1245"/>
      <c r="S25" s="1245"/>
      <c r="T25" s="1245"/>
      <c r="U25" s="1245"/>
      <c r="V25" s="1245"/>
      <c r="W25" s="1245"/>
      <c r="X25" s="1246"/>
    </row>
    <row r="26" spans="1:24" ht="17.25" customHeight="1" x14ac:dyDescent="0.2">
      <c r="A26" s="2100"/>
      <c r="B26" s="2107"/>
      <c r="C26" s="2106"/>
      <c r="D26" s="1206" t="s">
        <v>1831</v>
      </c>
      <c r="E26" s="1206" t="s">
        <v>761</v>
      </c>
      <c r="F26" s="1232" t="s">
        <v>135</v>
      </c>
      <c r="G26" s="1232" t="s">
        <v>1837</v>
      </c>
      <c r="H26" s="1233">
        <f>-190000+190000</f>
        <v>0</v>
      </c>
      <c r="I26" s="1245"/>
      <c r="J26" s="1245"/>
      <c r="K26" s="1245"/>
      <c r="L26" s="1245"/>
      <c r="M26" s="1245"/>
      <c r="N26" s="1245"/>
      <c r="O26" s="1245"/>
      <c r="P26" s="1246"/>
      <c r="Q26" s="1247"/>
      <c r="R26" s="1245"/>
      <c r="S26" s="1245"/>
      <c r="T26" s="1245"/>
      <c r="U26" s="1245"/>
      <c r="V26" s="1245"/>
      <c r="W26" s="1245"/>
      <c r="X26" s="1246"/>
    </row>
    <row r="27" spans="1:24" ht="17.25" customHeight="1" x14ac:dyDescent="0.2">
      <c r="A27" s="2100"/>
      <c r="B27" s="2107"/>
      <c r="C27" s="2106"/>
      <c r="D27" s="1206" t="s">
        <v>1831</v>
      </c>
      <c r="E27" s="1206" t="s">
        <v>514</v>
      </c>
      <c r="F27" s="1232" t="s">
        <v>466</v>
      </c>
      <c r="G27" s="1232" t="s">
        <v>1837</v>
      </c>
      <c r="H27" s="1233">
        <f>-7524+7524</f>
        <v>0</v>
      </c>
      <c r="I27" s="1245"/>
      <c r="J27" s="1245"/>
      <c r="K27" s="1245"/>
      <c r="L27" s="1245"/>
      <c r="M27" s="1245"/>
      <c r="N27" s="1245"/>
      <c r="O27" s="1245"/>
      <c r="P27" s="1246"/>
      <c r="Q27" s="1247"/>
      <c r="R27" s="1245"/>
      <c r="S27" s="1245"/>
      <c r="T27" s="1245"/>
      <c r="U27" s="1245"/>
      <c r="V27" s="1245"/>
      <c r="W27" s="1245"/>
      <c r="X27" s="1246"/>
    </row>
    <row r="28" spans="1:24" ht="17.25" customHeight="1" x14ac:dyDescent="0.2">
      <c r="A28" s="2100"/>
      <c r="B28" s="2107"/>
      <c r="C28" s="2106"/>
      <c r="D28" s="1206" t="s">
        <v>1831</v>
      </c>
      <c r="E28" s="1206" t="s">
        <v>168</v>
      </c>
      <c r="F28" s="1232" t="s">
        <v>153</v>
      </c>
      <c r="G28" s="1232" t="s">
        <v>1837</v>
      </c>
      <c r="H28" s="1233">
        <f>-24849+24849</f>
        <v>0</v>
      </c>
      <c r="I28" s="1245"/>
      <c r="J28" s="1245"/>
      <c r="K28" s="1245"/>
      <c r="L28" s="1245"/>
      <c r="M28" s="1245"/>
      <c r="N28" s="1245"/>
      <c r="O28" s="1245"/>
      <c r="P28" s="1246"/>
      <c r="Q28" s="1247"/>
      <c r="R28" s="1245"/>
      <c r="S28" s="1245"/>
      <c r="T28" s="1245"/>
      <c r="U28" s="1245"/>
      <c r="V28" s="1245"/>
      <c r="W28" s="1245"/>
      <c r="X28" s="1246"/>
    </row>
    <row r="29" spans="1:24" ht="17.25" customHeight="1" x14ac:dyDescent="0.2">
      <c r="A29" s="2101"/>
      <c r="B29" s="2105"/>
      <c r="C29" s="2103"/>
      <c r="D29" s="1206" t="s">
        <v>1831</v>
      </c>
      <c r="E29" s="1206" t="s">
        <v>169</v>
      </c>
      <c r="F29" s="1232" t="s">
        <v>67</v>
      </c>
      <c r="G29" s="1232" t="s">
        <v>1837</v>
      </c>
      <c r="H29" s="1233">
        <f>-136583+136583</f>
        <v>0</v>
      </c>
      <c r="I29" s="1245"/>
      <c r="J29" s="1245"/>
      <c r="K29" s="1245"/>
      <c r="L29" s="1245"/>
      <c r="M29" s="1245"/>
      <c r="N29" s="1245"/>
      <c r="O29" s="1245"/>
      <c r="P29" s="1246"/>
      <c r="Q29" s="1247"/>
      <c r="R29" s="1245"/>
      <c r="S29" s="1245"/>
      <c r="T29" s="1245"/>
      <c r="U29" s="1245"/>
      <c r="V29" s="1245"/>
      <c r="W29" s="1245"/>
      <c r="X29" s="1246"/>
    </row>
    <row r="30" spans="1:24" ht="54.75" customHeight="1" x14ac:dyDescent="0.2">
      <c r="A30" s="1646" t="s">
        <v>191</v>
      </c>
      <c r="B30" s="1283" t="s">
        <v>232</v>
      </c>
      <c r="C30" s="1641" t="s">
        <v>1843</v>
      </c>
      <c r="D30" s="1206" t="s">
        <v>1831</v>
      </c>
      <c r="E30" s="1206" t="s">
        <v>394</v>
      </c>
      <c r="F30" s="1232" t="s">
        <v>151</v>
      </c>
      <c r="G30" s="1232" t="s">
        <v>1837</v>
      </c>
      <c r="H30" s="1233"/>
      <c r="I30" s="1245"/>
      <c r="J30" s="1245">
        <f>-153416+150000+3416</f>
        <v>0</v>
      </c>
      <c r="K30" s="1245"/>
      <c r="L30" s="1245"/>
      <c r="M30" s="1245"/>
      <c r="N30" s="1245"/>
      <c r="O30" s="1245"/>
      <c r="P30" s="1246"/>
      <c r="Q30" s="1247"/>
      <c r="R30" s="1245"/>
      <c r="S30" s="1245"/>
      <c r="T30" s="1245"/>
      <c r="U30" s="1245"/>
      <c r="V30" s="1245"/>
      <c r="W30" s="1245"/>
      <c r="X30" s="1246"/>
    </row>
    <row r="31" spans="1:24" ht="37.5" customHeight="1" x14ac:dyDescent="0.2">
      <c r="A31" s="1646" t="s">
        <v>192</v>
      </c>
      <c r="B31" s="1283" t="s">
        <v>233</v>
      </c>
      <c r="C31" s="1641" t="s">
        <v>1844</v>
      </c>
      <c r="D31" s="1206" t="s">
        <v>1831</v>
      </c>
      <c r="E31" s="1206" t="s">
        <v>169</v>
      </c>
      <c r="F31" s="1232" t="s">
        <v>67</v>
      </c>
      <c r="G31" s="1232" t="s">
        <v>1837</v>
      </c>
      <c r="H31" s="1233"/>
      <c r="I31" s="1245"/>
      <c r="J31" s="1245">
        <f>-60000+60000</f>
        <v>0</v>
      </c>
      <c r="K31" s="1245"/>
      <c r="L31" s="1245"/>
      <c r="M31" s="1245"/>
      <c r="N31" s="1245"/>
      <c r="O31" s="1245"/>
      <c r="P31" s="1246"/>
      <c r="Q31" s="1247"/>
      <c r="R31" s="1245"/>
      <c r="S31" s="1245"/>
      <c r="T31" s="1245"/>
      <c r="U31" s="1245"/>
      <c r="V31" s="1245"/>
      <c r="W31" s="1245"/>
      <c r="X31" s="1246"/>
    </row>
    <row r="32" spans="1:24" ht="41.25" customHeight="1" x14ac:dyDescent="0.2">
      <c r="A32" s="1646" t="s">
        <v>193</v>
      </c>
      <c r="B32" s="1283" t="s">
        <v>260</v>
      </c>
      <c r="C32" s="1641" t="s">
        <v>1847</v>
      </c>
      <c r="D32" s="1206" t="s">
        <v>1831</v>
      </c>
      <c r="E32" s="1206" t="s">
        <v>556</v>
      </c>
      <c r="F32" s="1232" t="s">
        <v>91</v>
      </c>
      <c r="G32" s="1232" t="s">
        <v>1837</v>
      </c>
      <c r="H32" s="1233"/>
      <c r="I32" s="1245"/>
      <c r="J32" s="1245">
        <f>-2200339+225154+214+1974971</f>
        <v>0</v>
      </c>
      <c r="K32" s="1245"/>
      <c r="L32" s="1245"/>
      <c r="M32" s="1245"/>
      <c r="N32" s="1245"/>
      <c r="O32" s="1245"/>
      <c r="P32" s="1246"/>
      <c r="Q32" s="1247"/>
      <c r="R32" s="1245"/>
      <c r="S32" s="1245"/>
      <c r="T32" s="1245"/>
      <c r="U32" s="1245"/>
      <c r="V32" s="1245"/>
      <c r="W32" s="1245"/>
      <c r="X32" s="1246"/>
    </row>
    <row r="33" spans="1:24" ht="25.5" customHeight="1" x14ac:dyDescent="0.2">
      <c r="A33" s="2099" t="s">
        <v>194</v>
      </c>
      <c r="B33" s="2104" t="s">
        <v>1849</v>
      </c>
      <c r="C33" s="2102" t="s">
        <v>1848</v>
      </c>
      <c r="D33" s="1206" t="s">
        <v>1831</v>
      </c>
      <c r="E33" s="1206" t="s">
        <v>167</v>
      </c>
      <c r="F33" s="1232" t="s">
        <v>133</v>
      </c>
      <c r="G33" s="1232" t="s">
        <v>1828</v>
      </c>
      <c r="H33" s="1233"/>
      <c r="I33" s="1245"/>
      <c r="J33" s="1245">
        <v>-1905000</v>
      </c>
      <c r="K33" s="1245"/>
      <c r="L33" s="1245"/>
      <c r="M33" s="1245"/>
      <c r="N33" s="1245"/>
      <c r="O33" s="1245"/>
      <c r="P33" s="1246"/>
      <c r="Q33" s="1247"/>
      <c r="R33" s="1245"/>
      <c r="S33" s="1245"/>
      <c r="T33" s="1245"/>
      <c r="U33" s="1245"/>
      <c r="V33" s="1245"/>
      <c r="W33" s="1245"/>
      <c r="X33" s="1246"/>
    </row>
    <row r="34" spans="1:24" ht="25.5" customHeight="1" x14ac:dyDescent="0.2">
      <c r="A34" s="2101"/>
      <c r="B34" s="2105"/>
      <c r="C34" s="2103"/>
      <c r="D34" s="1206" t="s">
        <v>1831</v>
      </c>
      <c r="E34" s="1206" t="s">
        <v>510</v>
      </c>
      <c r="F34" s="1232" t="s">
        <v>132</v>
      </c>
      <c r="G34" s="1232" t="s">
        <v>1829</v>
      </c>
      <c r="H34" s="1233"/>
      <c r="I34" s="1245"/>
      <c r="J34" s="1245">
        <f>1500000+405000</f>
        <v>1905000</v>
      </c>
      <c r="K34" s="1245"/>
      <c r="L34" s="1245"/>
      <c r="M34" s="1245"/>
      <c r="N34" s="1245"/>
      <c r="O34" s="1245"/>
      <c r="P34" s="1246"/>
      <c r="Q34" s="1247"/>
      <c r="R34" s="1245"/>
      <c r="S34" s="1245"/>
      <c r="T34" s="1245"/>
      <c r="U34" s="1245"/>
      <c r="V34" s="1245"/>
      <c r="W34" s="1245"/>
      <c r="X34" s="1246"/>
    </row>
    <row r="35" spans="1:24" ht="29.25" customHeight="1" x14ac:dyDescent="0.2">
      <c r="A35" s="1646" t="s">
        <v>195</v>
      </c>
      <c r="B35" s="1283" t="s">
        <v>262</v>
      </c>
      <c r="C35" s="1641" t="s">
        <v>1850</v>
      </c>
      <c r="D35" s="1206" t="s">
        <v>1831</v>
      </c>
      <c r="E35" s="1206" t="s">
        <v>167</v>
      </c>
      <c r="F35" s="1232" t="s">
        <v>133</v>
      </c>
      <c r="G35" s="1232" t="s">
        <v>1837</v>
      </c>
      <c r="H35" s="1233"/>
      <c r="I35" s="1245"/>
      <c r="J35" s="1245">
        <f>-97089+97089</f>
        <v>0</v>
      </c>
      <c r="K35" s="1245"/>
      <c r="L35" s="1245"/>
      <c r="M35" s="1245"/>
      <c r="N35" s="1245"/>
      <c r="O35" s="1245"/>
      <c r="P35" s="1246"/>
      <c r="Q35" s="1247"/>
      <c r="R35" s="1245"/>
      <c r="S35" s="1245"/>
      <c r="T35" s="1245"/>
      <c r="U35" s="1245"/>
      <c r="V35" s="1245"/>
      <c r="W35" s="1245"/>
      <c r="X35" s="1246"/>
    </row>
    <row r="36" spans="1:24" ht="30" customHeight="1" x14ac:dyDescent="0.2">
      <c r="A36" s="1646" t="s">
        <v>196</v>
      </c>
      <c r="B36" s="1283" t="s">
        <v>263</v>
      </c>
      <c r="C36" s="1641" t="s">
        <v>1851</v>
      </c>
      <c r="D36" s="1206" t="s">
        <v>1831</v>
      </c>
      <c r="E36" s="1206" t="s">
        <v>761</v>
      </c>
      <c r="F36" s="1232" t="s">
        <v>135</v>
      </c>
      <c r="G36" s="1232" t="s">
        <v>1837</v>
      </c>
      <c r="H36" s="1233"/>
      <c r="I36" s="1245"/>
      <c r="J36" s="1245">
        <f>-92837+92837</f>
        <v>0</v>
      </c>
      <c r="K36" s="1245"/>
      <c r="L36" s="1245"/>
      <c r="M36" s="1245"/>
      <c r="N36" s="1245"/>
      <c r="O36" s="1245"/>
      <c r="P36" s="1246"/>
      <c r="Q36" s="1247"/>
      <c r="R36" s="1245"/>
      <c r="S36" s="1245"/>
      <c r="T36" s="1245"/>
      <c r="U36" s="1245"/>
      <c r="V36" s="1245"/>
      <c r="W36" s="1245"/>
      <c r="X36" s="1246"/>
    </row>
    <row r="37" spans="1:24" ht="28.5" customHeight="1" x14ac:dyDescent="0.2">
      <c r="A37" s="1646" t="s">
        <v>197</v>
      </c>
      <c r="B37" s="1283" t="s">
        <v>264</v>
      </c>
      <c r="C37" s="1641" t="s">
        <v>1852</v>
      </c>
      <c r="D37" s="1206" t="s">
        <v>1831</v>
      </c>
      <c r="E37" s="1206" t="s">
        <v>514</v>
      </c>
      <c r="F37" s="1232" t="s">
        <v>466</v>
      </c>
      <c r="G37" s="1232" t="s">
        <v>1837</v>
      </c>
      <c r="H37" s="1233"/>
      <c r="I37" s="1245"/>
      <c r="J37" s="1245">
        <f>-40803+40803</f>
        <v>0</v>
      </c>
      <c r="K37" s="1245"/>
      <c r="L37" s="1245"/>
      <c r="M37" s="1245"/>
      <c r="N37" s="1245"/>
      <c r="O37" s="1245"/>
      <c r="P37" s="1246"/>
      <c r="Q37" s="1247"/>
      <c r="R37" s="1245"/>
      <c r="S37" s="1245"/>
      <c r="T37" s="1245"/>
      <c r="U37" s="1245"/>
      <c r="V37" s="1245"/>
      <c r="W37" s="1245"/>
      <c r="X37" s="1246"/>
    </row>
    <row r="38" spans="1:24" ht="30" customHeight="1" x14ac:dyDescent="0.2">
      <c r="A38" s="1646" t="s">
        <v>198</v>
      </c>
      <c r="B38" s="1283" t="s">
        <v>265</v>
      </c>
      <c r="C38" s="1641" t="s">
        <v>1853</v>
      </c>
      <c r="D38" s="1206" t="s">
        <v>1831</v>
      </c>
      <c r="E38" s="1206" t="s">
        <v>556</v>
      </c>
      <c r="F38" s="1232" t="s">
        <v>830</v>
      </c>
      <c r="G38" s="1232" t="s">
        <v>1829</v>
      </c>
      <c r="H38" s="1233"/>
      <c r="I38" s="1245"/>
      <c r="J38" s="1245">
        <f>10000000+2700000</f>
        <v>12700000</v>
      </c>
      <c r="K38" s="1245"/>
      <c r="L38" s="1245"/>
      <c r="M38" s="1245"/>
      <c r="N38" s="1245"/>
      <c r="O38" s="1245"/>
      <c r="P38" s="1246"/>
      <c r="Q38" s="1247"/>
      <c r="R38" s="1245"/>
      <c r="S38" s="1245"/>
      <c r="T38" s="1245">
        <f>10000000+2700000</f>
        <v>12700000</v>
      </c>
      <c r="U38" s="1245"/>
      <c r="V38" s="1245"/>
      <c r="W38" s="1245"/>
      <c r="X38" s="1246"/>
    </row>
    <row r="39" spans="1:24" ht="20.25" customHeight="1" x14ac:dyDescent="0.2">
      <c r="A39" s="2099" t="s">
        <v>225</v>
      </c>
      <c r="B39" s="2104" t="s">
        <v>268</v>
      </c>
      <c r="C39" s="2102" t="s">
        <v>1936</v>
      </c>
      <c r="D39" s="1206" t="s">
        <v>1831</v>
      </c>
      <c r="E39" s="1206" t="s">
        <v>1288</v>
      </c>
      <c r="F39" s="1232" t="s">
        <v>128</v>
      </c>
      <c r="G39" s="1232" t="s">
        <v>1829</v>
      </c>
      <c r="H39" s="1233"/>
      <c r="I39" s="1245"/>
      <c r="J39" s="1245"/>
      <c r="K39" s="1245"/>
      <c r="L39" s="1245"/>
      <c r="M39" s="1245"/>
      <c r="N39" s="1245"/>
      <c r="O39" s="1245"/>
      <c r="P39" s="1246"/>
      <c r="Q39" s="1247"/>
      <c r="R39" s="1245"/>
      <c r="S39" s="1245"/>
      <c r="T39" s="1245"/>
      <c r="U39" s="1245"/>
      <c r="V39" s="1245"/>
      <c r="W39" s="1245"/>
      <c r="X39" s="1246">
        <v>4874282</v>
      </c>
    </row>
    <row r="40" spans="1:24" ht="20.25" customHeight="1" x14ac:dyDescent="0.2">
      <c r="A40" s="2100"/>
      <c r="B40" s="2107"/>
      <c r="C40" s="2106"/>
      <c r="D40" s="1206" t="s">
        <v>1831</v>
      </c>
      <c r="E40" s="1206" t="s">
        <v>556</v>
      </c>
      <c r="F40" s="1232" t="s">
        <v>91</v>
      </c>
      <c r="G40" s="1232" t="s">
        <v>1829</v>
      </c>
      <c r="H40" s="1233"/>
      <c r="I40" s="1245"/>
      <c r="J40" s="1245">
        <f>2200125+594034</f>
        <v>2794159</v>
      </c>
      <c r="K40" s="1245"/>
      <c r="L40" s="1245"/>
      <c r="M40" s="1245"/>
      <c r="N40" s="1245"/>
      <c r="O40" s="1245"/>
      <c r="P40" s="1246"/>
      <c r="Q40" s="1247"/>
      <c r="R40" s="1245"/>
      <c r="S40" s="1245"/>
      <c r="T40" s="1245"/>
      <c r="U40" s="1245"/>
      <c r="V40" s="1245"/>
      <c r="W40" s="1245"/>
      <c r="X40" s="1246"/>
    </row>
    <row r="41" spans="1:24" ht="20.25" customHeight="1" x14ac:dyDescent="0.2">
      <c r="A41" s="2100"/>
      <c r="B41" s="2107"/>
      <c r="C41" s="2106"/>
      <c r="D41" s="1206" t="s">
        <v>1831</v>
      </c>
      <c r="E41" s="1206" t="s">
        <v>167</v>
      </c>
      <c r="F41" s="1232" t="s">
        <v>133</v>
      </c>
      <c r="G41" s="1232" t="s">
        <v>1829</v>
      </c>
      <c r="H41" s="1233"/>
      <c r="I41" s="1245"/>
      <c r="J41" s="1245">
        <f>1597089+431214</f>
        <v>2028303</v>
      </c>
      <c r="K41" s="1245"/>
      <c r="L41" s="1245"/>
      <c r="M41" s="1245"/>
      <c r="N41" s="1245"/>
      <c r="O41" s="1245"/>
      <c r="P41" s="1246"/>
      <c r="Q41" s="1247"/>
      <c r="R41" s="1245"/>
      <c r="S41" s="1245"/>
      <c r="T41" s="1245"/>
      <c r="U41" s="1245"/>
      <c r="V41" s="1245"/>
      <c r="W41" s="1245"/>
      <c r="X41" s="1246"/>
    </row>
    <row r="42" spans="1:24" ht="20.25" customHeight="1" x14ac:dyDescent="0.2">
      <c r="A42" s="2101"/>
      <c r="B42" s="2105"/>
      <c r="C42" s="2103"/>
      <c r="D42" s="1206" t="s">
        <v>1831</v>
      </c>
      <c r="E42" s="1206" t="s">
        <v>514</v>
      </c>
      <c r="F42" s="1232" t="s">
        <v>466</v>
      </c>
      <c r="G42" s="1232" t="s">
        <v>1829</v>
      </c>
      <c r="H42" s="1233"/>
      <c r="I42" s="1245"/>
      <c r="J42" s="1245">
        <f>40803+11017</f>
        <v>51820</v>
      </c>
      <c r="K42" s="1245"/>
      <c r="L42" s="1245"/>
      <c r="M42" s="1245"/>
      <c r="N42" s="1245"/>
      <c r="O42" s="1245"/>
      <c r="P42" s="1246"/>
      <c r="Q42" s="1247"/>
      <c r="R42" s="1245"/>
      <c r="S42" s="1245"/>
      <c r="T42" s="1245"/>
      <c r="U42" s="1245"/>
      <c r="V42" s="1245"/>
      <c r="W42" s="1245"/>
      <c r="X42" s="1246"/>
    </row>
    <row r="43" spans="1:24" ht="14.25" customHeight="1" x14ac:dyDescent="0.2">
      <c r="A43" s="2099" t="s">
        <v>226</v>
      </c>
      <c r="B43" s="2104" t="s">
        <v>269</v>
      </c>
      <c r="C43" s="2102" t="s">
        <v>1939</v>
      </c>
      <c r="D43" s="1206" t="s">
        <v>1831</v>
      </c>
      <c r="E43" s="1206" t="s">
        <v>556</v>
      </c>
      <c r="F43" s="1232" t="s">
        <v>91</v>
      </c>
      <c r="G43" s="1232" t="s">
        <v>1837</v>
      </c>
      <c r="H43" s="1233">
        <f>-101617+68900+32717</f>
        <v>0</v>
      </c>
      <c r="I43" s="1245"/>
      <c r="J43" s="1245"/>
      <c r="K43" s="1245"/>
      <c r="L43" s="1245"/>
      <c r="M43" s="1245"/>
      <c r="N43" s="1245"/>
      <c r="O43" s="1245"/>
      <c r="P43" s="1246"/>
      <c r="Q43" s="1247"/>
      <c r="R43" s="1245"/>
      <c r="S43" s="1245"/>
      <c r="T43" s="1245"/>
      <c r="U43" s="1245"/>
      <c r="V43" s="1245"/>
      <c r="W43" s="1245"/>
      <c r="X43" s="1246"/>
    </row>
    <row r="44" spans="1:24" ht="14.25" customHeight="1" x14ac:dyDescent="0.2">
      <c r="A44" s="2100"/>
      <c r="B44" s="2107"/>
      <c r="C44" s="2106"/>
      <c r="D44" s="1206" t="s">
        <v>1831</v>
      </c>
      <c r="E44" s="1206" t="s">
        <v>510</v>
      </c>
      <c r="F44" s="1232" t="s">
        <v>132</v>
      </c>
      <c r="G44" s="1232" t="s">
        <v>1837</v>
      </c>
      <c r="H44" s="1233">
        <f>-5108+5108</f>
        <v>0</v>
      </c>
      <c r="I44" s="1245"/>
      <c r="J44" s="1245"/>
      <c r="K44" s="1245"/>
      <c r="L44" s="1245"/>
      <c r="M44" s="1245"/>
      <c r="N44" s="1245"/>
      <c r="O44" s="1245"/>
      <c r="P44" s="1246"/>
      <c r="Q44" s="1247"/>
      <c r="R44" s="1245"/>
      <c r="S44" s="1245"/>
      <c r="T44" s="1245"/>
      <c r="U44" s="1245"/>
      <c r="V44" s="1245"/>
      <c r="W44" s="1245"/>
      <c r="X44" s="1246"/>
    </row>
    <row r="45" spans="1:24" ht="14.25" customHeight="1" x14ac:dyDescent="0.2">
      <c r="A45" s="2100"/>
      <c r="B45" s="2107"/>
      <c r="C45" s="2106"/>
      <c r="D45" s="1206" t="s">
        <v>1831</v>
      </c>
      <c r="E45" s="1206" t="s">
        <v>394</v>
      </c>
      <c r="F45" s="1232" t="s">
        <v>151</v>
      </c>
      <c r="G45" s="1232" t="s">
        <v>1837</v>
      </c>
      <c r="H45" s="1233">
        <f>-107800+107800</f>
        <v>0</v>
      </c>
      <c r="I45" s="1245"/>
      <c r="J45" s="1245"/>
      <c r="K45" s="1245"/>
      <c r="L45" s="1245"/>
      <c r="M45" s="1245"/>
      <c r="N45" s="1245"/>
      <c r="O45" s="1245"/>
      <c r="P45" s="1246"/>
      <c r="Q45" s="1247"/>
      <c r="R45" s="1245"/>
      <c r="S45" s="1245"/>
      <c r="T45" s="1245"/>
      <c r="U45" s="1245"/>
      <c r="V45" s="1245"/>
      <c r="W45" s="1245"/>
      <c r="X45" s="1246"/>
    </row>
    <row r="46" spans="1:24" ht="14.25" customHeight="1" x14ac:dyDescent="0.2">
      <c r="A46" s="2100"/>
      <c r="B46" s="2107"/>
      <c r="C46" s="2106"/>
      <c r="D46" s="1206" t="s">
        <v>1831</v>
      </c>
      <c r="E46" s="1206" t="s">
        <v>166</v>
      </c>
      <c r="F46" s="1232" t="s">
        <v>152</v>
      </c>
      <c r="G46" s="1232" t="s">
        <v>1837</v>
      </c>
      <c r="H46" s="1233">
        <f>-323460+27600+4860+291000</f>
        <v>0</v>
      </c>
      <c r="I46" s="1245"/>
      <c r="J46" s="1245"/>
      <c r="K46" s="1245"/>
      <c r="L46" s="1245"/>
      <c r="M46" s="1245"/>
      <c r="N46" s="1245"/>
      <c r="O46" s="1245"/>
      <c r="P46" s="1246"/>
      <c r="Q46" s="1247"/>
      <c r="R46" s="1245"/>
      <c r="S46" s="1245"/>
      <c r="T46" s="1245"/>
      <c r="U46" s="1245"/>
      <c r="V46" s="1245"/>
      <c r="W46" s="1245"/>
      <c r="X46" s="1246"/>
    </row>
    <row r="47" spans="1:24" ht="14.25" customHeight="1" x14ac:dyDescent="0.2">
      <c r="A47" s="2100"/>
      <c r="B47" s="2107"/>
      <c r="C47" s="2106"/>
      <c r="D47" s="1206" t="s">
        <v>1831</v>
      </c>
      <c r="E47" s="1206" t="s">
        <v>761</v>
      </c>
      <c r="F47" s="1232" t="s">
        <v>135</v>
      </c>
      <c r="G47" s="1232" t="s">
        <v>1837</v>
      </c>
      <c r="H47" s="1233">
        <f>-190000+190000</f>
        <v>0</v>
      </c>
      <c r="I47" s="1245"/>
      <c r="J47" s="1245"/>
      <c r="K47" s="1245"/>
      <c r="L47" s="1245"/>
      <c r="M47" s="1245"/>
      <c r="N47" s="1245"/>
      <c r="O47" s="1245"/>
      <c r="P47" s="1246"/>
      <c r="Q47" s="1247"/>
      <c r="R47" s="1245"/>
      <c r="S47" s="1245"/>
      <c r="T47" s="1245"/>
      <c r="U47" s="1245"/>
      <c r="V47" s="1245"/>
      <c r="W47" s="1245"/>
      <c r="X47" s="1246"/>
    </row>
    <row r="48" spans="1:24" ht="14.25" customHeight="1" x14ac:dyDescent="0.2">
      <c r="A48" s="2100"/>
      <c r="B48" s="2107"/>
      <c r="C48" s="2106"/>
      <c r="D48" s="1206" t="s">
        <v>1831</v>
      </c>
      <c r="E48" s="1206" t="s">
        <v>514</v>
      </c>
      <c r="F48" s="1232" t="s">
        <v>466</v>
      </c>
      <c r="G48" s="1232" t="s">
        <v>1837</v>
      </c>
      <c r="H48" s="1233">
        <f>-88829+8208+80621</f>
        <v>0</v>
      </c>
      <c r="I48" s="1245"/>
      <c r="J48" s="1245"/>
      <c r="K48" s="1245"/>
      <c r="L48" s="1245"/>
      <c r="M48" s="1245"/>
      <c r="N48" s="1245"/>
      <c r="O48" s="1245"/>
      <c r="P48" s="1246"/>
      <c r="Q48" s="1247"/>
      <c r="R48" s="1245"/>
      <c r="S48" s="1245"/>
      <c r="T48" s="1245"/>
      <c r="U48" s="1245"/>
      <c r="V48" s="1245"/>
      <c r="W48" s="1245"/>
      <c r="X48" s="1246"/>
    </row>
    <row r="49" spans="1:24" ht="14.25" customHeight="1" x14ac:dyDescent="0.2">
      <c r="A49" s="2100"/>
      <c r="B49" s="2107"/>
      <c r="C49" s="2106"/>
      <c r="D49" s="1206" t="s">
        <v>1831</v>
      </c>
      <c r="E49" s="1206" t="s">
        <v>168</v>
      </c>
      <c r="F49" s="1232" t="s">
        <v>153</v>
      </c>
      <c r="G49" s="1232" t="s">
        <v>1837</v>
      </c>
      <c r="H49" s="1233">
        <f>-37333+12860+24473</f>
        <v>0</v>
      </c>
      <c r="I49" s="1245"/>
      <c r="J49" s="1245"/>
      <c r="K49" s="1245"/>
      <c r="L49" s="1245"/>
      <c r="M49" s="1245"/>
      <c r="N49" s="1245"/>
      <c r="O49" s="1245"/>
      <c r="P49" s="1246"/>
      <c r="Q49" s="1247"/>
      <c r="R49" s="1245"/>
      <c r="S49" s="1245"/>
      <c r="T49" s="1245"/>
      <c r="U49" s="1245"/>
      <c r="V49" s="1245"/>
      <c r="W49" s="1245"/>
      <c r="X49" s="1246"/>
    </row>
    <row r="50" spans="1:24" ht="14.25" customHeight="1" x14ac:dyDescent="0.2">
      <c r="A50" s="2101"/>
      <c r="B50" s="2105"/>
      <c r="C50" s="2103"/>
      <c r="D50" s="1206" t="s">
        <v>1831</v>
      </c>
      <c r="E50" s="1206" t="s">
        <v>169</v>
      </c>
      <c r="F50" s="1232" t="s">
        <v>67</v>
      </c>
      <c r="G50" s="1232" t="s">
        <v>1837</v>
      </c>
      <c r="H50" s="1233">
        <f>-10234+10234</f>
        <v>0</v>
      </c>
      <c r="I50" s="1245"/>
      <c r="J50" s="1245"/>
      <c r="K50" s="1245"/>
      <c r="L50" s="1245"/>
      <c r="M50" s="1245"/>
      <c r="N50" s="1245"/>
      <c r="O50" s="1245"/>
      <c r="P50" s="1246"/>
      <c r="Q50" s="1247"/>
      <c r="R50" s="1245"/>
      <c r="S50" s="1245"/>
      <c r="T50" s="1245"/>
      <c r="U50" s="1245"/>
      <c r="V50" s="1245"/>
      <c r="W50" s="1245"/>
      <c r="X50" s="1246"/>
    </row>
    <row r="51" spans="1:24" ht="15.75" customHeight="1" x14ac:dyDescent="0.2">
      <c r="A51" s="2099" t="s">
        <v>227</v>
      </c>
      <c r="B51" s="2104" t="s">
        <v>270</v>
      </c>
      <c r="C51" s="2102" t="s">
        <v>1948</v>
      </c>
      <c r="D51" s="1206" t="s">
        <v>1831</v>
      </c>
      <c r="E51" s="1206" t="s">
        <v>1288</v>
      </c>
      <c r="F51" s="1232" t="s">
        <v>128</v>
      </c>
      <c r="G51" s="1232" t="s">
        <v>1829</v>
      </c>
      <c r="H51" s="1233"/>
      <c r="I51" s="1245"/>
      <c r="J51" s="1245"/>
      <c r="K51" s="1245"/>
      <c r="L51" s="1245"/>
      <c r="M51" s="1245"/>
      <c r="N51" s="1245"/>
      <c r="O51" s="1245"/>
      <c r="P51" s="1246"/>
      <c r="Q51" s="1247"/>
      <c r="R51" s="1245"/>
      <c r="S51" s="1245"/>
      <c r="T51" s="1245"/>
      <c r="U51" s="1245"/>
      <c r="V51" s="1245"/>
      <c r="W51" s="1245"/>
      <c r="X51" s="1246">
        <v>1129588</v>
      </c>
    </row>
    <row r="52" spans="1:24" ht="15.75" customHeight="1" x14ac:dyDescent="0.2">
      <c r="A52" s="2101"/>
      <c r="B52" s="2105"/>
      <c r="C52" s="2103"/>
      <c r="D52" s="1206" t="s">
        <v>1831</v>
      </c>
      <c r="E52" s="1206" t="s">
        <v>556</v>
      </c>
      <c r="F52" s="1232" t="s">
        <v>91</v>
      </c>
      <c r="G52" s="1232" t="s">
        <v>1829</v>
      </c>
      <c r="H52" s="1233"/>
      <c r="I52" s="1245"/>
      <c r="J52" s="1245">
        <f>880439+9000+240149</f>
        <v>1129588</v>
      </c>
      <c r="K52" s="1245"/>
      <c r="L52" s="1245"/>
      <c r="M52" s="1245"/>
      <c r="N52" s="1245"/>
      <c r="O52" s="1245"/>
      <c r="P52" s="1246"/>
      <c r="Q52" s="1247"/>
      <c r="R52" s="1245"/>
      <c r="S52" s="1245"/>
      <c r="T52" s="1245"/>
      <c r="U52" s="1245"/>
      <c r="V52" s="1245"/>
      <c r="W52" s="1245"/>
      <c r="X52" s="1246"/>
    </row>
    <row r="53" spans="1:24" ht="21.75" customHeight="1" x14ac:dyDescent="0.2">
      <c r="A53" s="2099" t="s">
        <v>228</v>
      </c>
      <c r="B53" s="2104" t="s">
        <v>1949</v>
      </c>
      <c r="C53" s="2102" t="s">
        <v>1950</v>
      </c>
      <c r="D53" s="1206" t="s">
        <v>1831</v>
      </c>
      <c r="E53" s="1206" t="s">
        <v>761</v>
      </c>
      <c r="F53" s="1232" t="s">
        <v>135</v>
      </c>
      <c r="G53" s="1232" t="s">
        <v>1829</v>
      </c>
      <c r="H53" s="1233"/>
      <c r="I53" s="1245"/>
      <c r="J53" s="1245">
        <v>38579</v>
      </c>
      <c r="K53" s="1245"/>
      <c r="L53" s="1245"/>
      <c r="M53" s="1245"/>
      <c r="N53" s="1245"/>
      <c r="O53" s="1245"/>
      <c r="P53" s="1246"/>
      <c r="Q53" s="1247"/>
      <c r="R53" s="1245"/>
      <c r="S53" s="1245"/>
      <c r="T53" s="1245">
        <v>38579</v>
      </c>
      <c r="U53" s="1245"/>
      <c r="V53" s="1245"/>
      <c r="W53" s="1245"/>
      <c r="X53" s="1246"/>
    </row>
    <row r="54" spans="1:24" ht="21.75" customHeight="1" x14ac:dyDescent="0.2">
      <c r="A54" s="2101"/>
      <c r="B54" s="2105"/>
      <c r="C54" s="2103"/>
      <c r="D54" s="1206" t="s">
        <v>1831</v>
      </c>
      <c r="E54" s="1206" t="s">
        <v>514</v>
      </c>
      <c r="F54" s="1232" t="s">
        <v>466</v>
      </c>
      <c r="G54" s="1232" t="s">
        <v>1829</v>
      </c>
      <c r="H54" s="1233"/>
      <c r="I54" s="1245"/>
      <c r="J54" s="1245">
        <v>24112</v>
      </c>
      <c r="K54" s="1245"/>
      <c r="L54" s="1245"/>
      <c r="M54" s="1245"/>
      <c r="N54" s="1245"/>
      <c r="O54" s="1245"/>
      <c r="P54" s="1246"/>
      <c r="Q54" s="1247"/>
      <c r="R54" s="1245"/>
      <c r="S54" s="1245"/>
      <c r="T54" s="1245">
        <v>24112</v>
      </c>
      <c r="U54" s="1245"/>
      <c r="V54" s="1245"/>
      <c r="W54" s="1245"/>
      <c r="X54" s="1246"/>
    </row>
    <row r="55" spans="1:24" ht="18.75" customHeight="1" x14ac:dyDescent="0.2">
      <c r="A55" s="2099" t="s">
        <v>229</v>
      </c>
      <c r="B55" s="2104" t="s">
        <v>2036</v>
      </c>
      <c r="C55" s="2102" t="s">
        <v>2032</v>
      </c>
      <c r="D55" s="1206" t="s">
        <v>1831</v>
      </c>
      <c r="E55" s="1206" t="s">
        <v>556</v>
      </c>
      <c r="F55" s="1232" t="s">
        <v>91</v>
      </c>
      <c r="G55" s="1232" t="s">
        <v>1837</v>
      </c>
      <c r="H55" s="1233">
        <f>-101095+68900+32195</f>
        <v>0</v>
      </c>
      <c r="I55" s="1245"/>
      <c r="J55" s="1245"/>
      <c r="K55" s="1245"/>
      <c r="L55" s="1245"/>
      <c r="M55" s="1245"/>
      <c r="N55" s="1245"/>
      <c r="O55" s="1245"/>
      <c r="P55" s="1246"/>
      <c r="Q55" s="1247"/>
      <c r="R55" s="1245"/>
      <c r="S55" s="1245"/>
      <c r="T55" s="1245"/>
      <c r="U55" s="1245"/>
      <c r="V55" s="1245"/>
      <c r="W55" s="1245"/>
      <c r="X55" s="1246"/>
    </row>
    <row r="56" spans="1:24" ht="18.75" customHeight="1" x14ac:dyDescent="0.2">
      <c r="A56" s="2100"/>
      <c r="B56" s="2107"/>
      <c r="C56" s="2106"/>
      <c r="D56" s="1206" t="s">
        <v>1831</v>
      </c>
      <c r="E56" s="1206" t="s">
        <v>510</v>
      </c>
      <c r="F56" s="1232" t="s">
        <v>132</v>
      </c>
      <c r="G56" s="1232" t="s">
        <v>1837</v>
      </c>
      <c r="H56" s="1233">
        <f>-5108+5108</f>
        <v>0</v>
      </c>
      <c r="I56" s="1245"/>
      <c r="J56" s="1245"/>
      <c r="K56" s="1245"/>
      <c r="L56" s="1245"/>
      <c r="M56" s="1245"/>
      <c r="N56" s="1245"/>
      <c r="O56" s="1245"/>
      <c r="P56" s="1246"/>
      <c r="Q56" s="1247"/>
      <c r="R56" s="1245"/>
      <c r="S56" s="1245"/>
      <c r="T56" s="1245"/>
      <c r="U56" s="1245"/>
      <c r="V56" s="1245"/>
      <c r="W56" s="1245"/>
      <c r="X56" s="1246"/>
    </row>
    <row r="57" spans="1:24" ht="18.75" customHeight="1" x14ac:dyDescent="0.2">
      <c r="A57" s="2100"/>
      <c r="B57" s="2107"/>
      <c r="C57" s="2106"/>
      <c r="D57" s="1206" t="s">
        <v>1831</v>
      </c>
      <c r="E57" s="1206" t="s">
        <v>394</v>
      </c>
      <c r="F57" s="1232" t="s">
        <v>151</v>
      </c>
      <c r="G57" s="1232" t="s">
        <v>1837</v>
      </c>
      <c r="H57" s="1233">
        <f>-107800+107800</f>
        <v>0</v>
      </c>
      <c r="I57" s="1245"/>
      <c r="J57" s="1245"/>
      <c r="K57" s="1245"/>
      <c r="L57" s="1245"/>
      <c r="M57" s="1245"/>
      <c r="N57" s="1245"/>
      <c r="O57" s="1245"/>
      <c r="P57" s="1246"/>
      <c r="Q57" s="1247"/>
      <c r="R57" s="1245"/>
      <c r="S57" s="1245"/>
      <c r="T57" s="1245"/>
      <c r="U57" s="1245"/>
      <c r="V57" s="1245"/>
      <c r="W57" s="1245"/>
      <c r="X57" s="1246"/>
    </row>
    <row r="58" spans="1:24" ht="18.75" customHeight="1" x14ac:dyDescent="0.2">
      <c r="A58" s="2100"/>
      <c r="B58" s="2107"/>
      <c r="C58" s="2106"/>
      <c r="D58" s="1206" t="s">
        <v>1831</v>
      </c>
      <c r="E58" s="1206" t="s">
        <v>166</v>
      </c>
      <c r="F58" s="1232" t="s">
        <v>152</v>
      </c>
      <c r="G58" s="1232" t="s">
        <v>1837</v>
      </c>
      <c r="H58" s="1233">
        <f>-187680+27600+5130+154950</f>
        <v>0</v>
      </c>
      <c r="I58" s="1245"/>
      <c r="J58" s="1245"/>
      <c r="K58" s="1245"/>
      <c r="L58" s="1245"/>
      <c r="M58" s="1245"/>
      <c r="N58" s="1245"/>
      <c r="O58" s="1245"/>
      <c r="P58" s="1246"/>
      <c r="Q58" s="1247"/>
      <c r="R58" s="1245"/>
      <c r="S58" s="1245"/>
      <c r="T58" s="1245"/>
      <c r="U58" s="1245"/>
      <c r="V58" s="1245"/>
      <c r="W58" s="1245"/>
      <c r="X58" s="1246"/>
    </row>
    <row r="59" spans="1:24" ht="18.75" customHeight="1" x14ac:dyDescent="0.2">
      <c r="A59" s="2100"/>
      <c r="B59" s="2107"/>
      <c r="C59" s="2106"/>
      <c r="D59" s="1206" t="s">
        <v>1831</v>
      </c>
      <c r="E59" s="1206" t="s">
        <v>761</v>
      </c>
      <c r="F59" s="1232" t="s">
        <v>135</v>
      </c>
      <c r="G59" s="1232" t="s">
        <v>1837</v>
      </c>
      <c r="H59" s="1233">
        <f>-190000+190000</f>
        <v>0</v>
      </c>
      <c r="I59" s="1245"/>
      <c r="J59" s="1245"/>
      <c r="K59" s="1245"/>
      <c r="L59" s="1245"/>
      <c r="M59" s="1245"/>
      <c r="N59" s="1245"/>
      <c r="O59" s="1245"/>
      <c r="P59" s="1246"/>
      <c r="Q59" s="1247"/>
      <c r="R59" s="1245"/>
      <c r="S59" s="1245"/>
      <c r="T59" s="1245"/>
      <c r="U59" s="1245"/>
      <c r="V59" s="1245"/>
      <c r="W59" s="1245"/>
      <c r="X59" s="1246"/>
    </row>
    <row r="60" spans="1:24" ht="18.75" customHeight="1" x14ac:dyDescent="0.2">
      <c r="A60" s="2100"/>
      <c r="B60" s="2107"/>
      <c r="C60" s="2106"/>
      <c r="D60" s="1206" t="s">
        <v>1831</v>
      </c>
      <c r="E60" s="1206" t="s">
        <v>514</v>
      </c>
      <c r="F60" s="1232" t="s">
        <v>466</v>
      </c>
      <c r="G60" s="1232" t="s">
        <v>1837</v>
      </c>
      <c r="H60" s="1233">
        <f>-9029+9029</f>
        <v>0</v>
      </c>
      <c r="I60" s="1245"/>
      <c r="J60" s="1245"/>
      <c r="K60" s="1245"/>
      <c r="L60" s="1245"/>
      <c r="M60" s="1245"/>
      <c r="N60" s="1245"/>
      <c r="O60" s="1245"/>
      <c r="P60" s="1246"/>
      <c r="Q60" s="1247"/>
      <c r="R60" s="1245"/>
      <c r="S60" s="1245"/>
      <c r="T60" s="1245"/>
      <c r="U60" s="1245"/>
      <c r="V60" s="1245"/>
      <c r="W60" s="1245"/>
      <c r="X60" s="1246"/>
    </row>
    <row r="61" spans="1:24" ht="18.75" customHeight="1" x14ac:dyDescent="0.2">
      <c r="A61" s="2100"/>
      <c r="B61" s="2107"/>
      <c r="C61" s="2106"/>
      <c r="D61" s="1206" t="s">
        <v>1831</v>
      </c>
      <c r="E61" s="1206" t="s">
        <v>168</v>
      </c>
      <c r="F61" s="1232" t="s">
        <v>153</v>
      </c>
      <c r="G61" s="1232" t="s">
        <v>1837</v>
      </c>
      <c r="H61" s="1233">
        <f>-29459+29459</f>
        <v>0</v>
      </c>
      <c r="I61" s="1245"/>
      <c r="J61" s="1245"/>
      <c r="K61" s="1245"/>
      <c r="L61" s="1245"/>
      <c r="M61" s="1245"/>
      <c r="N61" s="1245"/>
      <c r="O61" s="1245"/>
      <c r="P61" s="1246"/>
      <c r="Q61" s="1247"/>
      <c r="R61" s="1245"/>
      <c r="S61" s="1245"/>
      <c r="T61" s="1245"/>
      <c r="U61" s="1245"/>
      <c r="V61" s="1245"/>
      <c r="W61" s="1245"/>
      <c r="X61" s="1246"/>
    </row>
    <row r="62" spans="1:24" ht="18.75" customHeight="1" x14ac:dyDescent="0.2">
      <c r="A62" s="2101"/>
      <c r="B62" s="2105"/>
      <c r="C62" s="2103"/>
      <c r="D62" s="1206" t="s">
        <v>1831</v>
      </c>
      <c r="E62" s="1206" t="s">
        <v>169</v>
      </c>
      <c r="F62" s="1232" t="s">
        <v>67</v>
      </c>
      <c r="G62" s="1232" t="s">
        <v>1837</v>
      </c>
      <c r="H62" s="1233">
        <f>-240356+240356</f>
        <v>0</v>
      </c>
      <c r="I62" s="1245"/>
      <c r="J62" s="1245"/>
      <c r="K62" s="1245"/>
      <c r="L62" s="1245"/>
      <c r="M62" s="1245"/>
      <c r="N62" s="1245"/>
      <c r="O62" s="1245"/>
      <c r="P62" s="1246"/>
      <c r="Q62" s="1247"/>
      <c r="R62" s="1245"/>
      <c r="S62" s="1245"/>
      <c r="T62" s="1245"/>
      <c r="U62" s="1245"/>
      <c r="V62" s="1245"/>
      <c r="W62" s="1245"/>
      <c r="X62" s="1246"/>
    </row>
    <row r="63" spans="1:24" ht="19.5" customHeight="1" x14ac:dyDescent="0.2">
      <c r="A63" s="2099" t="s">
        <v>230</v>
      </c>
      <c r="B63" s="2104" t="s">
        <v>279</v>
      </c>
      <c r="C63" s="2102" t="s">
        <v>2173</v>
      </c>
      <c r="D63" s="1212" t="s">
        <v>1831</v>
      </c>
      <c r="E63" s="1212" t="s">
        <v>1288</v>
      </c>
      <c r="F63" s="1244" t="s">
        <v>128</v>
      </c>
      <c r="G63" s="1244" t="s">
        <v>1829</v>
      </c>
      <c r="H63" s="1245"/>
      <c r="I63" s="1245"/>
      <c r="J63" s="1245"/>
      <c r="K63" s="1245"/>
      <c r="L63" s="1245"/>
      <c r="M63" s="1245"/>
      <c r="N63" s="1245"/>
      <c r="O63" s="1245"/>
      <c r="P63" s="1246"/>
      <c r="Q63" s="1247"/>
      <c r="R63" s="1245"/>
      <c r="S63" s="1245"/>
      <c r="T63" s="1245"/>
      <c r="U63" s="1245"/>
      <c r="V63" s="1245"/>
      <c r="W63" s="1245"/>
      <c r="X63" s="1246">
        <v>98349</v>
      </c>
    </row>
    <row r="64" spans="1:24" ht="19.5" customHeight="1" x14ac:dyDescent="0.2">
      <c r="A64" s="2100"/>
      <c r="B64" s="2107"/>
      <c r="C64" s="2106"/>
      <c r="D64" s="1212" t="s">
        <v>1831</v>
      </c>
      <c r="E64" s="1212" t="s">
        <v>556</v>
      </c>
      <c r="F64" s="1244" t="s">
        <v>91</v>
      </c>
      <c r="G64" s="1244" t="s">
        <v>1829</v>
      </c>
      <c r="H64" s="1245"/>
      <c r="I64" s="1245"/>
      <c r="J64" s="1245">
        <f>34328+9269</f>
        <v>43597</v>
      </c>
      <c r="K64" s="1245"/>
      <c r="L64" s="1245"/>
      <c r="M64" s="1245"/>
      <c r="N64" s="1245"/>
      <c r="O64" s="1245"/>
      <c r="P64" s="1246"/>
      <c r="Q64" s="1247"/>
      <c r="R64" s="1245"/>
      <c r="S64" s="1245"/>
      <c r="T64" s="1245"/>
      <c r="U64" s="1245"/>
      <c r="V64" s="1245"/>
      <c r="W64" s="1245"/>
      <c r="X64" s="1246"/>
    </row>
    <row r="65" spans="1:24" ht="19.5" customHeight="1" x14ac:dyDescent="0.2">
      <c r="A65" s="2100"/>
      <c r="B65" s="2107"/>
      <c r="C65" s="2106"/>
      <c r="D65" s="1212" t="s">
        <v>1831</v>
      </c>
      <c r="E65" s="1212" t="s">
        <v>167</v>
      </c>
      <c r="F65" s="1244" t="s">
        <v>133</v>
      </c>
      <c r="G65" s="1244" t="s">
        <v>1829</v>
      </c>
      <c r="H65" s="1245"/>
      <c r="I65" s="1245"/>
      <c r="J65" s="1245">
        <f>32344+8733</f>
        <v>41077</v>
      </c>
      <c r="K65" s="1245"/>
      <c r="L65" s="1245"/>
      <c r="M65" s="1245"/>
      <c r="N65" s="1245"/>
      <c r="O65" s="1245"/>
      <c r="P65" s="1246"/>
      <c r="Q65" s="1247"/>
      <c r="R65" s="1245"/>
      <c r="S65" s="1245"/>
      <c r="T65" s="1245"/>
      <c r="U65" s="1245"/>
      <c r="V65" s="1245"/>
      <c r="W65" s="1245"/>
      <c r="X65" s="1246"/>
    </row>
    <row r="66" spans="1:24" ht="19.5" customHeight="1" x14ac:dyDescent="0.2">
      <c r="A66" s="2101"/>
      <c r="B66" s="2105"/>
      <c r="C66" s="2103"/>
      <c r="D66" s="1212" t="s">
        <v>1831</v>
      </c>
      <c r="E66" s="1212" t="s">
        <v>167</v>
      </c>
      <c r="F66" s="1244" t="s">
        <v>134</v>
      </c>
      <c r="G66" s="1244" t="s">
        <v>1829</v>
      </c>
      <c r="H66" s="1245"/>
      <c r="I66" s="1245"/>
      <c r="J66" s="1245">
        <f>10768+2907</f>
        <v>13675</v>
      </c>
      <c r="K66" s="1245"/>
      <c r="L66" s="1245"/>
      <c r="M66" s="1245"/>
      <c r="N66" s="1245"/>
      <c r="O66" s="1245"/>
      <c r="P66" s="1246"/>
      <c r="Q66" s="1247"/>
      <c r="R66" s="1245"/>
      <c r="S66" s="1245"/>
      <c r="T66" s="1245"/>
      <c r="U66" s="1245"/>
      <c r="V66" s="1245"/>
      <c r="W66" s="1245"/>
      <c r="X66" s="1246"/>
    </row>
    <row r="67" spans="1:24" ht="18.75" customHeight="1" x14ac:dyDescent="0.2">
      <c r="A67" s="2099" t="s">
        <v>231</v>
      </c>
      <c r="B67" s="2104" t="s">
        <v>280</v>
      </c>
      <c r="C67" s="2102" t="s">
        <v>2114</v>
      </c>
      <c r="D67" s="1212" t="s">
        <v>1831</v>
      </c>
      <c r="E67" s="1212" t="s">
        <v>1288</v>
      </c>
      <c r="F67" s="1244" t="s">
        <v>128</v>
      </c>
      <c r="G67" s="1244" t="s">
        <v>1829</v>
      </c>
      <c r="H67" s="1245"/>
      <c r="I67" s="1245"/>
      <c r="J67" s="1245"/>
      <c r="K67" s="1245"/>
      <c r="L67" s="1245"/>
      <c r="M67" s="1245"/>
      <c r="N67" s="1245"/>
      <c r="O67" s="1245"/>
      <c r="P67" s="1246"/>
      <c r="Q67" s="1247"/>
      <c r="R67" s="1245"/>
      <c r="S67" s="1245"/>
      <c r="T67" s="1245"/>
      <c r="U67" s="1245"/>
      <c r="V67" s="1245"/>
      <c r="W67" s="1245"/>
      <c r="X67" s="1246">
        <v>144145</v>
      </c>
    </row>
    <row r="68" spans="1:24" ht="18.75" customHeight="1" x14ac:dyDescent="0.2">
      <c r="A68" s="2101"/>
      <c r="B68" s="2105"/>
      <c r="C68" s="2103"/>
      <c r="D68" s="1212" t="s">
        <v>1831</v>
      </c>
      <c r="E68" s="1212" t="s">
        <v>167</v>
      </c>
      <c r="F68" s="1244" t="s">
        <v>133</v>
      </c>
      <c r="G68" s="1244" t="s">
        <v>1829</v>
      </c>
      <c r="H68" s="1245"/>
      <c r="I68" s="1245"/>
      <c r="J68" s="1245">
        <f>110000+3500+30645</f>
        <v>144145</v>
      </c>
      <c r="K68" s="1245"/>
      <c r="L68" s="1245"/>
      <c r="M68" s="1245"/>
      <c r="N68" s="1245"/>
      <c r="O68" s="1245"/>
      <c r="P68" s="1246"/>
      <c r="Q68" s="1247"/>
      <c r="R68" s="1245"/>
      <c r="S68" s="1245"/>
      <c r="T68" s="1245"/>
      <c r="U68" s="1245"/>
      <c r="V68" s="1245"/>
      <c r="W68" s="1245"/>
      <c r="X68" s="1246"/>
    </row>
    <row r="69" spans="1:24" ht="19.5" customHeight="1" x14ac:dyDescent="0.2">
      <c r="A69" s="2099" t="s">
        <v>232</v>
      </c>
      <c r="B69" s="2104" t="s">
        <v>281</v>
      </c>
      <c r="C69" s="2102" t="s">
        <v>2142</v>
      </c>
      <c r="D69" s="1212" t="s">
        <v>1831</v>
      </c>
      <c r="E69" s="1212" t="s">
        <v>1288</v>
      </c>
      <c r="F69" s="1244" t="s">
        <v>128</v>
      </c>
      <c r="G69" s="1244" t="s">
        <v>1829</v>
      </c>
      <c r="H69" s="1245"/>
      <c r="I69" s="1245"/>
      <c r="J69" s="1245"/>
      <c r="K69" s="1245"/>
      <c r="L69" s="1245"/>
      <c r="M69" s="1245"/>
      <c r="N69" s="1245"/>
      <c r="O69" s="1245"/>
      <c r="P69" s="1246"/>
      <c r="Q69" s="1247"/>
      <c r="R69" s="1245"/>
      <c r="S69" s="1245"/>
      <c r="T69" s="1245"/>
      <c r="U69" s="1245"/>
      <c r="V69" s="1245"/>
      <c r="W69" s="1245"/>
      <c r="X69" s="1246">
        <v>1270000</v>
      </c>
    </row>
    <row r="70" spans="1:24" ht="19.5" customHeight="1" x14ac:dyDescent="0.2">
      <c r="A70" s="2101"/>
      <c r="B70" s="2105"/>
      <c r="C70" s="2103"/>
      <c r="D70" s="1212" t="s">
        <v>1831</v>
      </c>
      <c r="E70" s="1212" t="s">
        <v>556</v>
      </c>
      <c r="F70" s="1244" t="s">
        <v>91</v>
      </c>
      <c r="G70" s="1244" t="s">
        <v>1829</v>
      </c>
      <c r="H70" s="1245"/>
      <c r="I70" s="1245"/>
      <c r="J70" s="1245">
        <f>1000000+270000</f>
        <v>1270000</v>
      </c>
      <c r="K70" s="1245"/>
      <c r="L70" s="1245"/>
      <c r="M70" s="1245"/>
      <c r="N70" s="1245"/>
      <c r="O70" s="1245"/>
      <c r="P70" s="1246"/>
      <c r="Q70" s="1247"/>
      <c r="R70" s="1245"/>
      <c r="S70" s="1245"/>
      <c r="T70" s="1245"/>
      <c r="U70" s="1245"/>
      <c r="V70" s="1245"/>
      <c r="W70" s="1245"/>
      <c r="X70" s="1246"/>
    </row>
    <row r="71" spans="1:24" ht="42" customHeight="1" x14ac:dyDescent="0.2">
      <c r="A71" s="1647" t="s">
        <v>233</v>
      </c>
      <c r="B71" s="1372" t="s">
        <v>282</v>
      </c>
      <c r="C71" s="1211" t="s">
        <v>2143</v>
      </c>
      <c r="D71" s="1212" t="s">
        <v>1831</v>
      </c>
      <c r="E71" s="1212" t="s">
        <v>557</v>
      </c>
      <c r="F71" s="1244" t="s">
        <v>68</v>
      </c>
      <c r="G71" s="1244" t="s">
        <v>1837</v>
      </c>
      <c r="H71" s="1245"/>
      <c r="I71" s="1245"/>
      <c r="J71" s="1245">
        <f>-50000+50000</f>
        <v>0</v>
      </c>
      <c r="K71" s="1245"/>
      <c r="L71" s="1245"/>
      <c r="M71" s="1245"/>
      <c r="N71" s="1245"/>
      <c r="O71" s="1245"/>
      <c r="P71" s="1246"/>
      <c r="Q71" s="1247"/>
      <c r="R71" s="1245"/>
      <c r="S71" s="1245"/>
      <c r="T71" s="1245"/>
      <c r="U71" s="1245"/>
      <c r="V71" s="1245"/>
      <c r="W71" s="1245"/>
      <c r="X71" s="1246"/>
    </row>
    <row r="72" spans="1:24" ht="18.75" customHeight="1" x14ac:dyDescent="0.2">
      <c r="A72" s="2099" t="s">
        <v>260</v>
      </c>
      <c r="B72" s="2104" t="s">
        <v>283</v>
      </c>
      <c r="C72" s="2102" t="s">
        <v>2145</v>
      </c>
      <c r="D72" s="1212" t="s">
        <v>1831</v>
      </c>
      <c r="E72" s="1212" t="s">
        <v>557</v>
      </c>
      <c r="F72" s="1244" t="s">
        <v>154</v>
      </c>
      <c r="G72" s="1244" t="s">
        <v>1829</v>
      </c>
      <c r="H72" s="1245"/>
      <c r="I72" s="1245"/>
      <c r="J72" s="1245">
        <v>500000</v>
      </c>
      <c r="K72" s="1245"/>
      <c r="L72" s="1245"/>
      <c r="M72" s="1245"/>
      <c r="N72" s="1245"/>
      <c r="O72" s="1245"/>
      <c r="P72" s="1246"/>
      <c r="Q72" s="1247"/>
      <c r="R72" s="1245"/>
      <c r="S72" s="1245"/>
      <c r="T72" s="1245">
        <v>500000</v>
      </c>
      <c r="U72" s="1245"/>
      <c r="V72" s="1245"/>
      <c r="W72" s="1245"/>
      <c r="X72" s="1246"/>
    </row>
    <row r="73" spans="1:24" ht="24.75" customHeight="1" x14ac:dyDescent="0.2">
      <c r="A73" s="2100"/>
      <c r="B73" s="2107"/>
      <c r="C73" s="2106"/>
      <c r="D73" s="1212" t="s">
        <v>1831</v>
      </c>
      <c r="E73" s="1212" t="s">
        <v>557</v>
      </c>
      <c r="F73" s="1244" t="s">
        <v>155</v>
      </c>
      <c r="G73" s="1244" t="s">
        <v>1829</v>
      </c>
      <c r="H73" s="1245"/>
      <c r="I73" s="1245"/>
      <c r="J73" s="1245">
        <v>500000</v>
      </c>
      <c r="K73" s="1245"/>
      <c r="L73" s="1245"/>
      <c r="M73" s="1245"/>
      <c r="N73" s="1245"/>
      <c r="O73" s="1245"/>
      <c r="P73" s="1246"/>
      <c r="Q73" s="1247"/>
      <c r="R73" s="1245"/>
      <c r="S73" s="1245"/>
      <c r="T73" s="1245">
        <v>500000</v>
      </c>
      <c r="U73" s="1245"/>
      <c r="V73" s="1245"/>
      <c r="W73" s="1245"/>
      <c r="X73" s="1246"/>
    </row>
    <row r="74" spans="1:24" ht="18.75" x14ac:dyDescent="0.3">
      <c r="A74" s="2082" t="s">
        <v>1749</v>
      </c>
      <c r="B74" s="2083"/>
      <c r="C74" s="2084"/>
      <c r="D74" s="1179"/>
      <c r="E74" s="1179"/>
      <c r="F74" s="1179"/>
      <c r="G74" s="1179"/>
      <c r="H74" s="1365">
        <f t="shared" ref="H74:X74" si="0">SUM(H7:H73)</f>
        <v>0</v>
      </c>
      <c r="I74" s="1365">
        <f t="shared" si="0"/>
        <v>0</v>
      </c>
      <c r="J74" s="1365">
        <f t="shared" si="0"/>
        <v>21279055</v>
      </c>
      <c r="K74" s="1365">
        <f t="shared" si="0"/>
        <v>0</v>
      </c>
      <c r="L74" s="1365">
        <f t="shared" si="0"/>
        <v>0</v>
      </c>
      <c r="M74" s="1365">
        <f t="shared" si="0"/>
        <v>0</v>
      </c>
      <c r="N74" s="1365">
        <f t="shared" si="0"/>
        <v>0</v>
      </c>
      <c r="O74" s="1365">
        <f t="shared" si="0"/>
        <v>0</v>
      </c>
      <c r="P74" s="1366">
        <f t="shared" si="0"/>
        <v>0</v>
      </c>
      <c r="Q74" s="1367">
        <f t="shared" si="0"/>
        <v>0</v>
      </c>
      <c r="R74" s="1365">
        <f t="shared" si="0"/>
        <v>0</v>
      </c>
      <c r="S74" s="1365">
        <f t="shared" si="0"/>
        <v>0</v>
      </c>
      <c r="T74" s="1365">
        <f t="shared" si="0"/>
        <v>13762691</v>
      </c>
      <c r="U74" s="1365">
        <f t="shared" si="0"/>
        <v>0</v>
      </c>
      <c r="V74" s="1365">
        <f t="shared" si="0"/>
        <v>0</v>
      </c>
      <c r="W74" s="1365">
        <f t="shared" si="0"/>
        <v>0</v>
      </c>
      <c r="X74" s="1366">
        <f t="shared" si="0"/>
        <v>7516364</v>
      </c>
    </row>
    <row r="75" spans="1:24" ht="15.75" customHeight="1" x14ac:dyDescent="0.25">
      <c r="A75" s="1237"/>
      <c r="B75" s="1237"/>
      <c r="C75" s="1238"/>
      <c r="D75" s="1195"/>
      <c r="E75" s="1239"/>
      <c r="F75" s="1239"/>
      <c r="G75" s="1239"/>
      <c r="H75" s="1224"/>
      <c r="I75" s="1224"/>
      <c r="J75" s="1224"/>
      <c r="K75" s="1224"/>
      <c r="L75" s="1224"/>
      <c r="M75" s="1224"/>
      <c r="N75" s="1224"/>
      <c r="O75" s="1224"/>
      <c r="P75" s="1224"/>
      <c r="Q75" s="1224"/>
      <c r="R75" s="1224"/>
      <c r="S75" s="1224"/>
      <c r="T75" s="1224"/>
      <c r="U75" s="1224"/>
      <c r="V75" s="1224"/>
      <c r="W75" s="1224"/>
      <c r="X75" s="1224"/>
    </row>
    <row r="76" spans="1:24" ht="17.25" customHeight="1" x14ac:dyDescent="0.25">
      <c r="A76" s="1237"/>
      <c r="B76" s="1237"/>
      <c r="C76" s="1238"/>
      <c r="D76" s="1195"/>
      <c r="E76" s="1239"/>
      <c r="F76" s="1239"/>
      <c r="G76" s="1239"/>
      <c r="H76" s="1224"/>
      <c r="I76" s="1224"/>
      <c r="J76" s="1224"/>
      <c r="K76" s="1224"/>
      <c r="L76" s="1224"/>
      <c r="M76" s="1224"/>
      <c r="N76" s="1224"/>
      <c r="O76" s="1224"/>
      <c r="P76" s="1224"/>
      <c r="Q76" s="1224"/>
      <c r="R76" s="1224"/>
      <c r="S76" s="1224"/>
      <c r="T76" s="1224"/>
      <c r="U76" s="1224"/>
      <c r="V76" s="1224"/>
      <c r="W76" s="1224"/>
      <c r="X76" s="1224"/>
    </row>
    <row r="77" spans="1:24" ht="15" x14ac:dyDescent="0.25">
      <c r="A77" s="1226"/>
      <c r="B77" s="1226"/>
      <c r="C77" s="1196"/>
      <c r="D77" s="1197"/>
      <c r="E77" s="1197"/>
      <c r="F77" s="1197"/>
      <c r="G77" s="1197"/>
      <c r="H77" s="1224"/>
      <c r="I77" s="1224"/>
      <c r="J77" s="1224"/>
      <c r="K77" s="1224"/>
      <c r="L77" s="1224"/>
      <c r="M77" s="1224"/>
      <c r="N77" s="1224"/>
      <c r="O77" s="1224"/>
      <c r="P77" s="1224"/>
      <c r="Q77" s="1224"/>
      <c r="R77" s="1224"/>
      <c r="S77" s="1224"/>
      <c r="T77" s="1224"/>
      <c r="U77" s="1224"/>
      <c r="V77" s="1224"/>
      <c r="W77" s="1224"/>
      <c r="X77" s="1224"/>
    </row>
    <row r="78" spans="1:24" ht="24" customHeight="1" x14ac:dyDescent="0.25">
      <c r="A78" s="1226"/>
      <c r="B78" s="1226"/>
      <c r="C78" s="1196"/>
      <c r="D78" s="1197"/>
      <c r="E78" s="1197"/>
      <c r="F78" s="1197"/>
      <c r="G78" s="1197"/>
      <c r="H78" s="1224"/>
      <c r="I78" s="2108" t="s">
        <v>1750</v>
      </c>
      <c r="J78" s="2108"/>
      <c r="K78" s="2108"/>
      <c r="L78" s="2108">
        <v>1438032186</v>
      </c>
      <c r="M78" s="2108"/>
      <c r="N78" s="1225"/>
      <c r="O78" s="1225"/>
      <c r="P78" s="1225"/>
      <c r="Q78" s="1225"/>
      <c r="R78" s="2108" t="s">
        <v>1751</v>
      </c>
      <c r="S78" s="2108"/>
      <c r="T78" s="2108"/>
      <c r="U78" s="2108">
        <v>1438032186</v>
      </c>
      <c r="V78" s="2108"/>
      <c r="W78" s="1224"/>
      <c r="X78" s="1224"/>
    </row>
    <row r="79" spans="1:24" ht="24" customHeight="1" x14ac:dyDescent="0.25">
      <c r="A79" s="1226"/>
      <c r="B79" s="1226"/>
      <c r="C79" s="1196"/>
      <c r="D79" s="1197"/>
      <c r="E79" s="1197"/>
      <c r="F79" s="1197"/>
      <c r="G79" s="1197"/>
      <c r="H79" s="1224"/>
      <c r="I79" s="2066" t="s">
        <v>3474</v>
      </c>
      <c r="J79" s="2066"/>
      <c r="K79" s="2066"/>
      <c r="L79" s="2108">
        <f>SUM(H74:P74)</f>
        <v>21279055</v>
      </c>
      <c r="M79" s="2108"/>
      <c r="N79" s="1225"/>
      <c r="O79" s="1225"/>
      <c r="P79" s="1225"/>
      <c r="Q79" s="1225"/>
      <c r="R79" s="2066" t="s">
        <v>3474</v>
      </c>
      <c r="S79" s="2066"/>
      <c r="T79" s="2066"/>
      <c r="U79" s="2108">
        <f>SUM(Q74:X74)</f>
        <v>21279055</v>
      </c>
      <c r="V79" s="2108"/>
      <c r="W79" s="1224"/>
      <c r="X79" s="1224"/>
    </row>
    <row r="80" spans="1:24" ht="25.5" customHeight="1" x14ac:dyDescent="0.25">
      <c r="A80" s="1226"/>
      <c r="B80" s="1226"/>
      <c r="C80" s="1196"/>
      <c r="D80" s="1197"/>
      <c r="E80" s="1197"/>
      <c r="F80" s="1197"/>
      <c r="G80" s="1197"/>
      <c r="H80" s="1224"/>
      <c r="I80" s="2108" t="s">
        <v>1561</v>
      </c>
      <c r="J80" s="2108"/>
      <c r="K80" s="2108"/>
      <c r="L80" s="2108">
        <f>+L78+L79</f>
        <v>1459311241</v>
      </c>
      <c r="M80" s="2108"/>
      <c r="N80" s="1225"/>
      <c r="O80" s="1225"/>
      <c r="P80" s="1225"/>
      <c r="Q80" s="1225"/>
      <c r="R80" s="2108" t="s">
        <v>1561</v>
      </c>
      <c r="S80" s="2108"/>
      <c r="T80" s="2108"/>
      <c r="U80" s="2108">
        <f>+U78+U79</f>
        <v>1459311241</v>
      </c>
      <c r="V80" s="2108"/>
      <c r="W80" s="1224"/>
      <c r="X80" s="1224"/>
    </row>
    <row r="81" spans="1:24" ht="15" x14ac:dyDescent="0.25">
      <c r="A81" s="1226"/>
      <c r="B81" s="1226"/>
      <c r="C81" s="1196"/>
      <c r="D81" s="1197"/>
      <c r="E81" s="1197"/>
      <c r="F81" s="1197"/>
      <c r="G81" s="1197"/>
      <c r="H81" s="1224"/>
      <c r="I81" s="1224"/>
      <c r="J81" s="1224"/>
      <c r="K81" s="1224"/>
      <c r="L81" s="1224"/>
      <c r="M81" s="1224"/>
      <c r="N81" s="1224"/>
      <c r="O81" s="1224"/>
      <c r="P81" s="1224"/>
      <c r="Q81" s="1224"/>
      <c r="R81" s="1224"/>
      <c r="S81" s="1224"/>
      <c r="T81" s="1224"/>
      <c r="U81" s="1224"/>
      <c r="V81" s="1224"/>
      <c r="W81" s="1224"/>
      <c r="X81" s="1224"/>
    </row>
    <row r="82" spans="1:24" x14ac:dyDescent="0.2">
      <c r="A82" s="348"/>
      <c r="B82" s="348"/>
      <c r="C82" s="348"/>
      <c r="D82" s="348"/>
      <c r="E82" s="348"/>
      <c r="F82" s="348"/>
      <c r="G82" s="348"/>
      <c r="H82" s="348"/>
      <c r="I82" s="348"/>
      <c r="J82" s="348"/>
      <c r="K82" s="348"/>
      <c r="L82" s="348"/>
      <c r="M82" s="348"/>
      <c r="N82" s="348"/>
      <c r="O82" s="348"/>
      <c r="P82" s="348"/>
      <c r="Q82" s="348"/>
      <c r="R82" s="348"/>
      <c r="S82" s="348"/>
      <c r="T82" s="348"/>
      <c r="U82" s="348"/>
      <c r="V82" s="348"/>
      <c r="W82" s="348"/>
      <c r="X82" s="348"/>
    </row>
    <row r="83" spans="1:24" ht="15.75" x14ac:dyDescent="0.25">
      <c r="A83" s="2069" t="s">
        <v>2641</v>
      </c>
      <c r="B83" s="2069"/>
      <c r="C83" s="2069"/>
      <c r="D83" s="2069"/>
      <c r="E83" s="2069"/>
      <c r="F83" s="2069"/>
      <c r="G83" s="2069"/>
      <c r="H83" s="2069"/>
      <c r="I83" s="2069"/>
      <c r="J83" s="2069"/>
      <c r="K83" s="2069"/>
      <c r="L83" s="2069"/>
      <c r="M83" s="2069"/>
      <c r="N83" s="2069"/>
      <c r="O83" s="2069"/>
      <c r="P83" s="2069"/>
      <c r="Q83" s="2069"/>
      <c r="R83" s="2069"/>
      <c r="S83" s="2069"/>
      <c r="T83" s="2069"/>
      <c r="U83" s="2069"/>
      <c r="V83" s="2069"/>
      <c r="W83" s="2069"/>
      <c r="X83" s="2069"/>
    </row>
    <row r="84" spans="1:24" ht="15" x14ac:dyDescent="0.25">
      <c r="A84" s="1195"/>
      <c r="B84" s="1195"/>
      <c r="C84" s="1194"/>
      <c r="D84" s="1195"/>
      <c r="E84" s="1195"/>
      <c r="F84" s="1195"/>
      <c r="G84" s="1195"/>
      <c r="H84" s="1195"/>
      <c r="I84" s="1195"/>
      <c r="J84" s="1195"/>
      <c r="K84" s="1195"/>
      <c r="L84" s="1195"/>
      <c r="M84" s="1195"/>
      <c r="N84" s="1195"/>
      <c r="O84" s="1195"/>
      <c r="P84" s="1195"/>
      <c r="Q84" s="1195"/>
      <c r="R84" s="1195"/>
      <c r="S84" s="1195"/>
      <c r="T84" s="1195"/>
      <c r="U84" s="1195"/>
      <c r="V84" s="1195"/>
      <c r="W84" s="1195"/>
      <c r="X84" s="1195"/>
    </row>
    <row r="85" spans="1:24" ht="15" x14ac:dyDescent="0.25">
      <c r="A85" s="2112" t="s">
        <v>25</v>
      </c>
      <c r="B85" s="2112"/>
      <c r="C85" s="2112"/>
      <c r="D85" s="2112"/>
      <c r="E85" s="2112"/>
      <c r="F85" s="2112"/>
      <c r="G85" s="2112"/>
      <c r="H85" s="2112"/>
      <c r="I85" s="2112"/>
      <c r="J85" s="2112"/>
      <c r="K85" s="2112"/>
      <c r="L85" s="2112"/>
      <c r="M85" s="2112"/>
      <c r="N85" s="2112"/>
      <c r="O85" s="2112"/>
      <c r="P85" s="2112"/>
      <c r="Q85" s="2112"/>
      <c r="R85" s="2112"/>
      <c r="S85" s="2112"/>
      <c r="T85" s="2112"/>
      <c r="U85" s="2112"/>
      <c r="V85" s="2112"/>
      <c r="W85" s="2112"/>
      <c r="X85" s="2112"/>
    </row>
    <row r="86" spans="1:24" ht="15" x14ac:dyDescent="0.25">
      <c r="A86" s="1226"/>
      <c r="B86" s="1226"/>
      <c r="C86" s="1196"/>
      <c r="D86" s="1197"/>
      <c r="E86" s="1197"/>
      <c r="F86" s="1197"/>
      <c r="G86" s="1197"/>
      <c r="H86" s="1197"/>
      <c r="I86" s="1197"/>
      <c r="J86" s="1197"/>
      <c r="K86" s="1197"/>
      <c r="L86" s="1197"/>
      <c r="M86" s="1197"/>
      <c r="N86" s="1197"/>
      <c r="O86" s="1197"/>
      <c r="P86" s="1197"/>
      <c r="Q86" s="1198"/>
      <c r="R86" s="1197"/>
      <c r="S86" s="1197"/>
      <c r="T86" s="1197"/>
      <c r="U86" s="1197"/>
      <c r="V86" s="1197"/>
      <c r="W86" s="1197"/>
      <c r="X86" s="1197"/>
    </row>
    <row r="87" spans="1:24" ht="15" customHeight="1" x14ac:dyDescent="0.25">
      <c r="A87" s="2113" t="s">
        <v>37</v>
      </c>
      <c r="B87" s="2093" t="s">
        <v>1726</v>
      </c>
      <c r="C87" s="2115" t="s">
        <v>2</v>
      </c>
      <c r="D87" s="2117" t="s">
        <v>1727</v>
      </c>
      <c r="E87" s="2117" t="s">
        <v>117</v>
      </c>
      <c r="F87" s="2117" t="s">
        <v>1728</v>
      </c>
      <c r="G87" s="2117" t="s">
        <v>1729</v>
      </c>
      <c r="H87" s="2119" t="s">
        <v>1730</v>
      </c>
      <c r="I87" s="2119"/>
      <c r="J87" s="2119"/>
      <c r="K87" s="2119"/>
      <c r="L87" s="2119"/>
      <c r="M87" s="2119"/>
      <c r="N87" s="2119"/>
      <c r="O87" s="2133"/>
      <c r="P87" s="1661"/>
      <c r="Q87" s="2120" t="s">
        <v>1731</v>
      </c>
      <c r="R87" s="2119"/>
      <c r="S87" s="2119"/>
      <c r="T87" s="2119"/>
      <c r="U87" s="2119"/>
      <c r="V87" s="2119"/>
      <c r="W87" s="2119"/>
      <c r="X87" s="2121"/>
    </row>
    <row r="88" spans="1:24" ht="81" customHeight="1" x14ac:dyDescent="0.2">
      <c r="A88" s="2114"/>
      <c r="B88" s="2094"/>
      <c r="C88" s="2116"/>
      <c r="D88" s="2118"/>
      <c r="E88" s="2118"/>
      <c r="F88" s="2118"/>
      <c r="G88" s="2118"/>
      <c r="H88" s="1154" t="s">
        <v>2382</v>
      </c>
      <c r="I88" s="1154" t="s">
        <v>1763</v>
      </c>
      <c r="J88" s="1154" t="s">
        <v>1764</v>
      </c>
      <c r="K88" s="1154" t="s">
        <v>1765</v>
      </c>
      <c r="L88" s="1154" t="s">
        <v>1766</v>
      </c>
      <c r="M88" s="1154" t="s">
        <v>1767</v>
      </c>
      <c r="N88" s="1154" t="s">
        <v>1757</v>
      </c>
      <c r="O88" s="1157" t="s">
        <v>1739</v>
      </c>
      <c r="P88" s="1159" t="s">
        <v>1740</v>
      </c>
      <c r="Q88" s="1227" t="s">
        <v>1768</v>
      </c>
      <c r="R88" s="1154" t="s">
        <v>1769</v>
      </c>
      <c r="S88" s="1154" t="s">
        <v>1770</v>
      </c>
      <c r="T88" s="1154" t="s">
        <v>1771</v>
      </c>
      <c r="U88" s="1154" t="s">
        <v>1745</v>
      </c>
      <c r="V88" s="1154" t="s">
        <v>1772</v>
      </c>
      <c r="W88" s="1154" t="s">
        <v>1747</v>
      </c>
      <c r="X88" s="1159" t="s">
        <v>1773</v>
      </c>
    </row>
    <row r="89" spans="1:24" ht="18" customHeight="1" x14ac:dyDescent="0.2">
      <c r="A89" s="2124" t="s">
        <v>261</v>
      </c>
      <c r="B89" s="2134" t="s">
        <v>284</v>
      </c>
      <c r="C89" s="2122" t="s">
        <v>2250</v>
      </c>
      <c r="D89" s="1201" t="s">
        <v>1831</v>
      </c>
      <c r="E89" s="1202">
        <v>18030</v>
      </c>
      <c r="F89" s="1243" t="s">
        <v>128</v>
      </c>
      <c r="G89" s="1202" t="s">
        <v>1829</v>
      </c>
      <c r="H89" s="1229"/>
      <c r="I89" s="1229"/>
      <c r="J89" s="1229"/>
      <c r="K89" s="1229"/>
      <c r="L89" s="1229"/>
      <c r="M89" s="1229"/>
      <c r="N89" s="1229"/>
      <c r="O89" s="1229"/>
      <c r="P89" s="1230"/>
      <c r="Q89" s="1231"/>
      <c r="R89" s="1229"/>
      <c r="S89" s="1229"/>
      <c r="T89" s="1229"/>
      <c r="U89" s="1229"/>
      <c r="V89" s="1229"/>
      <c r="W89" s="1229"/>
      <c r="X89" s="1230">
        <v>5593500</v>
      </c>
    </row>
    <row r="90" spans="1:24" ht="18" customHeight="1" x14ac:dyDescent="0.2">
      <c r="A90" s="2100"/>
      <c r="B90" s="2128"/>
      <c r="C90" s="2106"/>
      <c r="D90" s="1206" t="s">
        <v>1831</v>
      </c>
      <c r="E90" s="1206" t="s">
        <v>556</v>
      </c>
      <c r="F90" s="1232" t="s">
        <v>91</v>
      </c>
      <c r="G90" s="1232" t="s">
        <v>1829</v>
      </c>
      <c r="H90" s="1233">
        <v>1200000</v>
      </c>
      <c r="I90" s="1233">
        <v>156000</v>
      </c>
      <c r="J90" s="1233"/>
      <c r="K90" s="1233"/>
      <c r="L90" s="1233"/>
      <c r="M90" s="1233"/>
      <c r="N90" s="1233"/>
      <c r="O90" s="1233"/>
      <c r="P90" s="1234"/>
      <c r="Q90" s="1235"/>
      <c r="R90" s="1233"/>
      <c r="S90" s="1233"/>
      <c r="T90" s="1233"/>
      <c r="U90" s="1233"/>
      <c r="V90" s="1233"/>
      <c r="W90" s="1233"/>
      <c r="X90" s="1234"/>
    </row>
    <row r="91" spans="1:24" ht="18" customHeight="1" x14ac:dyDescent="0.2">
      <c r="A91" s="2100"/>
      <c r="B91" s="2128"/>
      <c r="C91" s="2106"/>
      <c r="D91" s="1206" t="s">
        <v>1831</v>
      </c>
      <c r="E91" s="1206" t="s">
        <v>510</v>
      </c>
      <c r="F91" s="1232" t="s">
        <v>132</v>
      </c>
      <c r="G91" s="1232" t="s">
        <v>1829</v>
      </c>
      <c r="H91" s="1233">
        <v>150000</v>
      </c>
      <c r="I91" s="1233">
        <v>19500</v>
      </c>
      <c r="J91" s="1233"/>
      <c r="K91" s="1233"/>
      <c r="L91" s="1233"/>
      <c r="M91" s="1233"/>
      <c r="N91" s="1233"/>
      <c r="O91" s="1233"/>
      <c r="P91" s="1234"/>
      <c r="Q91" s="1235"/>
      <c r="R91" s="1233"/>
      <c r="S91" s="1233"/>
      <c r="T91" s="1233"/>
      <c r="U91" s="1233"/>
      <c r="V91" s="1233"/>
      <c r="W91" s="1233"/>
      <c r="X91" s="1234"/>
    </row>
    <row r="92" spans="1:24" ht="18" customHeight="1" x14ac:dyDescent="0.2">
      <c r="A92" s="2100"/>
      <c r="B92" s="2128"/>
      <c r="C92" s="2106"/>
      <c r="D92" s="1206" t="s">
        <v>1831</v>
      </c>
      <c r="E92" s="1206" t="s">
        <v>394</v>
      </c>
      <c r="F92" s="1232" t="s">
        <v>151</v>
      </c>
      <c r="G92" s="1232" t="s">
        <v>1829</v>
      </c>
      <c r="H92" s="1233">
        <v>600000</v>
      </c>
      <c r="I92" s="1233">
        <v>78000</v>
      </c>
      <c r="J92" s="1233"/>
      <c r="K92" s="1233"/>
      <c r="L92" s="1233"/>
      <c r="M92" s="1233"/>
      <c r="N92" s="1233"/>
      <c r="O92" s="1233"/>
      <c r="P92" s="1234"/>
      <c r="Q92" s="1235"/>
      <c r="R92" s="1233"/>
      <c r="S92" s="1233"/>
      <c r="T92" s="1233"/>
      <c r="U92" s="1233"/>
      <c r="V92" s="1233"/>
      <c r="W92" s="1233"/>
      <c r="X92" s="1234"/>
    </row>
    <row r="93" spans="1:24" ht="18" customHeight="1" x14ac:dyDescent="0.2">
      <c r="A93" s="2100"/>
      <c r="B93" s="2128"/>
      <c r="C93" s="2106"/>
      <c r="D93" s="1206" t="s">
        <v>1831</v>
      </c>
      <c r="E93" s="1206" t="s">
        <v>166</v>
      </c>
      <c r="F93" s="1232" t="s">
        <v>152</v>
      </c>
      <c r="G93" s="1232" t="s">
        <v>1829</v>
      </c>
      <c r="H93" s="1233">
        <v>300000</v>
      </c>
      <c r="I93" s="1233">
        <v>39000</v>
      </c>
      <c r="J93" s="1233"/>
      <c r="K93" s="1233"/>
      <c r="L93" s="1233"/>
      <c r="M93" s="1233"/>
      <c r="N93" s="1233"/>
      <c r="O93" s="1233"/>
      <c r="P93" s="1234"/>
      <c r="Q93" s="1235"/>
      <c r="R93" s="1233"/>
      <c r="S93" s="1233"/>
      <c r="T93" s="1233"/>
      <c r="U93" s="1233"/>
      <c r="V93" s="1233"/>
      <c r="W93" s="1233"/>
      <c r="X93" s="1234"/>
    </row>
    <row r="94" spans="1:24" ht="18" customHeight="1" x14ac:dyDescent="0.2">
      <c r="A94" s="2100"/>
      <c r="B94" s="2128"/>
      <c r="C94" s="2106"/>
      <c r="D94" s="1206" t="s">
        <v>1831</v>
      </c>
      <c r="E94" s="1206" t="s">
        <v>514</v>
      </c>
      <c r="F94" s="1232" t="s">
        <v>466</v>
      </c>
      <c r="G94" s="1232" t="s">
        <v>1829</v>
      </c>
      <c r="H94" s="1233">
        <v>300000</v>
      </c>
      <c r="I94" s="1233">
        <v>39000</v>
      </c>
      <c r="J94" s="1233"/>
      <c r="K94" s="1233"/>
      <c r="L94" s="1233"/>
      <c r="M94" s="1233"/>
      <c r="N94" s="1233"/>
      <c r="O94" s="1233"/>
      <c r="P94" s="1234"/>
      <c r="Q94" s="1235"/>
      <c r="R94" s="1233"/>
      <c r="S94" s="1233"/>
      <c r="T94" s="1233"/>
      <c r="U94" s="1233"/>
      <c r="V94" s="1233"/>
      <c r="W94" s="1233"/>
      <c r="X94" s="1234"/>
    </row>
    <row r="95" spans="1:24" ht="18" customHeight="1" x14ac:dyDescent="0.2">
      <c r="A95" s="2100"/>
      <c r="B95" s="2128"/>
      <c r="C95" s="2106"/>
      <c r="D95" s="1206" t="s">
        <v>1831</v>
      </c>
      <c r="E95" s="1206" t="s">
        <v>516</v>
      </c>
      <c r="F95" s="1232" t="s">
        <v>468</v>
      </c>
      <c r="G95" s="1232" t="s">
        <v>1829</v>
      </c>
      <c r="H95" s="1233">
        <v>300000</v>
      </c>
      <c r="I95" s="1233">
        <v>39000</v>
      </c>
      <c r="J95" s="1233"/>
      <c r="K95" s="1233"/>
      <c r="L95" s="1233"/>
      <c r="M95" s="1233"/>
      <c r="N95" s="1233"/>
      <c r="O95" s="1233"/>
      <c r="P95" s="1234"/>
      <c r="Q95" s="1235"/>
      <c r="R95" s="1233"/>
      <c r="S95" s="1233"/>
      <c r="T95" s="1233"/>
      <c r="U95" s="1233"/>
      <c r="V95" s="1233"/>
      <c r="W95" s="1233"/>
      <c r="X95" s="1234"/>
    </row>
    <row r="96" spans="1:24" ht="18" customHeight="1" x14ac:dyDescent="0.2">
      <c r="A96" s="2100"/>
      <c r="B96" s="2128"/>
      <c r="C96" s="2106"/>
      <c r="D96" s="1206" t="s">
        <v>1831</v>
      </c>
      <c r="E96" s="1206" t="s">
        <v>168</v>
      </c>
      <c r="F96" s="1232" t="s">
        <v>153</v>
      </c>
      <c r="G96" s="1232" t="s">
        <v>1829</v>
      </c>
      <c r="H96" s="1233">
        <v>1500000</v>
      </c>
      <c r="I96" s="1233">
        <v>195000</v>
      </c>
      <c r="J96" s="1233"/>
      <c r="K96" s="1233"/>
      <c r="L96" s="1233"/>
      <c r="M96" s="1233"/>
      <c r="N96" s="1233"/>
      <c r="O96" s="1233"/>
      <c r="P96" s="1234"/>
      <c r="Q96" s="1235"/>
      <c r="R96" s="1233"/>
      <c r="S96" s="1233"/>
      <c r="T96" s="1233"/>
      <c r="U96" s="1233"/>
      <c r="V96" s="1233"/>
      <c r="W96" s="1233"/>
      <c r="X96" s="1234"/>
    </row>
    <row r="97" spans="1:24" ht="18" customHeight="1" x14ac:dyDescent="0.2">
      <c r="A97" s="2100"/>
      <c r="B97" s="2128"/>
      <c r="C97" s="2106"/>
      <c r="D97" s="1206" t="s">
        <v>1831</v>
      </c>
      <c r="E97" s="1206" t="s">
        <v>169</v>
      </c>
      <c r="F97" s="1232" t="s">
        <v>67</v>
      </c>
      <c r="G97" s="1232" t="s">
        <v>1829</v>
      </c>
      <c r="H97" s="1233">
        <v>450000</v>
      </c>
      <c r="I97" s="1233">
        <v>58500</v>
      </c>
      <c r="J97" s="1233"/>
      <c r="K97" s="1233"/>
      <c r="L97" s="1233"/>
      <c r="M97" s="1233"/>
      <c r="N97" s="1233"/>
      <c r="O97" s="1233"/>
      <c r="P97" s="1234"/>
      <c r="Q97" s="1235"/>
      <c r="R97" s="1233"/>
      <c r="S97" s="1233"/>
      <c r="T97" s="1233"/>
      <c r="U97" s="1233"/>
      <c r="V97" s="1233"/>
      <c r="W97" s="1233"/>
      <c r="X97" s="1234"/>
    </row>
    <row r="98" spans="1:24" ht="18" customHeight="1" x14ac:dyDescent="0.2">
      <c r="A98" s="2101"/>
      <c r="B98" s="2127"/>
      <c r="C98" s="2103"/>
      <c r="D98" s="1206" t="s">
        <v>1831</v>
      </c>
      <c r="E98" s="1206" t="s">
        <v>557</v>
      </c>
      <c r="F98" s="1232" t="s">
        <v>154</v>
      </c>
      <c r="G98" s="1232" t="s">
        <v>1829</v>
      </c>
      <c r="H98" s="1233">
        <v>150000</v>
      </c>
      <c r="I98" s="1233">
        <v>19500</v>
      </c>
      <c r="J98" s="1233"/>
      <c r="K98" s="1233"/>
      <c r="L98" s="1233"/>
      <c r="M98" s="1233"/>
      <c r="N98" s="1233"/>
      <c r="O98" s="1233"/>
      <c r="P98" s="1234"/>
      <c r="Q98" s="1235"/>
      <c r="R98" s="1233"/>
      <c r="S98" s="1233"/>
      <c r="T98" s="1233"/>
      <c r="U98" s="1233"/>
      <c r="V98" s="1233"/>
      <c r="W98" s="1233"/>
      <c r="X98" s="1234"/>
    </row>
    <row r="99" spans="1:24" ht="18" customHeight="1" x14ac:dyDescent="0.2">
      <c r="A99" s="2099" t="s">
        <v>262</v>
      </c>
      <c r="B99" s="2126" t="s">
        <v>285</v>
      </c>
      <c r="C99" s="2102" t="s">
        <v>2256</v>
      </c>
      <c r="D99" s="1206" t="s">
        <v>1831</v>
      </c>
      <c r="E99" s="1206" t="s">
        <v>556</v>
      </c>
      <c r="F99" s="1232" t="s">
        <v>91</v>
      </c>
      <c r="G99" s="1232" t="s">
        <v>1837</v>
      </c>
      <c r="H99" s="1233">
        <f>-75680+48900+26780</f>
        <v>0</v>
      </c>
      <c r="I99" s="1233"/>
      <c r="J99" s="1233"/>
      <c r="K99" s="1233"/>
      <c r="L99" s="1233"/>
      <c r="M99" s="1233"/>
      <c r="N99" s="1233"/>
      <c r="O99" s="1233"/>
      <c r="P99" s="1234"/>
      <c r="Q99" s="1235"/>
      <c r="R99" s="1233"/>
      <c r="S99" s="1233"/>
      <c r="T99" s="1233"/>
      <c r="U99" s="1233"/>
      <c r="V99" s="1233"/>
      <c r="W99" s="1233"/>
      <c r="X99" s="1234"/>
    </row>
    <row r="100" spans="1:24" ht="18" customHeight="1" x14ac:dyDescent="0.2">
      <c r="A100" s="2100"/>
      <c r="B100" s="2128"/>
      <c r="C100" s="2106"/>
      <c r="D100" s="1206" t="s">
        <v>1831</v>
      </c>
      <c r="E100" s="1206" t="s">
        <v>510</v>
      </c>
      <c r="F100" s="1232" t="s">
        <v>132</v>
      </c>
      <c r="G100" s="1232" t="s">
        <v>1837</v>
      </c>
      <c r="H100" s="1233">
        <f>-5108+5108</f>
        <v>0</v>
      </c>
      <c r="I100" s="1233"/>
      <c r="J100" s="1233"/>
      <c r="K100" s="1233"/>
      <c r="L100" s="1233"/>
      <c r="M100" s="1233"/>
      <c r="N100" s="1233"/>
      <c r="O100" s="1233"/>
      <c r="P100" s="1234"/>
      <c r="Q100" s="1235"/>
      <c r="R100" s="1233"/>
      <c r="S100" s="1233"/>
      <c r="T100" s="1233"/>
      <c r="U100" s="1233"/>
      <c r="V100" s="1233"/>
      <c r="W100" s="1233"/>
      <c r="X100" s="1234"/>
    </row>
    <row r="101" spans="1:24" ht="18" customHeight="1" x14ac:dyDescent="0.2">
      <c r="A101" s="2100"/>
      <c r="B101" s="2128"/>
      <c r="C101" s="2106"/>
      <c r="D101" s="1206" t="s">
        <v>1831</v>
      </c>
      <c r="E101" s="1206" t="s">
        <v>394</v>
      </c>
      <c r="F101" s="1232" t="s">
        <v>151</v>
      </c>
      <c r="G101" s="1232" t="s">
        <v>1837</v>
      </c>
      <c r="H101" s="1233">
        <f>-107800+107800</f>
        <v>0</v>
      </c>
      <c r="I101" s="1233"/>
      <c r="J101" s="1233"/>
      <c r="K101" s="1233"/>
      <c r="L101" s="1233"/>
      <c r="M101" s="1233"/>
      <c r="N101" s="1233"/>
      <c r="O101" s="1233"/>
      <c r="P101" s="1234"/>
      <c r="Q101" s="1235"/>
      <c r="R101" s="1233"/>
      <c r="S101" s="1233"/>
      <c r="T101" s="1233"/>
      <c r="U101" s="1233"/>
      <c r="V101" s="1233"/>
      <c r="W101" s="1233"/>
      <c r="X101" s="1234"/>
    </row>
    <row r="102" spans="1:24" ht="18" customHeight="1" x14ac:dyDescent="0.2">
      <c r="A102" s="2100"/>
      <c r="B102" s="2128"/>
      <c r="C102" s="2106"/>
      <c r="D102" s="1206" t="s">
        <v>1831</v>
      </c>
      <c r="E102" s="1206" t="s">
        <v>166</v>
      </c>
      <c r="F102" s="1232" t="s">
        <v>152</v>
      </c>
      <c r="G102" s="1232" t="s">
        <v>1837</v>
      </c>
      <c r="H102" s="1233">
        <f>-355290+27600+4590+323100</f>
        <v>0</v>
      </c>
      <c r="I102" s="1233"/>
      <c r="J102" s="1233"/>
      <c r="K102" s="1233"/>
      <c r="L102" s="1233"/>
      <c r="M102" s="1233"/>
      <c r="N102" s="1233"/>
      <c r="O102" s="1233"/>
      <c r="P102" s="1234"/>
      <c r="Q102" s="1235"/>
      <c r="R102" s="1233"/>
      <c r="S102" s="1233"/>
      <c r="T102" s="1233"/>
      <c r="U102" s="1233"/>
      <c r="V102" s="1233"/>
      <c r="W102" s="1233"/>
      <c r="X102" s="1234"/>
    </row>
    <row r="103" spans="1:24" ht="18" customHeight="1" x14ac:dyDescent="0.2">
      <c r="A103" s="2100"/>
      <c r="B103" s="2128"/>
      <c r="C103" s="2106"/>
      <c r="D103" s="1206" t="s">
        <v>1831</v>
      </c>
      <c r="E103" s="1206" t="s">
        <v>761</v>
      </c>
      <c r="F103" s="1232" t="s">
        <v>135</v>
      </c>
      <c r="G103" s="1232" t="s">
        <v>1837</v>
      </c>
      <c r="H103" s="1233">
        <f>-190000+190000</f>
        <v>0</v>
      </c>
      <c r="I103" s="1233"/>
      <c r="J103" s="1233"/>
      <c r="K103" s="1233"/>
      <c r="L103" s="1233"/>
      <c r="M103" s="1233"/>
      <c r="N103" s="1233"/>
      <c r="O103" s="1233"/>
      <c r="P103" s="1234"/>
      <c r="Q103" s="1235"/>
      <c r="R103" s="1233"/>
      <c r="S103" s="1233"/>
      <c r="T103" s="1233"/>
      <c r="U103" s="1233"/>
      <c r="V103" s="1233"/>
      <c r="W103" s="1233"/>
      <c r="X103" s="1234"/>
    </row>
    <row r="104" spans="1:24" ht="18" customHeight="1" x14ac:dyDescent="0.2">
      <c r="A104" s="2100"/>
      <c r="B104" s="2128"/>
      <c r="C104" s="2106"/>
      <c r="D104" s="1206" t="s">
        <v>1831</v>
      </c>
      <c r="E104" s="1206" t="s">
        <v>514</v>
      </c>
      <c r="F104" s="1232" t="s">
        <v>466</v>
      </c>
      <c r="G104" s="1232" t="s">
        <v>1837</v>
      </c>
      <c r="H104" s="1233">
        <f>-7387+7387</f>
        <v>0</v>
      </c>
      <c r="I104" s="1233"/>
      <c r="J104" s="1233"/>
      <c r="K104" s="1233"/>
      <c r="L104" s="1233"/>
      <c r="M104" s="1233"/>
      <c r="N104" s="1233"/>
      <c r="O104" s="1233"/>
      <c r="P104" s="1234"/>
      <c r="Q104" s="1235"/>
      <c r="R104" s="1233"/>
      <c r="S104" s="1233"/>
      <c r="T104" s="1233"/>
      <c r="U104" s="1233"/>
      <c r="V104" s="1233"/>
      <c r="W104" s="1233"/>
      <c r="X104" s="1234"/>
    </row>
    <row r="105" spans="1:24" ht="18" customHeight="1" x14ac:dyDescent="0.2">
      <c r="A105" s="2100"/>
      <c r="B105" s="2128"/>
      <c r="C105" s="2106"/>
      <c r="D105" s="1206" t="s">
        <v>1831</v>
      </c>
      <c r="E105" s="1206" t="s">
        <v>168</v>
      </c>
      <c r="F105" s="1232" t="s">
        <v>153</v>
      </c>
      <c r="G105" s="1232" t="s">
        <v>1837</v>
      </c>
      <c r="H105" s="1233">
        <f>-23357+23357</f>
        <v>0</v>
      </c>
      <c r="I105" s="1233"/>
      <c r="J105" s="1233"/>
      <c r="K105" s="1233"/>
      <c r="L105" s="1233"/>
      <c r="M105" s="1233"/>
      <c r="N105" s="1233"/>
      <c r="O105" s="1233"/>
      <c r="P105" s="1234"/>
      <c r="Q105" s="1235"/>
      <c r="R105" s="1233"/>
      <c r="S105" s="1233"/>
      <c r="T105" s="1233"/>
      <c r="U105" s="1233"/>
      <c r="V105" s="1233"/>
      <c r="W105" s="1233"/>
      <c r="X105" s="1234"/>
    </row>
    <row r="106" spans="1:24" ht="18" customHeight="1" x14ac:dyDescent="0.2">
      <c r="A106" s="2101"/>
      <c r="B106" s="2127"/>
      <c r="C106" s="2103"/>
      <c r="D106" s="1206" t="s">
        <v>1831</v>
      </c>
      <c r="E106" s="1206" t="s">
        <v>169</v>
      </c>
      <c r="F106" s="1232" t="s">
        <v>67</v>
      </c>
      <c r="G106" s="1232" t="s">
        <v>1837</v>
      </c>
      <c r="H106" s="1233">
        <f>-10234+10234</f>
        <v>0</v>
      </c>
      <c r="I106" s="1233"/>
      <c r="J106" s="1233"/>
      <c r="K106" s="1233"/>
      <c r="L106" s="1233"/>
      <c r="M106" s="1233"/>
      <c r="N106" s="1233"/>
      <c r="O106" s="1233"/>
      <c r="P106" s="1234"/>
      <c r="Q106" s="1235"/>
      <c r="R106" s="1233"/>
      <c r="S106" s="1233"/>
      <c r="T106" s="1233"/>
      <c r="U106" s="1233"/>
      <c r="V106" s="1233"/>
      <c r="W106" s="1233"/>
      <c r="X106" s="1234"/>
    </row>
    <row r="107" spans="1:24" ht="18" customHeight="1" x14ac:dyDescent="0.2">
      <c r="A107" s="2099" t="s">
        <v>263</v>
      </c>
      <c r="B107" s="2126" t="s">
        <v>286</v>
      </c>
      <c r="C107" s="2102" t="s">
        <v>2289</v>
      </c>
      <c r="D107" s="1206" t="s">
        <v>1831</v>
      </c>
      <c r="E107" s="1206" t="s">
        <v>1288</v>
      </c>
      <c r="F107" s="1232" t="s">
        <v>128</v>
      </c>
      <c r="G107" s="1232" t="s">
        <v>1829</v>
      </c>
      <c r="H107" s="1233"/>
      <c r="I107" s="1233"/>
      <c r="J107" s="1233"/>
      <c r="K107" s="1233"/>
      <c r="L107" s="1233"/>
      <c r="M107" s="1233"/>
      <c r="N107" s="1233"/>
      <c r="O107" s="1233"/>
      <c r="P107" s="1234"/>
      <c r="Q107" s="1235"/>
      <c r="R107" s="1233"/>
      <c r="S107" s="1233"/>
      <c r="T107" s="1233"/>
      <c r="U107" s="1233"/>
      <c r="V107" s="1233"/>
      <c r="W107" s="1233"/>
      <c r="X107" s="1234">
        <v>158750</v>
      </c>
    </row>
    <row r="108" spans="1:24" ht="23.25" customHeight="1" x14ac:dyDescent="0.2">
      <c r="A108" s="2101"/>
      <c r="B108" s="2127"/>
      <c r="C108" s="2103"/>
      <c r="D108" s="1206" t="s">
        <v>1831</v>
      </c>
      <c r="E108" s="1206" t="s">
        <v>167</v>
      </c>
      <c r="F108" s="1232" t="s">
        <v>134</v>
      </c>
      <c r="G108" s="1232" t="s">
        <v>1829</v>
      </c>
      <c r="H108" s="1233"/>
      <c r="I108" s="1233"/>
      <c r="J108" s="1233">
        <f>125000+33750</f>
        <v>158750</v>
      </c>
      <c r="K108" s="1233"/>
      <c r="L108" s="1233"/>
      <c r="M108" s="1233"/>
      <c r="N108" s="1233"/>
      <c r="O108" s="1233"/>
      <c r="P108" s="1234"/>
      <c r="Q108" s="1235"/>
      <c r="R108" s="1233"/>
      <c r="S108" s="1233"/>
      <c r="T108" s="1233"/>
      <c r="U108" s="1233"/>
      <c r="V108" s="1233"/>
      <c r="W108" s="1233"/>
      <c r="X108" s="1234"/>
    </row>
    <row r="109" spans="1:24" ht="39.75" customHeight="1" x14ac:dyDescent="0.2">
      <c r="A109" s="1650" t="s">
        <v>264</v>
      </c>
      <c r="B109" s="1649" t="s">
        <v>287</v>
      </c>
      <c r="C109" s="1205" t="s">
        <v>2317</v>
      </c>
      <c r="D109" s="1206" t="s">
        <v>1831</v>
      </c>
      <c r="E109" s="1206" t="s">
        <v>1288</v>
      </c>
      <c r="F109" s="1232" t="s">
        <v>128</v>
      </c>
      <c r="G109" s="1232" t="s">
        <v>1829</v>
      </c>
      <c r="H109" s="1233"/>
      <c r="I109" s="1233"/>
      <c r="J109" s="1233"/>
      <c r="K109" s="1233"/>
      <c r="L109" s="1233">
        <v>41070640</v>
      </c>
      <c r="M109" s="1233"/>
      <c r="N109" s="1233"/>
      <c r="O109" s="1233"/>
      <c r="P109" s="1234"/>
      <c r="Q109" s="1235"/>
      <c r="R109" s="1233"/>
      <c r="S109" s="1233"/>
      <c r="T109" s="1233"/>
      <c r="U109" s="1233"/>
      <c r="V109" s="1233"/>
      <c r="W109" s="1233"/>
      <c r="X109" s="1234">
        <v>41070640</v>
      </c>
    </row>
    <row r="110" spans="1:24" ht="38.25" customHeight="1" x14ac:dyDescent="0.2">
      <c r="A110" s="1650" t="s">
        <v>265</v>
      </c>
      <c r="B110" s="1649" t="s">
        <v>288</v>
      </c>
      <c r="C110" s="1205" t="s">
        <v>2339</v>
      </c>
      <c r="D110" s="1206" t="s">
        <v>1831</v>
      </c>
      <c r="E110" s="1206" t="s">
        <v>556</v>
      </c>
      <c r="F110" s="1232" t="s">
        <v>91</v>
      </c>
      <c r="G110" s="1232" t="s">
        <v>1837</v>
      </c>
      <c r="H110" s="1233"/>
      <c r="I110" s="1233"/>
      <c r="J110" s="1233">
        <f>-400000-108000</f>
        <v>-508000</v>
      </c>
      <c r="K110" s="1233"/>
      <c r="L110" s="1233"/>
      <c r="M110" s="1233">
        <f>400000+108000</f>
        <v>508000</v>
      </c>
      <c r="N110" s="1233"/>
      <c r="O110" s="1233"/>
      <c r="P110" s="1234"/>
      <c r="Q110" s="1235"/>
      <c r="R110" s="1233"/>
      <c r="S110" s="1233"/>
      <c r="T110" s="1233"/>
      <c r="U110" s="1233"/>
      <c r="V110" s="1233"/>
      <c r="W110" s="1233"/>
      <c r="X110" s="1234"/>
    </row>
    <row r="111" spans="1:24" ht="37.5" customHeight="1" x14ac:dyDescent="0.2">
      <c r="A111" s="1650" t="s">
        <v>266</v>
      </c>
      <c r="B111" s="1649" t="s">
        <v>289</v>
      </c>
      <c r="C111" s="1205" t="s">
        <v>2341</v>
      </c>
      <c r="D111" s="1206" t="s">
        <v>1831</v>
      </c>
      <c r="E111" s="1206" t="s">
        <v>557</v>
      </c>
      <c r="F111" s="1232" t="s">
        <v>154</v>
      </c>
      <c r="G111" s="1232" t="s">
        <v>1837</v>
      </c>
      <c r="H111" s="1233"/>
      <c r="I111" s="1233"/>
      <c r="J111" s="1233">
        <f>-1200000+1200000</f>
        <v>0</v>
      </c>
      <c r="K111" s="1233"/>
      <c r="L111" s="1233"/>
      <c r="M111" s="1233"/>
      <c r="N111" s="1233"/>
      <c r="O111" s="1233"/>
      <c r="P111" s="1234"/>
      <c r="Q111" s="1235"/>
      <c r="R111" s="1233"/>
      <c r="S111" s="1233"/>
      <c r="T111" s="1233"/>
      <c r="U111" s="1233"/>
      <c r="V111" s="1233"/>
      <c r="W111" s="1233"/>
      <c r="X111" s="1234"/>
    </row>
    <row r="112" spans="1:24" ht="30" customHeight="1" x14ac:dyDescent="0.2">
      <c r="A112" s="1650" t="s">
        <v>267</v>
      </c>
      <c r="B112" s="1649" t="s">
        <v>290</v>
      </c>
      <c r="C112" s="1205" t="s">
        <v>2342</v>
      </c>
      <c r="D112" s="1206" t="s">
        <v>1831</v>
      </c>
      <c r="E112" s="1206" t="s">
        <v>557</v>
      </c>
      <c r="F112" s="1232" t="s">
        <v>155</v>
      </c>
      <c r="G112" s="1232" t="s">
        <v>1829</v>
      </c>
      <c r="H112" s="1233"/>
      <c r="I112" s="1233"/>
      <c r="J112" s="1233">
        <f>1500000+405000</f>
        <v>1905000</v>
      </c>
      <c r="K112" s="1233"/>
      <c r="L112" s="1233"/>
      <c r="M112" s="1233"/>
      <c r="N112" s="1233"/>
      <c r="O112" s="1233"/>
      <c r="P112" s="1234"/>
      <c r="Q112" s="1235"/>
      <c r="R112" s="1233"/>
      <c r="S112" s="1233"/>
      <c r="T112" s="1233">
        <f>1500000+405000</f>
        <v>1905000</v>
      </c>
      <c r="U112" s="1233"/>
      <c r="V112" s="1233"/>
      <c r="W112" s="1233"/>
      <c r="X112" s="1234"/>
    </row>
    <row r="113" spans="1:24" ht="53.25" customHeight="1" x14ac:dyDescent="0.2">
      <c r="A113" s="1650" t="s">
        <v>268</v>
      </c>
      <c r="B113" s="1649" t="s">
        <v>291</v>
      </c>
      <c r="C113" s="1205" t="s">
        <v>2376</v>
      </c>
      <c r="D113" s="1206" t="s">
        <v>1831</v>
      </c>
      <c r="E113" s="1206" t="s">
        <v>168</v>
      </c>
      <c r="F113" s="1232" t="s">
        <v>153</v>
      </c>
      <c r="G113" s="1232" t="s">
        <v>1837</v>
      </c>
      <c r="H113" s="1233">
        <f>-30000+30000</f>
        <v>0</v>
      </c>
      <c r="I113" s="1233"/>
      <c r="J113" s="1233"/>
      <c r="K113" s="1233"/>
      <c r="L113" s="1233"/>
      <c r="M113" s="1233"/>
      <c r="N113" s="1233"/>
      <c r="O113" s="1233"/>
      <c r="P113" s="1234"/>
      <c r="Q113" s="1235"/>
      <c r="R113" s="1233"/>
      <c r="S113" s="1233"/>
      <c r="T113" s="1233"/>
      <c r="U113" s="1233"/>
      <c r="V113" s="1233"/>
      <c r="W113" s="1233"/>
      <c r="X113" s="1234"/>
    </row>
    <row r="114" spans="1:24" ht="20.25" customHeight="1" x14ac:dyDescent="0.2">
      <c r="A114" s="2099" t="s">
        <v>269</v>
      </c>
      <c r="B114" s="2104" t="s">
        <v>292</v>
      </c>
      <c r="C114" s="2102" t="s">
        <v>2404</v>
      </c>
      <c r="D114" s="1206" t="s">
        <v>1831</v>
      </c>
      <c r="E114" s="1206" t="s">
        <v>556</v>
      </c>
      <c r="F114" s="1232" t="s">
        <v>91</v>
      </c>
      <c r="G114" s="1232" t="s">
        <v>1837</v>
      </c>
      <c r="H114" s="1233">
        <f>-159455+118900+40555</f>
        <v>0</v>
      </c>
      <c r="I114" s="1233"/>
      <c r="J114" s="1233"/>
      <c r="K114" s="1233"/>
      <c r="L114" s="1233"/>
      <c r="M114" s="1233"/>
      <c r="N114" s="1233"/>
      <c r="O114" s="1233"/>
      <c r="P114" s="1234"/>
      <c r="Q114" s="1235"/>
      <c r="R114" s="1233"/>
      <c r="S114" s="1233"/>
      <c r="T114" s="1233"/>
      <c r="U114" s="1233"/>
      <c r="V114" s="1233"/>
      <c r="W114" s="1233"/>
      <c r="X114" s="1234"/>
    </row>
    <row r="115" spans="1:24" ht="20.25" customHeight="1" x14ac:dyDescent="0.2">
      <c r="A115" s="2100"/>
      <c r="B115" s="2107"/>
      <c r="C115" s="2106"/>
      <c r="D115" s="1206" t="s">
        <v>1831</v>
      </c>
      <c r="E115" s="1206" t="s">
        <v>510</v>
      </c>
      <c r="F115" s="1232" t="s">
        <v>132</v>
      </c>
      <c r="G115" s="1232" t="s">
        <v>1837</v>
      </c>
      <c r="H115" s="1233">
        <f>-5108+5108</f>
        <v>0</v>
      </c>
      <c r="I115" s="1233"/>
      <c r="J115" s="1233"/>
      <c r="K115" s="1233"/>
      <c r="L115" s="1233"/>
      <c r="M115" s="1233"/>
      <c r="N115" s="1233"/>
      <c r="O115" s="1233"/>
      <c r="P115" s="1234"/>
      <c r="Q115" s="1235"/>
      <c r="R115" s="1233"/>
      <c r="S115" s="1233"/>
      <c r="T115" s="1233"/>
      <c r="U115" s="1233"/>
      <c r="V115" s="1233"/>
      <c r="W115" s="1233"/>
      <c r="X115" s="1234"/>
    </row>
    <row r="116" spans="1:24" ht="20.25" customHeight="1" x14ac:dyDescent="0.2">
      <c r="A116" s="2100"/>
      <c r="B116" s="2107"/>
      <c r="C116" s="2106"/>
      <c r="D116" s="1206" t="s">
        <v>1831</v>
      </c>
      <c r="E116" s="1206" t="s">
        <v>394</v>
      </c>
      <c r="F116" s="1232" t="s">
        <v>151</v>
      </c>
      <c r="G116" s="1232" t="s">
        <v>1837</v>
      </c>
      <c r="H116" s="1233">
        <f>-107800+107800</f>
        <v>0</v>
      </c>
      <c r="I116" s="1233"/>
      <c r="J116" s="1233"/>
      <c r="K116" s="1233"/>
      <c r="L116" s="1233"/>
      <c r="M116" s="1233"/>
      <c r="N116" s="1233"/>
      <c r="O116" s="1233"/>
      <c r="P116" s="1234"/>
      <c r="Q116" s="1235"/>
      <c r="R116" s="1233"/>
      <c r="S116" s="1233"/>
      <c r="T116" s="1233"/>
      <c r="U116" s="1233"/>
      <c r="V116" s="1233"/>
      <c r="W116" s="1233"/>
      <c r="X116" s="1234"/>
    </row>
    <row r="117" spans="1:24" ht="20.25" customHeight="1" x14ac:dyDescent="0.2">
      <c r="A117" s="2100"/>
      <c r="B117" s="2107"/>
      <c r="C117" s="2106"/>
      <c r="D117" s="1206" t="s">
        <v>1831</v>
      </c>
      <c r="E117" s="1206" t="s">
        <v>166</v>
      </c>
      <c r="F117" s="1232" t="s">
        <v>152</v>
      </c>
      <c r="G117" s="1232" t="s">
        <v>1837</v>
      </c>
      <c r="H117" s="1233">
        <f>-192830+20000+5130+167700</f>
        <v>0</v>
      </c>
      <c r="I117" s="1233"/>
      <c r="J117" s="1233"/>
      <c r="K117" s="1233"/>
      <c r="L117" s="1233"/>
      <c r="M117" s="1233"/>
      <c r="N117" s="1233"/>
      <c r="O117" s="1233"/>
      <c r="P117" s="1234"/>
      <c r="Q117" s="1235"/>
      <c r="R117" s="1233"/>
      <c r="S117" s="1233"/>
      <c r="T117" s="1233"/>
      <c r="U117" s="1233"/>
      <c r="V117" s="1233"/>
      <c r="W117" s="1233"/>
      <c r="X117" s="1234"/>
    </row>
    <row r="118" spans="1:24" ht="20.25" customHeight="1" x14ac:dyDescent="0.2">
      <c r="A118" s="2100"/>
      <c r="B118" s="2107"/>
      <c r="C118" s="2106"/>
      <c r="D118" s="1206" t="s">
        <v>1831</v>
      </c>
      <c r="E118" s="1206" t="s">
        <v>761</v>
      </c>
      <c r="F118" s="1232" t="s">
        <v>135</v>
      </c>
      <c r="G118" s="1232" t="s">
        <v>1837</v>
      </c>
      <c r="H118" s="1233">
        <f>-190000+190000</f>
        <v>0</v>
      </c>
      <c r="I118" s="1233"/>
      <c r="J118" s="1233"/>
      <c r="K118" s="1233"/>
      <c r="L118" s="1233"/>
      <c r="M118" s="1233"/>
      <c r="N118" s="1233"/>
      <c r="O118" s="1233"/>
      <c r="P118" s="1234"/>
      <c r="Q118" s="1235"/>
      <c r="R118" s="1233"/>
      <c r="S118" s="1233"/>
      <c r="T118" s="1233"/>
      <c r="U118" s="1233"/>
      <c r="V118" s="1233"/>
      <c r="W118" s="1233"/>
      <c r="X118" s="1234"/>
    </row>
    <row r="119" spans="1:24" ht="20.25" customHeight="1" x14ac:dyDescent="0.2">
      <c r="A119" s="2100"/>
      <c r="B119" s="2107"/>
      <c r="C119" s="2106"/>
      <c r="D119" s="1206" t="s">
        <v>1831</v>
      </c>
      <c r="E119" s="1206" t="s">
        <v>514</v>
      </c>
      <c r="F119" s="1232" t="s">
        <v>466</v>
      </c>
      <c r="G119" s="1232" t="s">
        <v>1837</v>
      </c>
      <c r="H119" s="1233">
        <f>-8618+8618</f>
        <v>0</v>
      </c>
      <c r="I119" s="1233"/>
      <c r="J119" s="1233"/>
      <c r="K119" s="1233"/>
      <c r="L119" s="1233"/>
      <c r="M119" s="1233"/>
      <c r="N119" s="1233"/>
      <c r="O119" s="1233"/>
      <c r="P119" s="1234"/>
      <c r="Q119" s="1235"/>
      <c r="R119" s="1233"/>
      <c r="S119" s="1233"/>
      <c r="T119" s="1233"/>
      <c r="U119" s="1233"/>
      <c r="V119" s="1233"/>
      <c r="W119" s="1233"/>
      <c r="X119" s="1234"/>
    </row>
    <row r="120" spans="1:24" ht="20.25" customHeight="1" x14ac:dyDescent="0.2">
      <c r="A120" s="2100"/>
      <c r="B120" s="2107"/>
      <c r="C120" s="2106"/>
      <c r="D120" s="1206" t="s">
        <v>1831</v>
      </c>
      <c r="E120" s="1206" t="s">
        <v>516</v>
      </c>
      <c r="F120" s="1232" t="s">
        <v>468</v>
      </c>
      <c r="G120" s="1232" t="s">
        <v>1837</v>
      </c>
      <c r="H120" s="1233">
        <f>-60681+60681</f>
        <v>0</v>
      </c>
      <c r="I120" s="1233"/>
      <c r="J120" s="1233"/>
      <c r="K120" s="1233"/>
      <c r="L120" s="1233"/>
      <c r="M120" s="1233"/>
      <c r="N120" s="1233"/>
      <c r="O120" s="1233"/>
      <c r="P120" s="1234"/>
      <c r="Q120" s="1235"/>
      <c r="R120" s="1233"/>
      <c r="S120" s="1233"/>
      <c r="T120" s="1233"/>
      <c r="U120" s="1233"/>
      <c r="V120" s="1233"/>
      <c r="W120" s="1233"/>
      <c r="X120" s="1234"/>
    </row>
    <row r="121" spans="1:24" ht="20.25" customHeight="1" x14ac:dyDescent="0.2">
      <c r="A121" s="2100"/>
      <c r="B121" s="2107"/>
      <c r="C121" s="2106"/>
      <c r="D121" s="1206" t="s">
        <v>1831</v>
      </c>
      <c r="E121" s="1206" t="s">
        <v>168</v>
      </c>
      <c r="F121" s="1232" t="s">
        <v>153</v>
      </c>
      <c r="G121" s="1232" t="s">
        <v>1837</v>
      </c>
      <c r="H121" s="1233">
        <f>-506193+479458+26735</f>
        <v>0</v>
      </c>
      <c r="I121" s="1233"/>
      <c r="J121" s="1233"/>
      <c r="K121" s="1233"/>
      <c r="L121" s="1233"/>
      <c r="M121" s="1233"/>
      <c r="N121" s="1233"/>
      <c r="O121" s="1233"/>
      <c r="P121" s="1234"/>
      <c r="Q121" s="1235"/>
      <c r="R121" s="1233"/>
      <c r="S121" s="1233"/>
      <c r="T121" s="1233"/>
      <c r="U121" s="1233"/>
      <c r="V121" s="1233"/>
      <c r="W121" s="1233"/>
      <c r="X121" s="1234"/>
    </row>
    <row r="122" spans="1:24" ht="20.25" customHeight="1" x14ac:dyDescent="0.2">
      <c r="A122" s="2101"/>
      <c r="B122" s="2105"/>
      <c r="C122" s="2103"/>
      <c r="D122" s="1206" t="s">
        <v>1831</v>
      </c>
      <c r="E122" s="1206" t="s">
        <v>169</v>
      </c>
      <c r="F122" s="1232" t="s">
        <v>67</v>
      </c>
      <c r="G122" s="1232" t="s">
        <v>1837</v>
      </c>
      <c r="H122" s="1233">
        <f>-10234+10234</f>
        <v>0</v>
      </c>
      <c r="I122" s="1233"/>
      <c r="J122" s="1233"/>
      <c r="K122" s="1233"/>
      <c r="L122" s="1233"/>
      <c r="M122" s="1233"/>
      <c r="N122" s="1233"/>
      <c r="O122" s="1233"/>
      <c r="P122" s="1234"/>
      <c r="Q122" s="1235"/>
      <c r="R122" s="1233"/>
      <c r="S122" s="1233"/>
      <c r="T122" s="1233"/>
      <c r="U122" s="1233"/>
      <c r="V122" s="1233"/>
      <c r="W122" s="1233"/>
      <c r="X122" s="1234"/>
    </row>
    <row r="123" spans="1:24" ht="36.75" customHeight="1" x14ac:dyDescent="0.2">
      <c r="A123" s="1650" t="s">
        <v>270</v>
      </c>
      <c r="B123" s="1649" t="s">
        <v>293</v>
      </c>
      <c r="C123" s="1205" t="s">
        <v>1853</v>
      </c>
      <c r="D123" s="1206" t="s">
        <v>1831</v>
      </c>
      <c r="E123" s="1206" t="s">
        <v>556</v>
      </c>
      <c r="F123" s="1232" t="s">
        <v>830</v>
      </c>
      <c r="G123" s="1232" t="s">
        <v>1829</v>
      </c>
      <c r="H123" s="1233"/>
      <c r="I123" s="1233"/>
      <c r="J123" s="1233">
        <f>10000000+2700000</f>
        <v>12700000</v>
      </c>
      <c r="K123" s="1233"/>
      <c r="L123" s="1233"/>
      <c r="M123" s="1233"/>
      <c r="N123" s="1233"/>
      <c r="O123" s="1233"/>
      <c r="P123" s="1234"/>
      <c r="Q123" s="1235"/>
      <c r="R123" s="1233"/>
      <c r="S123" s="1233"/>
      <c r="T123" s="1233">
        <f>10000000+2700000</f>
        <v>12700000</v>
      </c>
      <c r="U123" s="1233"/>
      <c r="V123" s="1233"/>
      <c r="W123" s="1233"/>
      <c r="X123" s="1234"/>
    </row>
    <row r="124" spans="1:24" ht="24" customHeight="1" x14ac:dyDescent="0.2">
      <c r="A124" s="2099" t="s">
        <v>271</v>
      </c>
      <c r="B124" s="2104" t="s">
        <v>294</v>
      </c>
      <c r="C124" s="2102" t="s">
        <v>2468</v>
      </c>
      <c r="D124" s="1206" t="s">
        <v>1831</v>
      </c>
      <c r="E124" s="1206" t="s">
        <v>1288</v>
      </c>
      <c r="F124" s="1232" t="s">
        <v>128</v>
      </c>
      <c r="G124" s="1232" t="s">
        <v>1829</v>
      </c>
      <c r="H124" s="1233"/>
      <c r="I124" s="1233"/>
      <c r="J124" s="1233"/>
      <c r="K124" s="1233"/>
      <c r="L124" s="1233"/>
      <c r="M124" s="1233"/>
      <c r="N124" s="1233"/>
      <c r="O124" s="1233"/>
      <c r="P124" s="1234"/>
      <c r="Q124" s="1235"/>
      <c r="R124" s="1233"/>
      <c r="S124" s="1233"/>
      <c r="T124" s="1233"/>
      <c r="U124" s="1233"/>
      <c r="V124" s="1233"/>
      <c r="W124" s="1233"/>
      <c r="X124" s="1234">
        <v>1651000</v>
      </c>
    </row>
    <row r="125" spans="1:24" ht="24" customHeight="1" x14ac:dyDescent="0.2">
      <c r="A125" s="2101"/>
      <c r="B125" s="2105"/>
      <c r="C125" s="2103"/>
      <c r="D125" s="1206" t="s">
        <v>1831</v>
      </c>
      <c r="E125" s="1206" t="s">
        <v>556</v>
      </c>
      <c r="F125" s="1232" t="s">
        <v>91</v>
      </c>
      <c r="G125" s="1232" t="s">
        <v>1829</v>
      </c>
      <c r="H125" s="1233"/>
      <c r="I125" s="1233"/>
      <c r="J125" s="1233">
        <f>1300000+351000</f>
        <v>1651000</v>
      </c>
      <c r="K125" s="1233"/>
      <c r="L125" s="1233"/>
      <c r="M125" s="1233"/>
      <c r="N125" s="1233"/>
      <c r="O125" s="1233"/>
      <c r="P125" s="1234"/>
      <c r="Q125" s="1235"/>
      <c r="R125" s="1233"/>
      <c r="S125" s="1233"/>
      <c r="T125" s="1233"/>
      <c r="U125" s="1233"/>
      <c r="V125" s="1233"/>
      <c r="W125" s="1233"/>
      <c r="X125" s="1234"/>
    </row>
    <row r="126" spans="1:24" ht="38.25" customHeight="1" x14ac:dyDescent="0.2">
      <c r="A126" s="1650" t="s">
        <v>272</v>
      </c>
      <c r="B126" s="1649" t="s">
        <v>730</v>
      </c>
      <c r="C126" s="1205" t="s">
        <v>2476</v>
      </c>
      <c r="D126" s="1206" t="s">
        <v>1831</v>
      </c>
      <c r="E126" s="1206" t="s">
        <v>167</v>
      </c>
      <c r="F126" s="1232" t="s">
        <v>133</v>
      </c>
      <c r="G126" s="1232" t="s">
        <v>1829</v>
      </c>
      <c r="H126" s="1233"/>
      <c r="I126" s="1233"/>
      <c r="J126" s="1233">
        <f>1000000+270000</f>
        <v>1270000</v>
      </c>
      <c r="K126" s="1233"/>
      <c r="L126" s="1233"/>
      <c r="M126" s="1233"/>
      <c r="N126" s="1233"/>
      <c r="O126" s="1233"/>
      <c r="P126" s="1234"/>
      <c r="Q126" s="1235"/>
      <c r="R126" s="1233"/>
      <c r="S126" s="1233"/>
      <c r="T126" s="1233">
        <v>1270000</v>
      </c>
      <c r="U126" s="1233"/>
      <c r="V126" s="1233"/>
      <c r="W126" s="1233"/>
      <c r="X126" s="1234"/>
    </row>
    <row r="127" spans="1:24" ht="27.75" customHeight="1" x14ac:dyDescent="0.2">
      <c r="A127" s="2099" t="s">
        <v>276</v>
      </c>
      <c r="B127" s="2104" t="s">
        <v>295</v>
      </c>
      <c r="C127" s="2102" t="s">
        <v>2477</v>
      </c>
      <c r="D127" s="1206" t="s">
        <v>1831</v>
      </c>
      <c r="E127" s="1206" t="s">
        <v>557</v>
      </c>
      <c r="F127" s="1232" t="s">
        <v>154</v>
      </c>
      <c r="G127" s="1232" t="s">
        <v>1829</v>
      </c>
      <c r="H127" s="1233"/>
      <c r="I127" s="1233"/>
      <c r="J127" s="1233">
        <f>1000000+2000000+2000000+1350000</f>
        <v>6350000</v>
      </c>
      <c r="K127" s="1233"/>
      <c r="L127" s="1233"/>
      <c r="M127" s="1233"/>
      <c r="N127" s="1233"/>
      <c r="O127" s="1233"/>
      <c r="P127" s="1234"/>
      <c r="Q127" s="1235"/>
      <c r="R127" s="1233"/>
      <c r="S127" s="1233"/>
      <c r="T127" s="1233">
        <f>5000000+1350000</f>
        <v>6350000</v>
      </c>
      <c r="U127" s="1233"/>
      <c r="V127" s="1233"/>
      <c r="W127" s="1233"/>
      <c r="X127" s="1234"/>
    </row>
    <row r="128" spans="1:24" ht="27.75" customHeight="1" x14ac:dyDescent="0.2">
      <c r="A128" s="2101"/>
      <c r="B128" s="2105"/>
      <c r="C128" s="2103"/>
      <c r="D128" s="1206" t="s">
        <v>1831</v>
      </c>
      <c r="E128" s="1206" t="s">
        <v>1399</v>
      </c>
      <c r="F128" s="1232" t="s">
        <v>1832</v>
      </c>
      <c r="G128" s="1232" t="s">
        <v>1829</v>
      </c>
      <c r="H128" s="1233"/>
      <c r="I128" s="1233"/>
      <c r="J128" s="1233">
        <f>800000+216000</f>
        <v>1016000</v>
      </c>
      <c r="K128" s="1233"/>
      <c r="L128" s="1233"/>
      <c r="M128" s="1233"/>
      <c r="N128" s="1233"/>
      <c r="O128" s="1233"/>
      <c r="P128" s="1234"/>
      <c r="Q128" s="1235"/>
      <c r="R128" s="1233"/>
      <c r="S128" s="1233"/>
      <c r="T128" s="1233">
        <f>800000+216000</f>
        <v>1016000</v>
      </c>
      <c r="U128" s="1233"/>
      <c r="V128" s="1233"/>
      <c r="W128" s="1233"/>
      <c r="X128" s="1234"/>
    </row>
    <row r="129" spans="1:24" ht="24.75" customHeight="1" x14ac:dyDescent="0.2">
      <c r="A129" s="2099" t="s">
        <v>277</v>
      </c>
      <c r="B129" s="2104" t="s">
        <v>731</v>
      </c>
      <c r="C129" s="2102" t="s">
        <v>2502</v>
      </c>
      <c r="D129" s="1212" t="s">
        <v>1831</v>
      </c>
      <c r="E129" s="1212" t="s">
        <v>1288</v>
      </c>
      <c r="F129" s="1244" t="s">
        <v>128</v>
      </c>
      <c r="G129" s="1244" t="s">
        <v>1829</v>
      </c>
      <c r="H129" s="1245"/>
      <c r="I129" s="1245"/>
      <c r="J129" s="1245"/>
      <c r="K129" s="1245"/>
      <c r="L129" s="1245"/>
      <c r="M129" s="1245"/>
      <c r="N129" s="1245"/>
      <c r="O129" s="1245"/>
      <c r="P129" s="1246"/>
      <c r="Q129" s="1247"/>
      <c r="R129" s="1245"/>
      <c r="S129" s="1245"/>
      <c r="T129" s="1245"/>
      <c r="U129" s="1245"/>
      <c r="V129" s="1245"/>
      <c r="W129" s="1245"/>
      <c r="X129" s="1246">
        <v>135000</v>
      </c>
    </row>
    <row r="130" spans="1:24" ht="24.75" customHeight="1" x14ac:dyDescent="0.2">
      <c r="A130" s="2101"/>
      <c r="B130" s="2105"/>
      <c r="C130" s="2103"/>
      <c r="D130" s="1212" t="s">
        <v>1831</v>
      </c>
      <c r="E130" s="1212" t="s">
        <v>167</v>
      </c>
      <c r="F130" s="1244" t="s">
        <v>134</v>
      </c>
      <c r="G130" s="1244" t="s">
        <v>1829</v>
      </c>
      <c r="H130" s="1245"/>
      <c r="I130" s="1245"/>
      <c r="J130" s="1245">
        <v>135000</v>
      </c>
      <c r="K130" s="1245"/>
      <c r="L130" s="1245"/>
      <c r="M130" s="1245"/>
      <c r="N130" s="1245"/>
      <c r="O130" s="1245"/>
      <c r="P130" s="1246"/>
      <c r="Q130" s="1247"/>
      <c r="R130" s="1245"/>
      <c r="S130" s="1245"/>
      <c r="T130" s="1245"/>
      <c r="U130" s="1245"/>
      <c r="V130" s="1245"/>
      <c r="W130" s="1245"/>
      <c r="X130" s="1246"/>
    </row>
    <row r="131" spans="1:24" ht="24" customHeight="1" x14ac:dyDescent="0.2">
      <c r="A131" s="2099" t="s">
        <v>278</v>
      </c>
      <c r="B131" s="2104" t="s">
        <v>296</v>
      </c>
      <c r="C131" s="2102" t="s">
        <v>2526</v>
      </c>
      <c r="D131" s="1212" t="s">
        <v>1831</v>
      </c>
      <c r="E131" s="1212" t="s">
        <v>556</v>
      </c>
      <c r="F131" s="1244" t="s">
        <v>91</v>
      </c>
      <c r="G131" s="1244" t="s">
        <v>1837</v>
      </c>
      <c r="H131" s="1245">
        <f>-285951+248975+36976</f>
        <v>0</v>
      </c>
      <c r="I131" s="1245"/>
      <c r="J131" s="1245"/>
      <c r="K131" s="1245"/>
      <c r="L131" s="1245"/>
      <c r="M131" s="1245"/>
      <c r="N131" s="1245"/>
      <c r="O131" s="1245"/>
      <c r="P131" s="1246"/>
      <c r="Q131" s="1247"/>
      <c r="R131" s="1245"/>
      <c r="S131" s="1245"/>
      <c r="T131" s="1245"/>
      <c r="U131" s="1245"/>
      <c r="V131" s="1245"/>
      <c r="W131" s="1245"/>
      <c r="X131" s="1246"/>
    </row>
    <row r="132" spans="1:24" ht="24" customHeight="1" x14ac:dyDescent="0.2">
      <c r="A132" s="2100"/>
      <c r="B132" s="2107"/>
      <c r="C132" s="2106"/>
      <c r="D132" s="1212" t="s">
        <v>1831</v>
      </c>
      <c r="E132" s="1212" t="s">
        <v>510</v>
      </c>
      <c r="F132" s="1244" t="s">
        <v>132</v>
      </c>
      <c r="G132" s="1244" t="s">
        <v>1837</v>
      </c>
      <c r="H132" s="1245">
        <f>-5108+5108</f>
        <v>0</v>
      </c>
      <c r="I132" s="1245"/>
      <c r="J132" s="1245"/>
      <c r="K132" s="1245"/>
      <c r="L132" s="1245"/>
      <c r="M132" s="1245"/>
      <c r="N132" s="1245"/>
      <c r="O132" s="1245"/>
      <c r="P132" s="1246"/>
      <c r="Q132" s="1247"/>
      <c r="R132" s="1245"/>
      <c r="S132" s="1245"/>
      <c r="T132" s="1245"/>
      <c r="U132" s="1245"/>
      <c r="V132" s="1245"/>
      <c r="W132" s="1245"/>
      <c r="X132" s="1246"/>
    </row>
    <row r="133" spans="1:24" ht="24" customHeight="1" x14ac:dyDescent="0.2">
      <c r="A133" s="2100"/>
      <c r="B133" s="2107"/>
      <c r="C133" s="2106"/>
      <c r="D133" s="1212" t="s">
        <v>1831</v>
      </c>
      <c r="E133" s="1212" t="s">
        <v>394</v>
      </c>
      <c r="F133" s="1244" t="s">
        <v>151</v>
      </c>
      <c r="G133" s="1244" t="s">
        <v>1837</v>
      </c>
      <c r="H133" s="1245">
        <f>-170300+170300</f>
        <v>0</v>
      </c>
      <c r="I133" s="1245"/>
      <c r="J133" s="1245"/>
      <c r="K133" s="1245"/>
      <c r="L133" s="1245"/>
      <c r="M133" s="1245"/>
      <c r="N133" s="1245"/>
      <c r="O133" s="1245"/>
      <c r="P133" s="1246"/>
      <c r="Q133" s="1247"/>
      <c r="R133" s="1245"/>
      <c r="S133" s="1245"/>
      <c r="T133" s="1245"/>
      <c r="U133" s="1245"/>
      <c r="V133" s="1245"/>
      <c r="W133" s="1245"/>
      <c r="X133" s="1246"/>
    </row>
    <row r="134" spans="1:24" ht="24" customHeight="1" x14ac:dyDescent="0.2">
      <c r="A134" s="2100"/>
      <c r="B134" s="2107"/>
      <c r="C134" s="2106"/>
      <c r="D134" s="1212" t="s">
        <v>1831</v>
      </c>
      <c r="E134" s="1212" t="s">
        <v>166</v>
      </c>
      <c r="F134" s="1244" t="s">
        <v>152</v>
      </c>
      <c r="G134" s="1244" t="s">
        <v>1837</v>
      </c>
      <c r="H134" s="1245">
        <f>-334490+20000+4590+309900</f>
        <v>0</v>
      </c>
      <c r="I134" s="1245"/>
      <c r="J134" s="1245"/>
      <c r="K134" s="1245"/>
      <c r="L134" s="1245"/>
      <c r="M134" s="1245"/>
      <c r="N134" s="1245"/>
      <c r="O134" s="1245"/>
      <c r="P134" s="1246"/>
      <c r="Q134" s="1247"/>
      <c r="R134" s="1245"/>
      <c r="S134" s="1245"/>
      <c r="T134" s="1245"/>
      <c r="U134" s="1245"/>
      <c r="V134" s="1245"/>
      <c r="W134" s="1245"/>
      <c r="X134" s="1246"/>
    </row>
    <row r="135" spans="1:24" ht="24" customHeight="1" x14ac:dyDescent="0.2">
      <c r="A135" s="2100"/>
      <c r="B135" s="2107"/>
      <c r="C135" s="2106"/>
      <c r="D135" s="1212" t="s">
        <v>1831</v>
      </c>
      <c r="E135" s="1212" t="s">
        <v>761</v>
      </c>
      <c r="F135" s="1244" t="s">
        <v>135</v>
      </c>
      <c r="G135" s="1244" t="s">
        <v>1837</v>
      </c>
      <c r="H135" s="1245">
        <f>-190000+190000</f>
        <v>0</v>
      </c>
      <c r="I135" s="1245"/>
      <c r="J135" s="1245"/>
      <c r="K135" s="1245"/>
      <c r="L135" s="1245"/>
      <c r="M135" s="1245"/>
      <c r="N135" s="1245"/>
      <c r="O135" s="1245"/>
      <c r="P135" s="1246"/>
      <c r="Q135" s="1247"/>
      <c r="R135" s="1245"/>
      <c r="S135" s="1245"/>
      <c r="T135" s="1245"/>
      <c r="U135" s="1245"/>
      <c r="V135" s="1245"/>
      <c r="W135" s="1245"/>
      <c r="X135" s="1246"/>
    </row>
    <row r="136" spans="1:24" ht="24" customHeight="1" x14ac:dyDescent="0.2">
      <c r="A136" s="2100"/>
      <c r="B136" s="2107"/>
      <c r="C136" s="2106"/>
      <c r="D136" s="1212" t="s">
        <v>1831</v>
      </c>
      <c r="E136" s="1212" t="s">
        <v>514</v>
      </c>
      <c r="F136" s="1244" t="s">
        <v>466</v>
      </c>
      <c r="G136" s="1244" t="s">
        <v>1837</v>
      </c>
      <c r="H136" s="1245">
        <f>-8618+8618</f>
        <v>0</v>
      </c>
      <c r="I136" s="1245"/>
      <c r="J136" s="1245"/>
      <c r="K136" s="1245"/>
      <c r="L136" s="1245"/>
      <c r="M136" s="1245"/>
      <c r="N136" s="1245"/>
      <c r="O136" s="1245"/>
      <c r="P136" s="1246"/>
      <c r="Q136" s="1247"/>
      <c r="R136" s="1245"/>
      <c r="S136" s="1245"/>
      <c r="T136" s="1245"/>
      <c r="U136" s="1245"/>
      <c r="V136" s="1245"/>
      <c r="W136" s="1245"/>
      <c r="X136" s="1246"/>
    </row>
    <row r="137" spans="1:24" ht="24" customHeight="1" x14ac:dyDescent="0.2">
      <c r="A137" s="2100"/>
      <c r="B137" s="2107"/>
      <c r="C137" s="2106"/>
      <c r="D137" s="1212" t="s">
        <v>1831</v>
      </c>
      <c r="E137" s="1212" t="s">
        <v>168</v>
      </c>
      <c r="F137" s="1244" t="s">
        <v>153</v>
      </c>
      <c r="G137" s="1244" t="s">
        <v>1837</v>
      </c>
      <c r="H137" s="1245">
        <f>-507448+485458+21990</f>
        <v>0</v>
      </c>
      <c r="I137" s="1245"/>
      <c r="J137" s="1245"/>
      <c r="K137" s="1245"/>
      <c r="L137" s="1245"/>
      <c r="M137" s="1245"/>
      <c r="N137" s="1245"/>
      <c r="O137" s="1245"/>
      <c r="P137" s="1246"/>
      <c r="Q137" s="1247"/>
      <c r="R137" s="1245"/>
      <c r="S137" s="1245"/>
      <c r="T137" s="1245"/>
      <c r="U137" s="1245"/>
      <c r="V137" s="1245"/>
      <c r="W137" s="1245"/>
      <c r="X137" s="1246"/>
    </row>
    <row r="138" spans="1:24" ht="24" customHeight="1" x14ac:dyDescent="0.2">
      <c r="A138" s="2101"/>
      <c r="B138" s="2105"/>
      <c r="C138" s="2103"/>
      <c r="D138" s="1212" t="s">
        <v>1831</v>
      </c>
      <c r="E138" s="1212" t="s">
        <v>169</v>
      </c>
      <c r="F138" s="1244" t="s">
        <v>67</v>
      </c>
      <c r="G138" s="1244" t="s">
        <v>1837</v>
      </c>
      <c r="H138" s="1245">
        <f>-10234+10234</f>
        <v>0</v>
      </c>
      <c r="I138" s="1245"/>
      <c r="J138" s="1245"/>
      <c r="K138" s="1245"/>
      <c r="L138" s="1245"/>
      <c r="M138" s="1245"/>
      <c r="N138" s="1245"/>
      <c r="O138" s="1245"/>
      <c r="P138" s="1246"/>
      <c r="Q138" s="1247"/>
      <c r="R138" s="1245"/>
      <c r="S138" s="1245"/>
      <c r="T138" s="1245"/>
      <c r="U138" s="1245"/>
      <c r="V138" s="1245"/>
      <c r="W138" s="1245"/>
      <c r="X138" s="1246"/>
    </row>
    <row r="139" spans="1:24" ht="29.25" customHeight="1" x14ac:dyDescent="0.2">
      <c r="A139" s="2099" t="s">
        <v>279</v>
      </c>
      <c r="B139" s="2104" t="s">
        <v>297</v>
      </c>
      <c r="C139" s="2102" t="s">
        <v>2601</v>
      </c>
      <c r="D139" s="1212" t="s">
        <v>1831</v>
      </c>
      <c r="E139" s="1212" t="s">
        <v>1288</v>
      </c>
      <c r="F139" s="1244" t="s">
        <v>128</v>
      </c>
      <c r="G139" s="1244" t="s">
        <v>1829</v>
      </c>
      <c r="H139" s="1245"/>
      <c r="I139" s="1245"/>
      <c r="J139" s="1245"/>
      <c r="K139" s="1245"/>
      <c r="L139" s="1245"/>
      <c r="M139" s="1245"/>
      <c r="N139" s="1245"/>
      <c r="O139" s="1245"/>
      <c r="P139" s="1246"/>
      <c r="Q139" s="1247"/>
      <c r="R139" s="1245"/>
      <c r="S139" s="1245"/>
      <c r="T139" s="1245"/>
      <c r="U139" s="1245"/>
      <c r="V139" s="1245"/>
      <c r="W139" s="1245"/>
      <c r="X139" s="1246">
        <v>2528221</v>
      </c>
    </row>
    <row r="140" spans="1:24" ht="29.25" customHeight="1" x14ac:dyDescent="0.2">
      <c r="A140" s="2101"/>
      <c r="B140" s="2105"/>
      <c r="C140" s="2103"/>
      <c r="D140" s="1212" t="s">
        <v>1831</v>
      </c>
      <c r="E140" s="1212" t="s">
        <v>167</v>
      </c>
      <c r="F140" s="1244" t="s">
        <v>133</v>
      </c>
      <c r="G140" s="1244" t="s">
        <v>1829</v>
      </c>
      <c r="H140" s="1245"/>
      <c r="I140" s="1245"/>
      <c r="J140" s="1245">
        <f>1990725+537496</f>
        <v>2528221</v>
      </c>
      <c r="K140" s="1245"/>
      <c r="L140" s="1245"/>
      <c r="M140" s="1245"/>
      <c r="N140" s="1245"/>
      <c r="O140" s="1245"/>
      <c r="P140" s="1246"/>
      <c r="Q140" s="1247"/>
      <c r="R140" s="1245"/>
      <c r="S140" s="1245"/>
      <c r="T140" s="1245"/>
      <c r="U140" s="1245"/>
      <c r="V140" s="1245"/>
      <c r="W140" s="1245"/>
      <c r="X140" s="1246"/>
    </row>
    <row r="141" spans="1:24" ht="21.75" customHeight="1" x14ac:dyDescent="0.2">
      <c r="A141" s="2099" t="s">
        <v>280</v>
      </c>
      <c r="B141" s="2104" t="s">
        <v>298</v>
      </c>
      <c r="C141" s="2102" t="s">
        <v>2604</v>
      </c>
      <c r="D141" s="1212" t="s">
        <v>1831</v>
      </c>
      <c r="E141" s="1212" t="s">
        <v>1288</v>
      </c>
      <c r="F141" s="1244" t="s">
        <v>128</v>
      </c>
      <c r="G141" s="1244" t="s">
        <v>1829</v>
      </c>
      <c r="H141" s="1245"/>
      <c r="I141" s="1245"/>
      <c r="J141" s="1245"/>
      <c r="K141" s="1245"/>
      <c r="L141" s="1245"/>
      <c r="M141" s="1245"/>
      <c r="N141" s="1245"/>
      <c r="O141" s="1245"/>
      <c r="P141" s="1246"/>
      <c r="Q141" s="1247"/>
      <c r="R141" s="1245"/>
      <c r="S141" s="1245"/>
      <c r="T141" s="1245"/>
      <c r="U141" s="1245"/>
      <c r="V141" s="1245"/>
      <c r="W141" s="1245"/>
      <c r="X141" s="1246">
        <v>365760</v>
      </c>
    </row>
    <row r="142" spans="1:24" ht="21.75" customHeight="1" x14ac:dyDescent="0.2">
      <c r="A142" s="2101"/>
      <c r="B142" s="2105"/>
      <c r="C142" s="2103"/>
      <c r="D142" s="1212" t="s">
        <v>1831</v>
      </c>
      <c r="E142" s="1212" t="s">
        <v>167</v>
      </c>
      <c r="F142" s="1244" t="s">
        <v>133</v>
      </c>
      <c r="G142" s="1244" t="s">
        <v>1829</v>
      </c>
      <c r="H142" s="1245"/>
      <c r="I142" s="1245"/>
      <c r="J142" s="1245">
        <f>288000+77760</f>
        <v>365760</v>
      </c>
      <c r="K142" s="1245"/>
      <c r="L142" s="1245"/>
      <c r="M142" s="1245"/>
      <c r="N142" s="1245"/>
      <c r="O142" s="1245"/>
      <c r="P142" s="1246"/>
      <c r="Q142" s="1247"/>
      <c r="R142" s="1245"/>
      <c r="S142" s="1245"/>
      <c r="T142" s="1245"/>
      <c r="U142" s="1245"/>
      <c r="V142" s="1245"/>
      <c r="W142" s="1245"/>
      <c r="X142" s="1246"/>
    </row>
    <row r="143" spans="1:24" ht="23.25" customHeight="1" x14ac:dyDescent="0.2">
      <c r="A143" s="2099" t="s">
        <v>281</v>
      </c>
      <c r="B143" s="2104" t="s">
        <v>299</v>
      </c>
      <c r="C143" s="2102" t="s">
        <v>2607</v>
      </c>
      <c r="D143" s="1212" t="s">
        <v>1831</v>
      </c>
      <c r="E143" s="1212" t="s">
        <v>1288</v>
      </c>
      <c r="F143" s="1244" t="s">
        <v>128</v>
      </c>
      <c r="G143" s="1244" t="s">
        <v>1829</v>
      </c>
      <c r="H143" s="1245"/>
      <c r="I143" s="1245"/>
      <c r="J143" s="1245"/>
      <c r="K143" s="1245"/>
      <c r="L143" s="1245"/>
      <c r="M143" s="1245"/>
      <c r="N143" s="1245"/>
      <c r="O143" s="1245"/>
      <c r="P143" s="1246"/>
      <c r="Q143" s="1247"/>
      <c r="R143" s="1245"/>
      <c r="S143" s="1245"/>
      <c r="T143" s="1245"/>
      <c r="U143" s="1245"/>
      <c r="V143" s="1245"/>
      <c r="W143" s="1245"/>
      <c r="X143" s="1246">
        <v>431800</v>
      </c>
    </row>
    <row r="144" spans="1:24" ht="23.25" customHeight="1" x14ac:dyDescent="0.2">
      <c r="A144" s="2101"/>
      <c r="B144" s="2105"/>
      <c r="C144" s="2103"/>
      <c r="D144" s="1212" t="s">
        <v>1831</v>
      </c>
      <c r="E144" s="1212" t="s">
        <v>167</v>
      </c>
      <c r="F144" s="1244" t="s">
        <v>134</v>
      </c>
      <c r="G144" s="1244" t="s">
        <v>1829</v>
      </c>
      <c r="H144" s="1245"/>
      <c r="I144" s="1245"/>
      <c r="J144" s="1245">
        <f>340000+91800</f>
        <v>431800</v>
      </c>
      <c r="K144" s="1245"/>
      <c r="L144" s="1245"/>
      <c r="M144" s="1245"/>
      <c r="N144" s="1245"/>
      <c r="O144" s="1245"/>
      <c r="P144" s="1246"/>
      <c r="Q144" s="1247"/>
      <c r="R144" s="1245"/>
      <c r="S144" s="1245"/>
      <c r="T144" s="1245"/>
      <c r="U144" s="1245"/>
      <c r="V144" s="1245"/>
      <c r="W144" s="1245"/>
      <c r="X144" s="1246"/>
    </row>
    <row r="145" spans="1:24" ht="20.25" customHeight="1" x14ac:dyDescent="0.2">
      <c r="A145" s="2099" t="s">
        <v>282</v>
      </c>
      <c r="B145" s="2104" t="s">
        <v>300</v>
      </c>
      <c r="C145" s="2102" t="s">
        <v>2608</v>
      </c>
      <c r="D145" s="1212" t="s">
        <v>1831</v>
      </c>
      <c r="E145" s="1212" t="s">
        <v>557</v>
      </c>
      <c r="F145" s="1244" t="s">
        <v>68</v>
      </c>
      <c r="G145" s="1244" t="s">
        <v>1829</v>
      </c>
      <c r="H145" s="1245"/>
      <c r="I145" s="1245"/>
      <c r="J145" s="1245">
        <f>944882+255118</f>
        <v>1200000</v>
      </c>
      <c r="K145" s="1245"/>
      <c r="L145" s="1245"/>
      <c r="M145" s="1245"/>
      <c r="N145" s="1245"/>
      <c r="O145" s="1245"/>
      <c r="P145" s="1246"/>
      <c r="Q145" s="1247"/>
      <c r="R145" s="1245"/>
      <c r="S145" s="1245"/>
      <c r="T145" s="1245">
        <v>1200000</v>
      </c>
      <c r="U145" s="1245"/>
      <c r="V145" s="1245"/>
      <c r="W145" s="1245"/>
      <c r="X145" s="1246"/>
    </row>
    <row r="146" spans="1:24" ht="20.25" customHeight="1" x14ac:dyDescent="0.2">
      <c r="A146" s="2100"/>
      <c r="B146" s="2107"/>
      <c r="C146" s="2106"/>
      <c r="D146" s="1212" t="s">
        <v>1831</v>
      </c>
      <c r="E146" s="1212" t="s">
        <v>557</v>
      </c>
      <c r="F146" s="1244" t="s">
        <v>154</v>
      </c>
      <c r="G146" s="1244" t="s">
        <v>1829</v>
      </c>
      <c r="H146" s="1245"/>
      <c r="I146" s="1245"/>
      <c r="J146" s="1245">
        <f>2362205+637795</f>
        <v>3000000</v>
      </c>
      <c r="K146" s="1245"/>
      <c r="L146" s="1245"/>
      <c r="M146" s="1245"/>
      <c r="N146" s="1245"/>
      <c r="O146" s="1245"/>
      <c r="P146" s="1246"/>
      <c r="Q146" s="1247"/>
      <c r="R146" s="1245"/>
      <c r="S146" s="1245"/>
      <c r="T146" s="1245">
        <v>3000000</v>
      </c>
      <c r="U146" s="1245"/>
      <c r="V146" s="1245"/>
      <c r="W146" s="1245"/>
      <c r="X146" s="1246"/>
    </row>
    <row r="147" spans="1:24" ht="20.25" customHeight="1" x14ac:dyDescent="0.2">
      <c r="A147" s="2101"/>
      <c r="B147" s="2105"/>
      <c r="C147" s="2103"/>
      <c r="D147" s="1212" t="s">
        <v>1831</v>
      </c>
      <c r="E147" s="1212" t="s">
        <v>557</v>
      </c>
      <c r="F147" s="1244" t="s">
        <v>2609</v>
      </c>
      <c r="G147" s="1244" t="s">
        <v>1829</v>
      </c>
      <c r="H147" s="1245"/>
      <c r="I147" s="1245"/>
      <c r="J147" s="1245">
        <f>393701+106299</f>
        <v>500000</v>
      </c>
      <c r="K147" s="1245"/>
      <c r="L147" s="1245"/>
      <c r="M147" s="1245"/>
      <c r="N147" s="1245"/>
      <c r="O147" s="1245"/>
      <c r="P147" s="1246"/>
      <c r="Q147" s="1247"/>
      <c r="R147" s="1245"/>
      <c r="S147" s="1245"/>
      <c r="T147" s="1245">
        <v>500000</v>
      </c>
      <c r="U147" s="1245"/>
      <c r="V147" s="1245"/>
      <c r="W147" s="1245"/>
      <c r="X147" s="1246"/>
    </row>
    <row r="148" spans="1:24" ht="52.5" customHeight="1" x14ac:dyDescent="0.2">
      <c r="A148" s="1646" t="s">
        <v>283</v>
      </c>
      <c r="B148" s="1643" t="s">
        <v>301</v>
      </c>
      <c r="C148" s="1641" t="s">
        <v>3107</v>
      </c>
      <c r="D148" s="1212" t="s">
        <v>1831</v>
      </c>
      <c r="E148" s="1212" t="s">
        <v>761</v>
      </c>
      <c r="F148" s="1244" t="s">
        <v>135</v>
      </c>
      <c r="G148" s="1244" t="s">
        <v>1837</v>
      </c>
      <c r="H148" s="1245"/>
      <c r="I148" s="1245"/>
      <c r="J148" s="1245">
        <f>-2100000+100000+2000000</f>
        <v>0</v>
      </c>
      <c r="K148" s="1245"/>
      <c r="L148" s="1245"/>
      <c r="M148" s="1245"/>
      <c r="N148" s="1245"/>
      <c r="O148" s="1245"/>
      <c r="P148" s="1246"/>
      <c r="Q148" s="1247"/>
      <c r="R148" s="1245"/>
      <c r="S148" s="1245"/>
      <c r="T148" s="1245"/>
      <c r="U148" s="1245"/>
      <c r="V148" s="1245"/>
      <c r="W148" s="1245"/>
      <c r="X148" s="1246"/>
    </row>
    <row r="149" spans="1:24" ht="30" customHeight="1" x14ac:dyDescent="0.2">
      <c r="A149" s="1646" t="s">
        <v>284</v>
      </c>
      <c r="B149" s="1643" t="s">
        <v>302</v>
      </c>
      <c r="C149" s="1641" t="s">
        <v>2630</v>
      </c>
      <c r="D149" s="1212" t="s">
        <v>1831</v>
      </c>
      <c r="E149" s="1212" t="s">
        <v>1399</v>
      </c>
      <c r="F149" s="1244" t="s">
        <v>1832</v>
      </c>
      <c r="G149" s="1244" t="s">
        <v>1829</v>
      </c>
      <c r="H149" s="1245"/>
      <c r="I149" s="1245"/>
      <c r="J149" s="1245">
        <f>320922+86649</f>
        <v>407571</v>
      </c>
      <c r="K149" s="1245"/>
      <c r="L149" s="1245"/>
      <c r="M149" s="1245"/>
      <c r="N149" s="1245"/>
      <c r="O149" s="1245"/>
      <c r="P149" s="1246"/>
      <c r="Q149" s="1247"/>
      <c r="R149" s="1245"/>
      <c r="S149" s="1245"/>
      <c r="T149" s="1245">
        <f>320922+86649</f>
        <v>407571</v>
      </c>
      <c r="U149" s="1245"/>
      <c r="V149" s="1245"/>
      <c r="W149" s="1245"/>
      <c r="X149" s="1246"/>
    </row>
    <row r="150" spans="1:24" ht="30" customHeight="1" x14ac:dyDescent="0.2">
      <c r="A150" s="1646" t="s">
        <v>285</v>
      </c>
      <c r="B150" s="1643" t="s">
        <v>303</v>
      </c>
      <c r="C150" s="1641" t="s">
        <v>2631</v>
      </c>
      <c r="D150" s="1212" t="s">
        <v>1831</v>
      </c>
      <c r="E150" s="1212" t="s">
        <v>556</v>
      </c>
      <c r="F150" s="1244" t="s">
        <v>91</v>
      </c>
      <c r="G150" s="1244" t="s">
        <v>1829</v>
      </c>
      <c r="H150" s="1245"/>
      <c r="I150" s="1245"/>
      <c r="J150" s="1245">
        <v>650000</v>
      </c>
      <c r="K150" s="1245"/>
      <c r="L150" s="1245"/>
      <c r="M150" s="1245"/>
      <c r="N150" s="1245"/>
      <c r="O150" s="1245"/>
      <c r="P150" s="1246"/>
      <c r="Q150" s="1247"/>
      <c r="R150" s="1245"/>
      <c r="S150" s="1245"/>
      <c r="T150" s="1245">
        <v>650000</v>
      </c>
      <c r="U150" s="1245"/>
      <c r="V150" s="1245"/>
      <c r="W150" s="1245"/>
      <c r="X150" s="1246"/>
    </row>
    <row r="151" spans="1:24" ht="40.5" customHeight="1" x14ac:dyDescent="0.2">
      <c r="A151" s="1646" t="s">
        <v>286</v>
      </c>
      <c r="B151" s="1643" t="s">
        <v>304</v>
      </c>
      <c r="C151" s="1641" t="s">
        <v>2632</v>
      </c>
      <c r="D151" s="1212" t="s">
        <v>1831</v>
      </c>
      <c r="E151" s="1212" t="s">
        <v>169</v>
      </c>
      <c r="F151" s="1244" t="s">
        <v>67</v>
      </c>
      <c r="G151" s="1244" t="s">
        <v>1829</v>
      </c>
      <c r="H151" s="1245"/>
      <c r="I151" s="1245"/>
      <c r="J151" s="1245">
        <v>6000000</v>
      </c>
      <c r="K151" s="1245"/>
      <c r="L151" s="1245"/>
      <c r="M151" s="1245"/>
      <c r="N151" s="1245"/>
      <c r="O151" s="1245"/>
      <c r="P151" s="1246"/>
      <c r="Q151" s="1247">
        <v>6000000</v>
      </c>
      <c r="R151" s="1245"/>
      <c r="S151" s="1245"/>
      <c r="T151" s="1245"/>
      <c r="U151" s="1245"/>
      <c r="V151" s="1245"/>
      <c r="W151" s="1245"/>
      <c r="X151" s="1246"/>
    </row>
    <row r="152" spans="1:24" ht="18.75" x14ac:dyDescent="0.3">
      <c r="A152" s="2082" t="s">
        <v>1749</v>
      </c>
      <c r="B152" s="2084"/>
      <c r="C152" s="2084"/>
      <c r="D152" s="1179"/>
      <c r="E152" s="1179"/>
      <c r="F152" s="1179"/>
      <c r="G152" s="1179"/>
      <c r="H152" s="1365">
        <f t="shared" ref="H152:X152" si="1">SUM(H89:H151)+H74</f>
        <v>4950000</v>
      </c>
      <c r="I152" s="1365">
        <f t="shared" si="1"/>
        <v>643500</v>
      </c>
      <c r="J152" s="1365">
        <f t="shared" si="1"/>
        <v>61040157</v>
      </c>
      <c r="K152" s="1365">
        <f t="shared" si="1"/>
        <v>0</v>
      </c>
      <c r="L152" s="1365">
        <f t="shared" si="1"/>
        <v>41070640</v>
      </c>
      <c r="M152" s="1365">
        <f t="shared" si="1"/>
        <v>508000</v>
      </c>
      <c r="N152" s="1365">
        <f t="shared" si="1"/>
        <v>0</v>
      </c>
      <c r="O152" s="1365">
        <f t="shared" si="1"/>
        <v>0</v>
      </c>
      <c r="P152" s="1366">
        <f t="shared" si="1"/>
        <v>0</v>
      </c>
      <c r="Q152" s="1367">
        <f t="shared" si="1"/>
        <v>6000000</v>
      </c>
      <c r="R152" s="1365">
        <f t="shared" si="1"/>
        <v>0</v>
      </c>
      <c r="S152" s="1365">
        <f t="shared" si="1"/>
        <v>0</v>
      </c>
      <c r="T152" s="1365">
        <f t="shared" si="1"/>
        <v>42761262</v>
      </c>
      <c r="U152" s="1365">
        <f t="shared" si="1"/>
        <v>0</v>
      </c>
      <c r="V152" s="1365">
        <f t="shared" si="1"/>
        <v>0</v>
      </c>
      <c r="W152" s="1365">
        <f t="shared" si="1"/>
        <v>0</v>
      </c>
      <c r="X152" s="1366">
        <f t="shared" si="1"/>
        <v>59451035</v>
      </c>
    </row>
    <row r="153" spans="1:24" ht="17.25" customHeight="1" x14ac:dyDescent="0.25">
      <c r="A153" s="1237"/>
      <c r="B153" s="1237"/>
      <c r="C153" s="1238"/>
      <c r="D153" s="1195"/>
      <c r="E153" s="1239"/>
      <c r="F153" s="1239"/>
      <c r="G153" s="1239"/>
      <c r="H153" s="1224"/>
      <c r="I153" s="1224"/>
      <c r="J153" s="1224"/>
      <c r="K153" s="1224"/>
      <c r="L153" s="1224"/>
      <c r="M153" s="1224"/>
      <c r="N153" s="1224"/>
      <c r="O153" s="1224"/>
      <c r="P153" s="1224"/>
      <c r="Q153" s="1224"/>
      <c r="R153" s="1224"/>
      <c r="S153" s="1224"/>
      <c r="T153" s="1224"/>
      <c r="U153" s="1224"/>
      <c r="V153" s="1224"/>
      <c r="W153" s="1224"/>
      <c r="X153" s="1224"/>
    </row>
    <row r="154" spans="1:24" ht="18" customHeight="1" x14ac:dyDescent="0.25">
      <c r="A154" s="1237"/>
      <c r="B154" s="1237"/>
      <c r="C154" s="1238"/>
      <c r="D154" s="1195"/>
      <c r="E154" s="1239"/>
      <c r="F154" s="1239"/>
      <c r="G154" s="1239"/>
      <c r="H154" s="1224"/>
      <c r="I154" s="1224"/>
      <c r="J154" s="1224"/>
      <c r="K154" s="1224"/>
      <c r="L154" s="1224"/>
      <c r="M154" s="1224"/>
      <c r="N154" s="1224"/>
      <c r="O154" s="1224"/>
      <c r="P154" s="1224"/>
      <c r="Q154" s="1224"/>
      <c r="R154" s="1224"/>
      <c r="S154" s="1224"/>
      <c r="T154" s="1224"/>
      <c r="U154" s="1224"/>
      <c r="V154" s="1224"/>
      <c r="W154" s="1224"/>
      <c r="X154" s="1224"/>
    </row>
    <row r="155" spans="1:24" ht="15" x14ac:dyDescent="0.25">
      <c r="A155" s="1226"/>
      <c r="B155" s="1226"/>
      <c r="C155" s="1196"/>
      <c r="D155" s="1197"/>
      <c r="E155" s="1197"/>
      <c r="F155" s="1197"/>
      <c r="G155" s="1197"/>
      <c r="H155" s="1224"/>
      <c r="I155" s="1224"/>
      <c r="J155" s="1224"/>
      <c r="K155" s="1224"/>
      <c r="L155" s="1224"/>
      <c r="M155" s="1224"/>
      <c r="N155" s="1224"/>
      <c r="O155" s="1224"/>
      <c r="P155" s="1224"/>
      <c r="Q155" s="1224"/>
      <c r="R155" s="1224"/>
      <c r="S155" s="1224"/>
      <c r="T155" s="1224"/>
      <c r="U155" s="1224"/>
      <c r="V155" s="1224"/>
      <c r="W155" s="1224"/>
      <c r="X155" s="1224"/>
    </row>
    <row r="156" spans="1:24" ht="24" customHeight="1" x14ac:dyDescent="0.25">
      <c r="A156" s="1226"/>
      <c r="B156" s="1226"/>
      <c r="C156" s="1196"/>
      <c r="D156" s="1197"/>
      <c r="E156" s="1197"/>
      <c r="F156" s="1197"/>
      <c r="G156" s="1197"/>
      <c r="H156" s="1224"/>
      <c r="I156" s="2108" t="s">
        <v>1750</v>
      </c>
      <c r="J156" s="2108"/>
      <c r="K156" s="2108"/>
      <c r="L156" s="2108">
        <v>1438032186</v>
      </c>
      <c r="M156" s="2108"/>
      <c r="N156" s="1225"/>
      <c r="O156" s="1225"/>
      <c r="P156" s="1225"/>
      <c r="Q156" s="1225"/>
      <c r="R156" s="2108" t="s">
        <v>1751</v>
      </c>
      <c r="S156" s="2108"/>
      <c r="T156" s="2108"/>
      <c r="U156" s="2108">
        <v>1438032186</v>
      </c>
      <c r="V156" s="2108"/>
      <c r="W156" s="1224"/>
      <c r="X156" s="1224"/>
    </row>
    <row r="157" spans="1:24" ht="22.5" customHeight="1" x14ac:dyDescent="0.25">
      <c r="A157" s="1226"/>
      <c r="B157" s="1226"/>
      <c r="C157" s="1196"/>
      <c r="D157" s="1197"/>
      <c r="E157" s="1197"/>
      <c r="F157" s="1197"/>
      <c r="G157" s="1197"/>
      <c r="H157" s="1224"/>
      <c r="I157" s="2066" t="s">
        <v>3474</v>
      </c>
      <c r="J157" s="2066"/>
      <c r="K157" s="2066"/>
      <c r="L157" s="2108">
        <f>SUM(H152:P152)</f>
        <v>108212297</v>
      </c>
      <c r="M157" s="2108"/>
      <c r="N157" s="1225"/>
      <c r="O157" s="1225"/>
      <c r="P157" s="1225"/>
      <c r="Q157" s="1225"/>
      <c r="R157" s="2066" t="s">
        <v>3474</v>
      </c>
      <c r="S157" s="2066"/>
      <c r="T157" s="2066"/>
      <c r="U157" s="2108">
        <f>SUM(Q152:X152)</f>
        <v>108212297</v>
      </c>
      <c r="V157" s="2108"/>
      <c r="W157" s="1224"/>
      <c r="X157" s="1224"/>
    </row>
    <row r="158" spans="1:24" ht="22.5" customHeight="1" x14ac:dyDescent="0.25">
      <c r="A158" s="1226"/>
      <c r="B158" s="1226"/>
      <c r="C158" s="1196"/>
      <c r="D158" s="1197"/>
      <c r="E158" s="1197"/>
      <c r="F158" s="1197"/>
      <c r="G158" s="1197"/>
      <c r="H158" s="1224"/>
      <c r="I158" s="2108" t="s">
        <v>1561</v>
      </c>
      <c r="J158" s="2108"/>
      <c r="K158" s="2108"/>
      <c r="L158" s="2108">
        <f>+L156+L157</f>
        <v>1546244483</v>
      </c>
      <c r="M158" s="2108"/>
      <c r="N158" s="1225"/>
      <c r="O158" s="1225"/>
      <c r="P158" s="1225"/>
      <c r="Q158" s="1225"/>
      <c r="R158" s="2108" t="s">
        <v>1561</v>
      </c>
      <c r="S158" s="2108"/>
      <c r="T158" s="2108"/>
      <c r="U158" s="2108">
        <f>+U156+U157</f>
        <v>1546244483</v>
      </c>
      <c r="V158" s="2108"/>
      <c r="W158" s="1224"/>
      <c r="X158" s="1224"/>
    </row>
    <row r="159" spans="1:24" x14ac:dyDescent="0.2">
      <c r="A159" s="348"/>
      <c r="B159" s="348"/>
      <c r="C159" s="348"/>
      <c r="D159" s="348"/>
      <c r="E159" s="348"/>
      <c r="F159" s="348"/>
      <c r="G159" s="348"/>
      <c r="H159" s="348"/>
      <c r="I159" s="348"/>
      <c r="J159" s="348"/>
      <c r="K159" s="348"/>
      <c r="L159" s="348"/>
      <c r="M159" s="348"/>
      <c r="N159" s="348"/>
      <c r="O159" s="348"/>
      <c r="P159" s="348"/>
      <c r="Q159" s="348"/>
      <c r="R159" s="348"/>
      <c r="S159" s="348"/>
      <c r="T159" s="348"/>
      <c r="U159" s="348"/>
      <c r="V159" s="348"/>
      <c r="W159" s="348"/>
      <c r="X159" s="348"/>
    </row>
    <row r="160" spans="1:24" x14ac:dyDescent="0.2">
      <c r="A160" s="348"/>
      <c r="B160" s="348"/>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348"/>
    </row>
    <row r="161" spans="1:24" x14ac:dyDescent="0.2">
      <c r="A161" s="348"/>
      <c r="B161" s="348"/>
      <c r="C161" s="348"/>
      <c r="D161" s="348"/>
      <c r="E161" s="348"/>
      <c r="F161" s="348"/>
      <c r="G161" s="348"/>
      <c r="H161" s="348"/>
      <c r="I161" s="348"/>
      <c r="J161" s="348"/>
      <c r="K161" s="348"/>
      <c r="L161" s="348"/>
      <c r="M161" s="348"/>
      <c r="N161" s="348"/>
      <c r="O161" s="348"/>
      <c r="P161" s="348"/>
      <c r="Q161" s="348"/>
      <c r="R161" s="348"/>
      <c r="S161" s="348"/>
      <c r="T161" s="348"/>
      <c r="U161" s="348"/>
      <c r="V161" s="348"/>
      <c r="W161" s="348"/>
      <c r="X161" s="348"/>
    </row>
    <row r="162" spans="1:24" ht="15.75" x14ac:dyDescent="0.25">
      <c r="A162" s="2069" t="s">
        <v>2824</v>
      </c>
      <c r="B162" s="2069"/>
      <c r="C162" s="2069"/>
      <c r="D162" s="2069"/>
      <c r="E162" s="2069"/>
      <c r="F162" s="2069"/>
      <c r="G162" s="2069"/>
      <c r="H162" s="2069"/>
      <c r="I162" s="2069"/>
      <c r="J162" s="2069"/>
      <c r="K162" s="2069"/>
      <c r="L162" s="2069"/>
      <c r="M162" s="2069"/>
      <c r="N162" s="2069"/>
      <c r="O162" s="2069"/>
      <c r="P162" s="2069"/>
      <c r="Q162" s="2069"/>
      <c r="R162" s="2069"/>
      <c r="S162" s="2069"/>
      <c r="T162" s="2069"/>
      <c r="U162" s="2069"/>
      <c r="V162" s="2069"/>
      <c r="W162" s="2069"/>
      <c r="X162" s="2069"/>
    </row>
    <row r="163" spans="1:24" ht="15" x14ac:dyDescent="0.25">
      <c r="A163" s="1195"/>
      <c r="B163" s="1195"/>
      <c r="C163" s="1194"/>
      <c r="D163" s="1195"/>
      <c r="E163" s="1195"/>
      <c r="F163" s="1195"/>
      <c r="G163" s="1195"/>
      <c r="H163" s="1195"/>
      <c r="I163" s="1195"/>
      <c r="J163" s="1195"/>
      <c r="K163" s="1195"/>
      <c r="L163" s="1195"/>
      <c r="M163" s="1195"/>
      <c r="N163" s="1195"/>
      <c r="O163" s="1195"/>
      <c r="P163" s="1195"/>
      <c r="Q163" s="1195"/>
      <c r="R163" s="1195"/>
      <c r="S163" s="1195"/>
      <c r="T163" s="1195"/>
      <c r="U163" s="1195"/>
      <c r="V163" s="1195"/>
      <c r="W163" s="1195"/>
      <c r="X163" s="1195"/>
    </row>
    <row r="164" spans="1:24" ht="15" x14ac:dyDescent="0.25">
      <c r="A164" s="2112" t="s">
        <v>25</v>
      </c>
      <c r="B164" s="2112"/>
      <c r="C164" s="2112"/>
      <c r="D164" s="2112"/>
      <c r="E164" s="2112"/>
      <c r="F164" s="2112"/>
      <c r="G164" s="2112"/>
      <c r="H164" s="2112"/>
      <c r="I164" s="2112"/>
      <c r="J164" s="2112"/>
      <c r="K164" s="2112"/>
      <c r="L164" s="2112"/>
      <c r="M164" s="2112"/>
      <c r="N164" s="2112"/>
      <c r="O164" s="2112"/>
      <c r="P164" s="2112"/>
      <c r="Q164" s="2112"/>
      <c r="R164" s="2112"/>
      <c r="S164" s="2112"/>
      <c r="T164" s="2112"/>
      <c r="U164" s="2112"/>
      <c r="V164" s="2112"/>
      <c r="W164" s="2112"/>
      <c r="X164" s="2112"/>
    </row>
    <row r="165" spans="1:24" ht="15" x14ac:dyDescent="0.25">
      <c r="A165" s="1226"/>
      <c r="B165" s="1226"/>
      <c r="C165" s="1196"/>
      <c r="D165" s="1197"/>
      <c r="E165" s="1197"/>
      <c r="F165" s="1197"/>
      <c r="G165" s="1197"/>
      <c r="H165" s="1197"/>
      <c r="I165" s="1197"/>
      <c r="J165" s="1197"/>
      <c r="K165" s="1197"/>
      <c r="L165" s="1197"/>
      <c r="M165" s="1197"/>
      <c r="N165" s="1197"/>
      <c r="O165" s="1197"/>
      <c r="P165" s="1197"/>
      <c r="Q165" s="1198"/>
      <c r="R165" s="1197"/>
      <c r="S165" s="1197"/>
      <c r="T165" s="1197"/>
      <c r="U165" s="1197"/>
      <c r="V165" s="1197"/>
      <c r="W165" s="1197"/>
      <c r="X165" s="1197"/>
    </row>
    <row r="166" spans="1:24" ht="15" customHeight="1" x14ac:dyDescent="0.25">
      <c r="A166" s="2113" t="s">
        <v>37</v>
      </c>
      <c r="B166" s="2093" t="s">
        <v>1726</v>
      </c>
      <c r="C166" s="2115" t="s">
        <v>2</v>
      </c>
      <c r="D166" s="2117" t="s">
        <v>1727</v>
      </c>
      <c r="E166" s="2117" t="s">
        <v>117</v>
      </c>
      <c r="F166" s="2117" t="s">
        <v>1728</v>
      </c>
      <c r="G166" s="2117" t="s">
        <v>1729</v>
      </c>
      <c r="H166" s="2119" t="s">
        <v>1730</v>
      </c>
      <c r="I166" s="2119"/>
      <c r="J166" s="2119"/>
      <c r="K166" s="2119"/>
      <c r="L166" s="2119"/>
      <c r="M166" s="2119"/>
      <c r="N166" s="2119"/>
      <c r="O166" s="2133"/>
      <c r="P166" s="1661"/>
      <c r="Q166" s="2120" t="s">
        <v>1731</v>
      </c>
      <c r="R166" s="2119"/>
      <c r="S166" s="2119"/>
      <c r="T166" s="2119"/>
      <c r="U166" s="2119"/>
      <c r="V166" s="2119"/>
      <c r="W166" s="2119"/>
      <c r="X166" s="2121"/>
    </row>
    <row r="167" spans="1:24" ht="79.5" customHeight="1" x14ac:dyDescent="0.2">
      <c r="A167" s="2114"/>
      <c r="B167" s="2094"/>
      <c r="C167" s="2116"/>
      <c r="D167" s="2118"/>
      <c r="E167" s="2118"/>
      <c r="F167" s="2118"/>
      <c r="G167" s="2118"/>
      <c r="H167" s="1154" t="s">
        <v>2382</v>
      </c>
      <c r="I167" s="1154" t="s">
        <v>1763</v>
      </c>
      <c r="J167" s="1154" t="s">
        <v>1764</v>
      </c>
      <c r="K167" s="1154" t="s">
        <v>1765</v>
      </c>
      <c r="L167" s="1154" t="s">
        <v>1766</v>
      </c>
      <c r="M167" s="1154" t="s">
        <v>1767</v>
      </c>
      <c r="N167" s="1154" t="s">
        <v>1757</v>
      </c>
      <c r="O167" s="1157" t="s">
        <v>1739</v>
      </c>
      <c r="P167" s="1159" t="s">
        <v>1740</v>
      </c>
      <c r="Q167" s="1227" t="s">
        <v>1768</v>
      </c>
      <c r="R167" s="1154" t="s">
        <v>1769</v>
      </c>
      <c r="S167" s="1154" t="s">
        <v>1770</v>
      </c>
      <c r="T167" s="1154" t="s">
        <v>1771</v>
      </c>
      <c r="U167" s="1154" t="s">
        <v>1745</v>
      </c>
      <c r="V167" s="1154" t="s">
        <v>1772</v>
      </c>
      <c r="W167" s="1154" t="s">
        <v>1747</v>
      </c>
      <c r="X167" s="1159" t="s">
        <v>1773</v>
      </c>
    </row>
    <row r="168" spans="1:24" ht="54" customHeight="1" x14ac:dyDescent="0.2">
      <c r="A168" s="1656" t="s">
        <v>287</v>
      </c>
      <c r="B168" s="1564" t="s">
        <v>305</v>
      </c>
      <c r="C168" s="1200" t="s">
        <v>2684</v>
      </c>
      <c r="D168" s="1201" t="s">
        <v>1831</v>
      </c>
      <c r="E168" s="1202">
        <v>96015</v>
      </c>
      <c r="F168" s="1243" t="s">
        <v>68</v>
      </c>
      <c r="G168" s="1202" t="s">
        <v>1829</v>
      </c>
      <c r="H168" s="1229"/>
      <c r="I168" s="1229"/>
      <c r="J168" s="1229">
        <f>151065+40788</f>
        <v>191853</v>
      </c>
      <c r="K168" s="1229"/>
      <c r="L168" s="1229"/>
      <c r="M168" s="1229"/>
      <c r="N168" s="1229"/>
      <c r="O168" s="1229"/>
      <c r="P168" s="1230"/>
      <c r="Q168" s="1231"/>
      <c r="R168" s="1229"/>
      <c r="S168" s="1229"/>
      <c r="T168" s="1229">
        <f>151065+40788</f>
        <v>191853</v>
      </c>
      <c r="U168" s="1229"/>
      <c r="V168" s="1229"/>
      <c r="W168" s="1229"/>
      <c r="X168" s="1230"/>
    </row>
    <row r="169" spans="1:24" ht="15.75" customHeight="1" x14ac:dyDescent="0.2">
      <c r="A169" s="2099" t="s">
        <v>288</v>
      </c>
      <c r="B169" s="2126" t="s">
        <v>306</v>
      </c>
      <c r="C169" s="2102" t="s">
        <v>2690</v>
      </c>
      <c r="D169" s="1206" t="s">
        <v>1831</v>
      </c>
      <c r="E169" s="1206" t="s">
        <v>556</v>
      </c>
      <c r="F169" s="1232" t="s">
        <v>91</v>
      </c>
      <c r="G169" s="1232" t="s">
        <v>1837</v>
      </c>
      <c r="H169" s="1233">
        <f>-146142+118900+27242</f>
        <v>0</v>
      </c>
      <c r="I169" s="1233"/>
      <c r="J169" s="1233"/>
      <c r="K169" s="1233"/>
      <c r="L169" s="1233"/>
      <c r="M169" s="1233"/>
      <c r="N169" s="1233"/>
      <c r="O169" s="1233"/>
      <c r="P169" s="1234"/>
      <c r="Q169" s="1235"/>
      <c r="R169" s="1233"/>
      <c r="S169" s="1233"/>
      <c r="T169" s="1233"/>
      <c r="U169" s="1233"/>
      <c r="V169" s="1233"/>
      <c r="W169" s="1233"/>
      <c r="X169" s="1234"/>
    </row>
    <row r="170" spans="1:24" ht="15.75" customHeight="1" x14ac:dyDescent="0.2">
      <c r="A170" s="2100"/>
      <c r="B170" s="2128"/>
      <c r="C170" s="2106"/>
      <c r="D170" s="1206" t="s">
        <v>1831</v>
      </c>
      <c r="E170" s="1206" t="s">
        <v>510</v>
      </c>
      <c r="F170" s="1232" t="s">
        <v>132</v>
      </c>
      <c r="G170" s="1232" t="s">
        <v>1837</v>
      </c>
      <c r="H170" s="1233">
        <f>-5108+5108</f>
        <v>0</v>
      </c>
      <c r="I170" s="1233"/>
      <c r="J170" s="1233"/>
      <c r="K170" s="1233"/>
      <c r="L170" s="1233"/>
      <c r="M170" s="1233"/>
      <c r="N170" s="1233"/>
      <c r="O170" s="1233"/>
      <c r="P170" s="1234"/>
      <c r="Q170" s="1235"/>
      <c r="R170" s="1233"/>
      <c r="S170" s="1233"/>
      <c r="T170" s="1233"/>
      <c r="U170" s="1233"/>
      <c r="V170" s="1233"/>
      <c r="W170" s="1233"/>
      <c r="X170" s="1234"/>
    </row>
    <row r="171" spans="1:24" ht="15.75" customHeight="1" x14ac:dyDescent="0.2">
      <c r="A171" s="2100"/>
      <c r="B171" s="2128"/>
      <c r="C171" s="2106"/>
      <c r="D171" s="1206" t="s">
        <v>1831</v>
      </c>
      <c r="E171" s="1206" t="s">
        <v>394</v>
      </c>
      <c r="F171" s="1232" t="s">
        <v>151</v>
      </c>
      <c r="G171" s="1232" t="s">
        <v>1837</v>
      </c>
      <c r="H171" s="1233">
        <f>-170300+170300</f>
        <v>0</v>
      </c>
      <c r="I171" s="1233"/>
      <c r="J171" s="1233"/>
      <c r="K171" s="1233"/>
      <c r="L171" s="1233"/>
      <c r="M171" s="1233"/>
      <c r="N171" s="1233"/>
      <c r="O171" s="1233"/>
      <c r="P171" s="1234"/>
      <c r="Q171" s="1235"/>
      <c r="R171" s="1233"/>
      <c r="S171" s="1233"/>
      <c r="T171" s="1233"/>
      <c r="U171" s="1233"/>
      <c r="V171" s="1233"/>
      <c r="W171" s="1233"/>
      <c r="X171" s="1234"/>
    </row>
    <row r="172" spans="1:24" ht="15.75" customHeight="1" x14ac:dyDescent="0.2">
      <c r="A172" s="2100"/>
      <c r="B172" s="2128"/>
      <c r="C172" s="2106"/>
      <c r="D172" s="1206" t="s">
        <v>1831</v>
      </c>
      <c r="E172" s="1206" t="s">
        <v>166</v>
      </c>
      <c r="F172" s="1232" t="s">
        <v>152</v>
      </c>
      <c r="G172" s="1232" t="s">
        <v>1837</v>
      </c>
      <c r="H172" s="1233">
        <f>-431350+100000+5400+325950</f>
        <v>0</v>
      </c>
      <c r="I172" s="1233"/>
      <c r="J172" s="1233"/>
      <c r="K172" s="1233"/>
      <c r="L172" s="1233"/>
      <c r="M172" s="1233"/>
      <c r="N172" s="1233"/>
      <c r="O172" s="1233"/>
      <c r="P172" s="1234"/>
      <c r="Q172" s="1235"/>
      <c r="R172" s="1233"/>
      <c r="S172" s="1233"/>
      <c r="T172" s="1233"/>
      <c r="U172" s="1233"/>
      <c r="V172" s="1233"/>
      <c r="W172" s="1233"/>
      <c r="X172" s="1234"/>
    </row>
    <row r="173" spans="1:24" ht="15.75" customHeight="1" x14ac:dyDescent="0.2">
      <c r="A173" s="2100"/>
      <c r="B173" s="2128"/>
      <c r="C173" s="2106"/>
      <c r="D173" s="1206" t="s">
        <v>1831</v>
      </c>
      <c r="E173" s="1206" t="s">
        <v>761</v>
      </c>
      <c r="F173" s="1232" t="s">
        <v>135</v>
      </c>
      <c r="G173" s="1232" t="s">
        <v>1837</v>
      </c>
      <c r="H173" s="1233">
        <f>-190000+190000</f>
        <v>0</v>
      </c>
      <c r="I173" s="1233"/>
      <c r="J173" s="1233"/>
      <c r="K173" s="1233"/>
      <c r="L173" s="1233"/>
      <c r="M173" s="1233"/>
      <c r="N173" s="1233"/>
      <c r="O173" s="1233"/>
      <c r="P173" s="1234"/>
      <c r="Q173" s="1235"/>
      <c r="R173" s="1233"/>
      <c r="S173" s="1233"/>
      <c r="T173" s="1233"/>
      <c r="U173" s="1233"/>
      <c r="V173" s="1233"/>
      <c r="W173" s="1233"/>
      <c r="X173" s="1234"/>
    </row>
    <row r="174" spans="1:24" ht="15.75" customHeight="1" x14ac:dyDescent="0.2">
      <c r="A174" s="2100"/>
      <c r="B174" s="2128"/>
      <c r="C174" s="2106"/>
      <c r="D174" s="1206" t="s">
        <v>1831</v>
      </c>
      <c r="E174" s="1206" t="s">
        <v>514</v>
      </c>
      <c r="F174" s="1232" t="s">
        <v>466</v>
      </c>
      <c r="G174" s="1232" t="s">
        <v>1837</v>
      </c>
      <c r="H174" s="1233">
        <f>-6156+6156</f>
        <v>0</v>
      </c>
      <c r="I174" s="1233"/>
      <c r="J174" s="1233"/>
      <c r="K174" s="1233"/>
      <c r="L174" s="1233"/>
      <c r="M174" s="1233"/>
      <c r="N174" s="1233"/>
      <c r="O174" s="1233"/>
      <c r="P174" s="1234"/>
      <c r="Q174" s="1235"/>
      <c r="R174" s="1233"/>
      <c r="S174" s="1233"/>
      <c r="T174" s="1233"/>
      <c r="U174" s="1233"/>
      <c r="V174" s="1233"/>
      <c r="W174" s="1233"/>
      <c r="X174" s="1234"/>
    </row>
    <row r="175" spans="1:24" ht="15.75" customHeight="1" x14ac:dyDescent="0.2">
      <c r="A175" s="2101"/>
      <c r="B175" s="2127"/>
      <c r="C175" s="2103"/>
      <c r="D175" s="1206" t="s">
        <v>1831</v>
      </c>
      <c r="E175" s="1206" t="s">
        <v>169</v>
      </c>
      <c r="F175" s="1232" t="s">
        <v>67</v>
      </c>
      <c r="G175" s="1232" t="s">
        <v>1837</v>
      </c>
      <c r="H175" s="1233">
        <f>-31518+10234+21284</f>
        <v>0</v>
      </c>
      <c r="I175" s="1233"/>
      <c r="J175" s="1233"/>
      <c r="K175" s="1233"/>
      <c r="L175" s="1233"/>
      <c r="M175" s="1233"/>
      <c r="N175" s="1233"/>
      <c r="O175" s="1233"/>
      <c r="P175" s="1234"/>
      <c r="Q175" s="1235"/>
      <c r="R175" s="1233"/>
      <c r="S175" s="1233"/>
      <c r="T175" s="1233"/>
      <c r="U175" s="1233"/>
      <c r="V175" s="1233"/>
      <c r="W175" s="1233"/>
      <c r="X175" s="1234"/>
    </row>
    <row r="176" spans="1:24" ht="55.5" customHeight="1" x14ac:dyDescent="0.2">
      <c r="A176" s="1650" t="s">
        <v>289</v>
      </c>
      <c r="B176" s="1565" t="s">
        <v>307</v>
      </c>
      <c r="C176" s="1205" t="s">
        <v>2717</v>
      </c>
      <c r="D176" s="1206" t="s">
        <v>1831</v>
      </c>
      <c r="E176" s="1206" t="s">
        <v>169</v>
      </c>
      <c r="F176" s="1232" t="s">
        <v>67</v>
      </c>
      <c r="G176" s="1232" t="s">
        <v>1837</v>
      </c>
      <c r="H176" s="1233"/>
      <c r="I176" s="1233"/>
      <c r="J176" s="1233">
        <f>-200000+200000</f>
        <v>0</v>
      </c>
      <c r="K176" s="1233"/>
      <c r="L176" s="1233"/>
      <c r="M176" s="1233"/>
      <c r="N176" s="1233"/>
      <c r="O176" s="1233"/>
      <c r="P176" s="1234"/>
      <c r="Q176" s="1235"/>
      <c r="R176" s="1233"/>
      <c r="S176" s="1233"/>
      <c r="T176" s="1233"/>
      <c r="U176" s="1233"/>
      <c r="V176" s="1233"/>
      <c r="W176" s="1233"/>
      <c r="X176" s="1234"/>
    </row>
    <row r="177" spans="1:24" ht="22.5" customHeight="1" x14ac:dyDescent="0.2">
      <c r="A177" s="2099" t="s">
        <v>290</v>
      </c>
      <c r="B177" s="2126" t="s">
        <v>308</v>
      </c>
      <c r="C177" s="2102" t="s">
        <v>2723</v>
      </c>
      <c r="D177" s="1206" t="s">
        <v>1831</v>
      </c>
      <c r="E177" s="1206" t="s">
        <v>1288</v>
      </c>
      <c r="F177" s="1232" t="s">
        <v>128</v>
      </c>
      <c r="G177" s="1232" t="s">
        <v>1829</v>
      </c>
      <c r="H177" s="1233"/>
      <c r="I177" s="1233"/>
      <c r="J177" s="1233"/>
      <c r="K177" s="1233"/>
      <c r="L177" s="1233"/>
      <c r="M177" s="1233"/>
      <c r="N177" s="1233"/>
      <c r="O177" s="1233"/>
      <c r="P177" s="1234"/>
      <c r="Q177" s="1235"/>
      <c r="R177" s="1233"/>
      <c r="S177" s="1233"/>
      <c r="T177" s="1233"/>
      <c r="U177" s="1233"/>
      <c r="V177" s="1233"/>
      <c r="W177" s="1233"/>
      <c r="X177" s="1234">
        <v>139294</v>
      </c>
    </row>
    <row r="178" spans="1:24" ht="22.5" customHeight="1" x14ac:dyDescent="0.2">
      <c r="A178" s="2101"/>
      <c r="B178" s="2127"/>
      <c r="C178" s="2103"/>
      <c r="D178" s="1206" t="s">
        <v>1831</v>
      </c>
      <c r="E178" s="1206" t="s">
        <v>167</v>
      </c>
      <c r="F178" s="1232" t="s">
        <v>133</v>
      </c>
      <c r="G178" s="1232" t="s">
        <v>1829</v>
      </c>
      <c r="H178" s="1233"/>
      <c r="I178" s="1233"/>
      <c r="J178" s="1233">
        <f>109680+29614</f>
        <v>139294</v>
      </c>
      <c r="K178" s="1233"/>
      <c r="L178" s="1233"/>
      <c r="M178" s="1233"/>
      <c r="N178" s="1233"/>
      <c r="O178" s="1233"/>
      <c r="P178" s="1234"/>
      <c r="Q178" s="1235"/>
      <c r="R178" s="1233"/>
      <c r="S178" s="1233"/>
      <c r="T178" s="1233"/>
      <c r="U178" s="1233"/>
      <c r="V178" s="1233"/>
      <c r="W178" s="1233"/>
      <c r="X178" s="1234"/>
    </row>
    <row r="179" spans="1:24" ht="19.5" customHeight="1" x14ac:dyDescent="0.2">
      <c r="A179" s="2099" t="s">
        <v>291</v>
      </c>
      <c r="B179" s="2126" t="s">
        <v>309</v>
      </c>
      <c r="C179" s="2102" t="s">
        <v>2745</v>
      </c>
      <c r="D179" s="1206" t="s">
        <v>1831</v>
      </c>
      <c r="E179" s="1206" t="s">
        <v>1288</v>
      </c>
      <c r="F179" s="1232" t="s">
        <v>128</v>
      </c>
      <c r="G179" s="1232" t="s">
        <v>1829</v>
      </c>
      <c r="H179" s="1233"/>
      <c r="I179" s="1233"/>
      <c r="J179" s="1233"/>
      <c r="K179" s="1233"/>
      <c r="L179" s="1233"/>
      <c r="M179" s="1233"/>
      <c r="N179" s="1233"/>
      <c r="O179" s="1233"/>
      <c r="P179" s="1234"/>
      <c r="Q179" s="1235"/>
      <c r="R179" s="1233"/>
      <c r="S179" s="1233"/>
      <c r="T179" s="1233"/>
      <c r="U179" s="1233"/>
      <c r="V179" s="1233"/>
      <c r="W179" s="1233"/>
      <c r="X179" s="1234">
        <v>3072000</v>
      </c>
    </row>
    <row r="180" spans="1:24" ht="19.5" customHeight="1" x14ac:dyDescent="0.2">
      <c r="A180" s="2100"/>
      <c r="B180" s="2128"/>
      <c r="C180" s="2106"/>
      <c r="D180" s="1206" t="s">
        <v>1831</v>
      </c>
      <c r="E180" s="1206" t="s">
        <v>556</v>
      </c>
      <c r="F180" s="1232" t="s">
        <v>91</v>
      </c>
      <c r="G180" s="1232" t="s">
        <v>1829</v>
      </c>
      <c r="H180" s="1233">
        <v>900000</v>
      </c>
      <c r="I180" s="1233">
        <v>252000</v>
      </c>
      <c r="J180" s="1233"/>
      <c r="K180" s="1233"/>
      <c r="L180" s="1233"/>
      <c r="M180" s="1233"/>
      <c r="N180" s="1233"/>
      <c r="O180" s="1233"/>
      <c r="P180" s="1234"/>
      <c r="Q180" s="1235"/>
      <c r="R180" s="1233"/>
      <c r="S180" s="1233"/>
      <c r="T180" s="1233"/>
      <c r="U180" s="1233"/>
      <c r="V180" s="1233"/>
      <c r="W180" s="1233"/>
      <c r="X180" s="1234"/>
    </row>
    <row r="181" spans="1:24" ht="19.5" customHeight="1" x14ac:dyDescent="0.2">
      <c r="A181" s="2100"/>
      <c r="B181" s="2128"/>
      <c r="C181" s="2106"/>
      <c r="D181" s="1206" t="s">
        <v>1831</v>
      </c>
      <c r="E181" s="1206" t="s">
        <v>510</v>
      </c>
      <c r="F181" s="1232" t="s">
        <v>132</v>
      </c>
      <c r="G181" s="1232" t="s">
        <v>1829</v>
      </c>
      <c r="H181" s="1233">
        <v>100000</v>
      </c>
      <c r="I181" s="1233">
        <v>28000</v>
      </c>
      <c r="J181" s="1233"/>
      <c r="K181" s="1233"/>
      <c r="L181" s="1233"/>
      <c r="M181" s="1233"/>
      <c r="N181" s="1233"/>
      <c r="O181" s="1233"/>
      <c r="P181" s="1234"/>
      <c r="Q181" s="1235"/>
      <c r="R181" s="1233"/>
      <c r="S181" s="1233"/>
      <c r="T181" s="1233"/>
      <c r="U181" s="1233"/>
      <c r="V181" s="1233"/>
      <c r="W181" s="1233"/>
      <c r="X181" s="1234"/>
    </row>
    <row r="182" spans="1:24" ht="19.5" customHeight="1" x14ac:dyDescent="0.2">
      <c r="A182" s="2100"/>
      <c r="B182" s="2128"/>
      <c r="C182" s="2106"/>
      <c r="D182" s="1206" t="s">
        <v>1831</v>
      </c>
      <c r="E182" s="1206" t="s">
        <v>394</v>
      </c>
      <c r="F182" s="1232" t="s">
        <v>151</v>
      </c>
      <c r="G182" s="1232" t="s">
        <v>1829</v>
      </c>
      <c r="H182" s="1233">
        <v>400000</v>
      </c>
      <c r="I182" s="1233">
        <v>112000</v>
      </c>
      <c r="J182" s="1233"/>
      <c r="K182" s="1233"/>
      <c r="L182" s="1233"/>
      <c r="M182" s="1233"/>
      <c r="N182" s="1233"/>
      <c r="O182" s="1233"/>
      <c r="P182" s="1234"/>
      <c r="Q182" s="1235"/>
      <c r="R182" s="1233"/>
      <c r="S182" s="1233"/>
      <c r="T182" s="1233"/>
      <c r="U182" s="1233"/>
      <c r="V182" s="1233"/>
      <c r="W182" s="1233"/>
      <c r="X182" s="1234"/>
    </row>
    <row r="183" spans="1:24" ht="19.5" customHeight="1" x14ac:dyDescent="0.2">
      <c r="A183" s="2100"/>
      <c r="B183" s="2128"/>
      <c r="C183" s="2106"/>
      <c r="D183" s="1206" t="s">
        <v>1831</v>
      </c>
      <c r="E183" s="1206" t="s">
        <v>166</v>
      </c>
      <c r="F183" s="1232" t="s">
        <v>152</v>
      </c>
      <c r="G183" s="1232" t="s">
        <v>1829</v>
      </c>
      <c r="H183" s="1233">
        <v>200000</v>
      </c>
      <c r="I183" s="1233">
        <v>56000</v>
      </c>
      <c r="J183" s="1233"/>
      <c r="K183" s="1233"/>
      <c r="L183" s="1233"/>
      <c r="M183" s="1233"/>
      <c r="N183" s="1233"/>
      <c r="O183" s="1233"/>
      <c r="P183" s="1234"/>
      <c r="Q183" s="1235"/>
      <c r="R183" s="1233"/>
      <c r="S183" s="1233"/>
      <c r="T183" s="1233"/>
      <c r="U183" s="1233"/>
      <c r="V183" s="1233"/>
      <c r="W183" s="1233"/>
      <c r="X183" s="1234"/>
    </row>
    <row r="184" spans="1:24" ht="19.5" customHeight="1" x14ac:dyDescent="0.2">
      <c r="A184" s="2100"/>
      <c r="B184" s="2128"/>
      <c r="C184" s="2106"/>
      <c r="D184" s="1206" t="s">
        <v>1831</v>
      </c>
      <c r="E184" s="1206" t="s">
        <v>514</v>
      </c>
      <c r="F184" s="1232" t="s">
        <v>466</v>
      </c>
      <c r="G184" s="1232" t="s">
        <v>1829</v>
      </c>
      <c r="H184" s="1233">
        <v>200000</v>
      </c>
      <c r="I184" s="1233">
        <v>56000</v>
      </c>
      <c r="J184" s="1233"/>
      <c r="K184" s="1233"/>
      <c r="L184" s="1233"/>
      <c r="M184" s="1233"/>
      <c r="N184" s="1233"/>
      <c r="O184" s="1233"/>
      <c r="P184" s="1234"/>
      <c r="Q184" s="1235"/>
      <c r="R184" s="1233"/>
      <c r="S184" s="1233"/>
      <c r="T184" s="1233"/>
      <c r="U184" s="1233"/>
      <c r="V184" s="1233"/>
      <c r="W184" s="1233"/>
      <c r="X184" s="1234"/>
    </row>
    <row r="185" spans="1:24" ht="19.5" customHeight="1" x14ac:dyDescent="0.2">
      <c r="A185" s="2100"/>
      <c r="B185" s="2128"/>
      <c r="C185" s="2106"/>
      <c r="D185" s="1206" t="s">
        <v>1831</v>
      </c>
      <c r="E185" s="1206" t="s">
        <v>516</v>
      </c>
      <c r="F185" s="1232" t="s">
        <v>468</v>
      </c>
      <c r="G185" s="1232" t="s">
        <v>1829</v>
      </c>
      <c r="H185" s="1233">
        <v>200000</v>
      </c>
      <c r="I185" s="1233">
        <v>56000</v>
      </c>
      <c r="J185" s="1233"/>
      <c r="K185" s="1233"/>
      <c r="L185" s="1233"/>
      <c r="M185" s="1233"/>
      <c r="N185" s="1233"/>
      <c r="O185" s="1233"/>
      <c r="P185" s="1234"/>
      <c r="Q185" s="1235"/>
      <c r="R185" s="1233"/>
      <c r="S185" s="1233"/>
      <c r="T185" s="1233"/>
      <c r="U185" s="1233"/>
      <c r="V185" s="1233"/>
      <c r="W185" s="1233"/>
      <c r="X185" s="1234"/>
    </row>
    <row r="186" spans="1:24" ht="19.5" customHeight="1" x14ac:dyDescent="0.2">
      <c r="A186" s="2100"/>
      <c r="B186" s="2128"/>
      <c r="C186" s="2106"/>
      <c r="D186" s="1206" t="s">
        <v>1831</v>
      </c>
      <c r="E186" s="1206" t="s">
        <v>169</v>
      </c>
      <c r="F186" s="1232" t="s">
        <v>67</v>
      </c>
      <c r="G186" s="1232" t="s">
        <v>1829</v>
      </c>
      <c r="H186" s="1233">
        <v>300000</v>
      </c>
      <c r="I186" s="1233">
        <v>84000</v>
      </c>
      <c r="J186" s="1233"/>
      <c r="K186" s="1233"/>
      <c r="L186" s="1233"/>
      <c r="M186" s="1233"/>
      <c r="N186" s="1233"/>
      <c r="O186" s="1233"/>
      <c r="P186" s="1234"/>
      <c r="Q186" s="1235"/>
      <c r="R186" s="1233"/>
      <c r="S186" s="1233"/>
      <c r="T186" s="1233"/>
      <c r="U186" s="1233"/>
      <c r="V186" s="1233"/>
      <c r="W186" s="1233"/>
      <c r="X186" s="1234"/>
    </row>
    <row r="187" spans="1:24" ht="19.5" customHeight="1" x14ac:dyDescent="0.2">
      <c r="A187" s="2101"/>
      <c r="B187" s="2127"/>
      <c r="C187" s="2103"/>
      <c r="D187" s="1206" t="s">
        <v>1831</v>
      </c>
      <c r="E187" s="1206" t="s">
        <v>557</v>
      </c>
      <c r="F187" s="1232" t="s">
        <v>154</v>
      </c>
      <c r="G187" s="1232" t="s">
        <v>1829</v>
      </c>
      <c r="H187" s="1233">
        <v>100000</v>
      </c>
      <c r="I187" s="1233">
        <v>28000</v>
      </c>
      <c r="J187" s="1233"/>
      <c r="K187" s="1233"/>
      <c r="L187" s="1233"/>
      <c r="M187" s="1233"/>
      <c r="N187" s="1233"/>
      <c r="O187" s="1233"/>
      <c r="P187" s="1234"/>
      <c r="Q187" s="1235"/>
      <c r="R187" s="1233"/>
      <c r="S187" s="1233"/>
      <c r="T187" s="1233"/>
      <c r="U187" s="1233"/>
      <c r="V187" s="1233"/>
      <c r="W187" s="1233"/>
      <c r="X187" s="1234"/>
    </row>
    <row r="188" spans="1:24" ht="18.75" customHeight="1" x14ac:dyDescent="0.2">
      <c r="A188" s="2099" t="s">
        <v>292</v>
      </c>
      <c r="B188" s="2126" t="s">
        <v>732</v>
      </c>
      <c r="C188" s="2102" t="s">
        <v>2814</v>
      </c>
      <c r="D188" s="1206" t="s">
        <v>1831</v>
      </c>
      <c r="E188" s="1206" t="s">
        <v>556</v>
      </c>
      <c r="F188" s="1232" t="s">
        <v>91</v>
      </c>
      <c r="G188" s="1232" t="s">
        <v>1829</v>
      </c>
      <c r="H188" s="1233"/>
      <c r="I188" s="1233"/>
      <c r="J188" s="1233">
        <f>1500000+405000</f>
        <v>1905000</v>
      </c>
      <c r="K188" s="1233"/>
      <c r="L188" s="1233"/>
      <c r="M188" s="1233"/>
      <c r="N188" s="1233"/>
      <c r="O188" s="1233"/>
      <c r="P188" s="1234"/>
      <c r="Q188" s="1235"/>
      <c r="R188" s="1233"/>
      <c r="S188" s="1233"/>
      <c r="T188" s="1233">
        <f>1500000+405000</f>
        <v>1905000</v>
      </c>
      <c r="U188" s="1233"/>
      <c r="V188" s="1233"/>
      <c r="W188" s="1233"/>
      <c r="X188" s="1234"/>
    </row>
    <row r="189" spans="1:24" ht="18.75" customHeight="1" x14ac:dyDescent="0.2">
      <c r="A189" s="2100"/>
      <c r="B189" s="2128"/>
      <c r="C189" s="2106"/>
      <c r="D189" s="1206" t="s">
        <v>1831</v>
      </c>
      <c r="E189" s="1206" t="s">
        <v>510</v>
      </c>
      <c r="F189" s="1232" t="s">
        <v>132</v>
      </c>
      <c r="G189" s="1232" t="s">
        <v>1829</v>
      </c>
      <c r="H189" s="1233"/>
      <c r="I189" s="1233"/>
      <c r="J189" s="1233">
        <f>1500000+405000</f>
        <v>1905000</v>
      </c>
      <c r="K189" s="1233"/>
      <c r="L189" s="1233"/>
      <c r="M189" s="1233"/>
      <c r="N189" s="1233"/>
      <c r="O189" s="1233"/>
      <c r="P189" s="1234"/>
      <c r="Q189" s="1235"/>
      <c r="R189" s="1233"/>
      <c r="S189" s="1233"/>
      <c r="T189" s="1233">
        <f>1500000+405000</f>
        <v>1905000</v>
      </c>
      <c r="U189" s="1233"/>
      <c r="V189" s="1233"/>
      <c r="W189" s="1233"/>
      <c r="X189" s="1234"/>
    </row>
    <row r="190" spans="1:24" ht="18.75" customHeight="1" x14ac:dyDescent="0.2">
      <c r="A190" s="2100"/>
      <c r="B190" s="2128"/>
      <c r="C190" s="2106"/>
      <c r="D190" s="1206" t="s">
        <v>1831</v>
      </c>
      <c r="E190" s="1206" t="s">
        <v>557</v>
      </c>
      <c r="F190" s="1232" t="s">
        <v>68</v>
      </c>
      <c r="G190" s="1232" t="s">
        <v>1829</v>
      </c>
      <c r="H190" s="1233"/>
      <c r="I190" s="1233"/>
      <c r="J190" s="1233">
        <f>8000000+2160000</f>
        <v>10160000</v>
      </c>
      <c r="K190" s="1233"/>
      <c r="L190" s="1233"/>
      <c r="M190" s="1233"/>
      <c r="N190" s="1233"/>
      <c r="O190" s="1233"/>
      <c r="P190" s="1234"/>
      <c r="Q190" s="1235"/>
      <c r="R190" s="1233"/>
      <c r="S190" s="1233"/>
      <c r="T190" s="1233">
        <f>8000000+2160000</f>
        <v>10160000</v>
      </c>
      <c r="U190" s="1233"/>
      <c r="V190" s="1233"/>
      <c r="W190" s="1233"/>
      <c r="X190" s="1234"/>
    </row>
    <row r="191" spans="1:24" ht="18.75" customHeight="1" x14ac:dyDescent="0.2">
      <c r="A191" s="2100"/>
      <c r="B191" s="2128"/>
      <c r="C191" s="2106"/>
      <c r="D191" s="1206" t="s">
        <v>1831</v>
      </c>
      <c r="E191" s="1206" t="s">
        <v>557</v>
      </c>
      <c r="F191" s="1232" t="s">
        <v>154</v>
      </c>
      <c r="G191" s="1232" t="s">
        <v>1829</v>
      </c>
      <c r="H191" s="1233"/>
      <c r="I191" s="1233"/>
      <c r="J191" s="1233">
        <f>17000000+4590000</f>
        <v>21590000</v>
      </c>
      <c r="K191" s="1233"/>
      <c r="L191" s="1233"/>
      <c r="M191" s="1233"/>
      <c r="N191" s="1233"/>
      <c r="O191" s="1233"/>
      <c r="P191" s="1234"/>
      <c r="Q191" s="1235"/>
      <c r="R191" s="1233"/>
      <c r="S191" s="1233"/>
      <c r="T191" s="1233">
        <f>17000000+4590000</f>
        <v>21590000</v>
      </c>
      <c r="U191" s="1233"/>
      <c r="V191" s="1233"/>
      <c r="W191" s="1233"/>
      <c r="X191" s="1234"/>
    </row>
    <row r="192" spans="1:24" ht="18.75" customHeight="1" x14ac:dyDescent="0.2">
      <c r="A192" s="2101"/>
      <c r="B192" s="2127"/>
      <c r="C192" s="2103"/>
      <c r="D192" s="1206" t="s">
        <v>1831</v>
      </c>
      <c r="E192" s="1206" t="s">
        <v>557</v>
      </c>
      <c r="F192" s="1232" t="s">
        <v>155</v>
      </c>
      <c r="G192" s="1232" t="s">
        <v>1829</v>
      </c>
      <c r="H192" s="1233"/>
      <c r="I192" s="1233"/>
      <c r="J192" s="1233">
        <f>2200000+594000</f>
        <v>2794000</v>
      </c>
      <c r="K192" s="1233"/>
      <c r="L192" s="1233"/>
      <c r="M192" s="1233"/>
      <c r="N192" s="1233"/>
      <c r="O192" s="1233"/>
      <c r="P192" s="1234"/>
      <c r="Q192" s="1235"/>
      <c r="R192" s="1233"/>
      <c r="S192" s="1233"/>
      <c r="T192" s="1233">
        <f>2200000+594000</f>
        <v>2794000</v>
      </c>
      <c r="U192" s="1233"/>
      <c r="V192" s="1233"/>
      <c r="W192" s="1233"/>
      <c r="X192" s="1234"/>
    </row>
    <row r="193" spans="1:24" ht="18" customHeight="1" x14ac:dyDescent="0.2">
      <c r="A193" s="2099" t="s">
        <v>293</v>
      </c>
      <c r="B193" s="2126" t="s">
        <v>310</v>
      </c>
      <c r="C193" s="2102" t="s">
        <v>2856</v>
      </c>
      <c r="D193" s="1206" t="s">
        <v>1831</v>
      </c>
      <c r="E193" s="1206" t="s">
        <v>556</v>
      </c>
      <c r="F193" s="1232" t="s">
        <v>91</v>
      </c>
      <c r="G193" s="1232" t="s">
        <v>1837</v>
      </c>
      <c r="H193" s="1233">
        <f>-52642+18900+33742</f>
        <v>0</v>
      </c>
      <c r="I193" s="1233"/>
      <c r="J193" s="1233"/>
      <c r="K193" s="1233"/>
      <c r="L193" s="1233"/>
      <c r="M193" s="1233"/>
      <c r="N193" s="1233"/>
      <c r="O193" s="1233"/>
      <c r="P193" s="1234"/>
      <c r="Q193" s="1235"/>
      <c r="R193" s="1233"/>
      <c r="S193" s="1233"/>
      <c r="T193" s="1233"/>
      <c r="U193" s="1233"/>
      <c r="V193" s="1233"/>
      <c r="W193" s="1233"/>
      <c r="X193" s="1234"/>
    </row>
    <row r="194" spans="1:24" ht="18" customHeight="1" x14ac:dyDescent="0.2">
      <c r="A194" s="2100"/>
      <c r="B194" s="2128"/>
      <c r="C194" s="2106"/>
      <c r="D194" s="1206" t="s">
        <v>1831</v>
      </c>
      <c r="E194" s="1206" t="s">
        <v>510</v>
      </c>
      <c r="F194" s="1232" t="s">
        <v>132</v>
      </c>
      <c r="G194" s="1232" t="s">
        <v>1837</v>
      </c>
      <c r="H194" s="1233">
        <f>-85108+80000+5108</f>
        <v>0</v>
      </c>
      <c r="I194" s="1233"/>
      <c r="J194" s="1233"/>
      <c r="K194" s="1233"/>
      <c r="L194" s="1233"/>
      <c r="M194" s="1233"/>
      <c r="N194" s="1233"/>
      <c r="O194" s="1233"/>
      <c r="P194" s="1234"/>
      <c r="Q194" s="1235"/>
      <c r="R194" s="1233"/>
      <c r="S194" s="1233"/>
      <c r="T194" s="1233"/>
      <c r="U194" s="1233"/>
      <c r="V194" s="1233"/>
      <c r="W194" s="1233"/>
      <c r="X194" s="1234"/>
    </row>
    <row r="195" spans="1:24" ht="18" customHeight="1" x14ac:dyDescent="0.2">
      <c r="A195" s="2100"/>
      <c r="B195" s="2128"/>
      <c r="C195" s="2106"/>
      <c r="D195" s="1206" t="s">
        <v>1831</v>
      </c>
      <c r="E195" s="1206" t="s">
        <v>394</v>
      </c>
      <c r="F195" s="1232" t="s">
        <v>151</v>
      </c>
      <c r="G195" s="1232" t="s">
        <v>1837</v>
      </c>
      <c r="H195" s="1233">
        <f>-107800+107800</f>
        <v>0</v>
      </c>
      <c r="I195" s="1233"/>
      <c r="J195" s="1233"/>
      <c r="K195" s="1233"/>
      <c r="L195" s="1233"/>
      <c r="M195" s="1233"/>
      <c r="N195" s="1233"/>
      <c r="O195" s="1233"/>
      <c r="P195" s="1234"/>
      <c r="Q195" s="1235"/>
      <c r="R195" s="1233"/>
      <c r="S195" s="1233"/>
      <c r="T195" s="1233"/>
      <c r="U195" s="1233"/>
      <c r="V195" s="1233"/>
      <c r="W195" s="1233"/>
      <c r="X195" s="1234"/>
    </row>
    <row r="196" spans="1:24" ht="18" customHeight="1" x14ac:dyDescent="0.2">
      <c r="A196" s="2100"/>
      <c r="B196" s="2128"/>
      <c r="C196" s="2106"/>
      <c r="D196" s="1206" t="s">
        <v>1831</v>
      </c>
      <c r="E196" s="1206" t="s">
        <v>166</v>
      </c>
      <c r="F196" s="1232" t="s">
        <v>152</v>
      </c>
      <c r="G196" s="1232" t="s">
        <v>1837</v>
      </c>
      <c r="H196" s="1233">
        <f>-222227+20000+5130+197097</f>
        <v>0</v>
      </c>
      <c r="I196" s="1233"/>
      <c r="J196" s="1233"/>
      <c r="K196" s="1233"/>
      <c r="L196" s="1233"/>
      <c r="M196" s="1233"/>
      <c r="N196" s="1233"/>
      <c r="O196" s="1233"/>
      <c r="P196" s="1234"/>
      <c r="Q196" s="1235"/>
      <c r="R196" s="1233"/>
      <c r="S196" s="1233"/>
      <c r="T196" s="1233"/>
      <c r="U196" s="1233"/>
      <c r="V196" s="1233"/>
      <c r="W196" s="1233"/>
      <c r="X196" s="1234"/>
    </row>
    <row r="197" spans="1:24" ht="18" customHeight="1" x14ac:dyDescent="0.2">
      <c r="A197" s="2100"/>
      <c r="B197" s="2128"/>
      <c r="C197" s="2106"/>
      <c r="D197" s="1206" t="s">
        <v>1831</v>
      </c>
      <c r="E197" s="1206" t="s">
        <v>761</v>
      </c>
      <c r="F197" s="1232" t="s">
        <v>135</v>
      </c>
      <c r="G197" s="1232" t="s">
        <v>1837</v>
      </c>
      <c r="H197" s="1233">
        <f>-190000+190000</f>
        <v>0</v>
      </c>
      <c r="I197" s="1233"/>
      <c r="J197" s="1233"/>
      <c r="K197" s="1233"/>
      <c r="L197" s="1233"/>
      <c r="M197" s="1233"/>
      <c r="N197" s="1233"/>
      <c r="O197" s="1233"/>
      <c r="P197" s="1234"/>
      <c r="Q197" s="1235"/>
      <c r="R197" s="1233"/>
      <c r="S197" s="1233"/>
      <c r="T197" s="1233"/>
      <c r="U197" s="1233"/>
      <c r="V197" s="1233"/>
      <c r="W197" s="1233"/>
      <c r="X197" s="1234"/>
    </row>
    <row r="198" spans="1:24" ht="18" customHeight="1" x14ac:dyDescent="0.2">
      <c r="A198" s="2100"/>
      <c r="B198" s="2128"/>
      <c r="C198" s="2106"/>
      <c r="D198" s="1206" t="s">
        <v>1831</v>
      </c>
      <c r="E198" s="1206" t="s">
        <v>514</v>
      </c>
      <c r="F198" s="1232" t="s">
        <v>466</v>
      </c>
      <c r="G198" s="1232" t="s">
        <v>1837</v>
      </c>
      <c r="H198" s="1233">
        <f>-3694+3694</f>
        <v>0</v>
      </c>
      <c r="I198" s="1233"/>
      <c r="J198" s="1233"/>
      <c r="K198" s="1233"/>
      <c r="L198" s="1233"/>
      <c r="M198" s="1233"/>
      <c r="N198" s="1233"/>
      <c r="O198" s="1233"/>
      <c r="P198" s="1234"/>
      <c r="Q198" s="1235"/>
      <c r="R198" s="1233"/>
      <c r="S198" s="1233"/>
      <c r="T198" s="1233"/>
      <c r="U198" s="1233"/>
      <c r="V198" s="1233"/>
      <c r="W198" s="1233"/>
      <c r="X198" s="1234"/>
    </row>
    <row r="199" spans="1:24" ht="18" customHeight="1" x14ac:dyDescent="0.2">
      <c r="A199" s="2101"/>
      <c r="B199" s="2127"/>
      <c r="C199" s="2103"/>
      <c r="D199" s="1206" t="s">
        <v>1831</v>
      </c>
      <c r="E199" s="1206" t="s">
        <v>169</v>
      </c>
      <c r="F199" s="1232" t="s">
        <v>67</v>
      </c>
      <c r="G199" s="1232" t="s">
        <v>1837</v>
      </c>
      <c r="H199" s="1233">
        <f>-153030+10234+142796</f>
        <v>0</v>
      </c>
      <c r="I199" s="1233"/>
      <c r="J199" s="1233"/>
      <c r="K199" s="1233"/>
      <c r="L199" s="1233"/>
      <c r="M199" s="1233"/>
      <c r="N199" s="1233"/>
      <c r="O199" s="1233"/>
      <c r="P199" s="1234"/>
      <c r="Q199" s="1235"/>
      <c r="R199" s="1233"/>
      <c r="S199" s="1233"/>
      <c r="T199" s="1233"/>
      <c r="U199" s="1233"/>
      <c r="V199" s="1233"/>
      <c r="W199" s="1233"/>
      <c r="X199" s="1234"/>
    </row>
    <row r="200" spans="1:24" ht="21" customHeight="1" x14ac:dyDescent="0.2">
      <c r="A200" s="2099" t="s">
        <v>294</v>
      </c>
      <c r="B200" s="2126" t="s">
        <v>311</v>
      </c>
      <c r="C200" s="2102" t="s">
        <v>2915</v>
      </c>
      <c r="D200" s="1206" t="s">
        <v>1831</v>
      </c>
      <c r="E200" s="1206" t="s">
        <v>1288</v>
      </c>
      <c r="F200" s="1232" t="s">
        <v>128</v>
      </c>
      <c r="G200" s="1232" t="s">
        <v>1829</v>
      </c>
      <c r="H200" s="1233"/>
      <c r="I200" s="1233"/>
      <c r="J200" s="1233"/>
      <c r="K200" s="1233"/>
      <c r="L200" s="1233"/>
      <c r="M200" s="1233"/>
      <c r="N200" s="1233"/>
      <c r="O200" s="1233"/>
      <c r="P200" s="1234"/>
      <c r="Q200" s="1235"/>
      <c r="R200" s="1233"/>
      <c r="S200" s="1233"/>
      <c r="T200" s="1233"/>
      <c r="U200" s="1233"/>
      <c r="V200" s="1233"/>
      <c r="W200" s="1233"/>
      <c r="X200" s="1234">
        <v>242221</v>
      </c>
    </row>
    <row r="201" spans="1:24" ht="21" customHeight="1" x14ac:dyDescent="0.2">
      <c r="A201" s="2101"/>
      <c r="B201" s="2127"/>
      <c r="C201" s="2103"/>
      <c r="D201" s="1206" t="s">
        <v>1831</v>
      </c>
      <c r="E201" s="1206" t="s">
        <v>516</v>
      </c>
      <c r="F201" s="1232" t="s">
        <v>468</v>
      </c>
      <c r="G201" s="1232" t="s">
        <v>1829</v>
      </c>
      <c r="H201" s="1233"/>
      <c r="I201" s="1233"/>
      <c r="J201" s="1233">
        <f>190725+51496</f>
        <v>242221</v>
      </c>
      <c r="K201" s="1233"/>
      <c r="L201" s="1233"/>
      <c r="M201" s="1233"/>
      <c r="N201" s="1233"/>
      <c r="O201" s="1233"/>
      <c r="P201" s="1234"/>
      <c r="Q201" s="1235"/>
      <c r="R201" s="1233"/>
      <c r="S201" s="1233"/>
      <c r="T201" s="1233"/>
      <c r="U201" s="1233"/>
      <c r="V201" s="1233"/>
      <c r="W201" s="1233"/>
      <c r="X201" s="1234"/>
    </row>
    <row r="202" spans="1:24" ht="22.5" customHeight="1" x14ac:dyDescent="0.2">
      <c r="A202" s="2099" t="s">
        <v>730</v>
      </c>
      <c r="B202" s="2126" t="s">
        <v>733</v>
      </c>
      <c r="C202" s="2102" t="s">
        <v>2939</v>
      </c>
      <c r="D202" s="1206" t="s">
        <v>1831</v>
      </c>
      <c r="E202" s="1206" t="s">
        <v>1288</v>
      </c>
      <c r="F202" s="1232" t="s">
        <v>128</v>
      </c>
      <c r="G202" s="1232" t="s">
        <v>1829</v>
      </c>
      <c r="H202" s="1233"/>
      <c r="I202" s="1233"/>
      <c r="J202" s="1233"/>
      <c r="K202" s="1233"/>
      <c r="L202" s="1233"/>
      <c r="M202" s="1233"/>
      <c r="N202" s="1233"/>
      <c r="O202" s="1233"/>
      <c r="P202" s="1234"/>
      <c r="Q202" s="1235"/>
      <c r="R202" s="1233"/>
      <c r="S202" s="1233"/>
      <c r="T202" s="1233"/>
      <c r="U202" s="1233"/>
      <c r="V202" s="1233"/>
      <c r="W202" s="1233"/>
      <c r="X202" s="1234">
        <v>1091278</v>
      </c>
    </row>
    <row r="203" spans="1:24" ht="22.5" customHeight="1" x14ac:dyDescent="0.2">
      <c r="A203" s="2100"/>
      <c r="B203" s="2128"/>
      <c r="C203" s="2106"/>
      <c r="D203" s="1206" t="s">
        <v>1831</v>
      </c>
      <c r="E203" s="1206" t="s">
        <v>167</v>
      </c>
      <c r="F203" s="1232" t="s">
        <v>133</v>
      </c>
      <c r="G203" s="1232" t="s">
        <v>1829</v>
      </c>
      <c r="H203" s="1233"/>
      <c r="I203" s="1233"/>
      <c r="J203" s="1233">
        <f>94274+36254</f>
        <v>130528</v>
      </c>
      <c r="K203" s="1233"/>
      <c r="L203" s="1233"/>
      <c r="M203" s="1233"/>
      <c r="N203" s="1233"/>
      <c r="O203" s="1233"/>
      <c r="P203" s="1234"/>
      <c r="Q203" s="1235"/>
      <c r="R203" s="1233"/>
      <c r="S203" s="1233"/>
      <c r="T203" s="1233"/>
      <c r="U203" s="1233"/>
      <c r="V203" s="1233"/>
      <c r="W203" s="1233"/>
      <c r="X203" s="1234"/>
    </row>
    <row r="204" spans="1:24" ht="22.5" customHeight="1" x14ac:dyDescent="0.2">
      <c r="A204" s="2101"/>
      <c r="B204" s="2127"/>
      <c r="C204" s="2103"/>
      <c r="D204" s="1206" t="s">
        <v>1831</v>
      </c>
      <c r="E204" s="1206" t="s">
        <v>516</v>
      </c>
      <c r="F204" s="1232" t="s">
        <v>468</v>
      </c>
      <c r="G204" s="1232" t="s">
        <v>1829</v>
      </c>
      <c r="H204" s="1233"/>
      <c r="I204" s="1233"/>
      <c r="J204" s="1233">
        <v>40000</v>
      </c>
      <c r="K204" s="1233"/>
      <c r="L204" s="1233"/>
      <c r="M204" s="1233">
        <f>725000+195750</f>
        <v>920750</v>
      </c>
      <c r="N204" s="1233"/>
      <c r="O204" s="1233"/>
      <c r="P204" s="1234"/>
      <c r="Q204" s="1235"/>
      <c r="R204" s="1233"/>
      <c r="S204" s="1233"/>
      <c r="T204" s="1233"/>
      <c r="U204" s="1233"/>
      <c r="V204" s="1233"/>
      <c r="W204" s="1233"/>
      <c r="X204" s="1234"/>
    </row>
    <row r="205" spans="1:24" ht="41.25" customHeight="1" x14ac:dyDescent="0.2">
      <c r="A205" s="1646" t="s">
        <v>295</v>
      </c>
      <c r="B205" s="1658" t="s">
        <v>734</v>
      </c>
      <c r="C205" s="1641" t="s">
        <v>2957</v>
      </c>
      <c r="D205" s="1206" t="s">
        <v>1831</v>
      </c>
      <c r="E205" s="1206" t="s">
        <v>516</v>
      </c>
      <c r="F205" s="1232" t="s">
        <v>468</v>
      </c>
      <c r="G205" s="1232" t="s">
        <v>1837</v>
      </c>
      <c r="H205" s="1233"/>
      <c r="I205" s="1233"/>
      <c r="J205" s="1233"/>
      <c r="K205" s="1233"/>
      <c r="L205" s="1233"/>
      <c r="M205" s="1233">
        <f>-153517+153517</f>
        <v>0</v>
      </c>
      <c r="N205" s="1233"/>
      <c r="O205" s="1233"/>
      <c r="P205" s="1234"/>
      <c r="Q205" s="1235"/>
      <c r="R205" s="1233"/>
      <c r="S205" s="1233"/>
      <c r="T205" s="1233"/>
      <c r="U205" s="1233"/>
      <c r="V205" s="1233"/>
      <c r="W205" s="1233"/>
      <c r="X205" s="1234"/>
    </row>
    <row r="206" spans="1:24" ht="22.5" customHeight="1" x14ac:dyDescent="0.2">
      <c r="A206" s="2099" t="s">
        <v>731</v>
      </c>
      <c r="B206" s="2126" t="s">
        <v>156</v>
      </c>
      <c r="C206" s="2102" t="s">
        <v>2959</v>
      </c>
      <c r="D206" s="1206" t="s">
        <v>1831</v>
      </c>
      <c r="E206" s="1206" t="s">
        <v>557</v>
      </c>
      <c r="F206" s="1232" t="s">
        <v>68</v>
      </c>
      <c r="G206" s="1232" t="s">
        <v>1829</v>
      </c>
      <c r="H206" s="1233"/>
      <c r="I206" s="1233"/>
      <c r="J206" s="1233">
        <f>10000000+2700000</f>
        <v>12700000</v>
      </c>
      <c r="K206" s="1233"/>
      <c r="L206" s="1233"/>
      <c r="M206" s="1233"/>
      <c r="N206" s="1233"/>
      <c r="O206" s="1233"/>
      <c r="P206" s="1234"/>
      <c r="Q206" s="1235"/>
      <c r="R206" s="1233"/>
      <c r="S206" s="1233"/>
      <c r="T206" s="1233">
        <f>10000000+2700000</f>
        <v>12700000</v>
      </c>
      <c r="U206" s="1233"/>
      <c r="V206" s="1233"/>
      <c r="W206" s="1233"/>
      <c r="X206" s="1234"/>
    </row>
    <row r="207" spans="1:24" ht="22.5" customHeight="1" x14ac:dyDescent="0.2">
      <c r="A207" s="2100"/>
      <c r="B207" s="2128"/>
      <c r="C207" s="2106"/>
      <c r="D207" s="1206" t="s">
        <v>1831</v>
      </c>
      <c r="E207" s="1206" t="s">
        <v>557</v>
      </c>
      <c r="F207" s="1232" t="s">
        <v>154</v>
      </c>
      <c r="G207" s="1232" t="s">
        <v>1829</v>
      </c>
      <c r="H207" s="1233"/>
      <c r="I207" s="1233"/>
      <c r="J207" s="1233">
        <f>16000000+4320000</f>
        <v>20320000</v>
      </c>
      <c r="K207" s="1233"/>
      <c r="L207" s="1233"/>
      <c r="M207" s="1233"/>
      <c r="N207" s="1233"/>
      <c r="O207" s="1233"/>
      <c r="P207" s="1234"/>
      <c r="Q207" s="1235"/>
      <c r="R207" s="1233"/>
      <c r="S207" s="1233"/>
      <c r="T207" s="1233">
        <f>16000000+4320000</f>
        <v>20320000</v>
      </c>
      <c r="U207" s="1233"/>
      <c r="V207" s="1233"/>
      <c r="W207" s="1233"/>
      <c r="X207" s="1234"/>
    </row>
    <row r="208" spans="1:24" ht="22.5" customHeight="1" x14ac:dyDescent="0.2">
      <c r="A208" s="2101"/>
      <c r="B208" s="2127"/>
      <c r="C208" s="2103"/>
      <c r="D208" s="1206" t="s">
        <v>1831</v>
      </c>
      <c r="E208" s="1206" t="s">
        <v>557</v>
      </c>
      <c r="F208" s="1232" t="s">
        <v>155</v>
      </c>
      <c r="G208" s="1232" t="s">
        <v>1829</v>
      </c>
      <c r="H208" s="1233"/>
      <c r="I208" s="1233"/>
      <c r="J208" s="1233">
        <f>2000000+540000</f>
        <v>2540000</v>
      </c>
      <c r="K208" s="1233"/>
      <c r="L208" s="1233"/>
      <c r="M208" s="1233"/>
      <c r="N208" s="1233"/>
      <c r="O208" s="1233"/>
      <c r="P208" s="1234"/>
      <c r="Q208" s="1235"/>
      <c r="R208" s="1233"/>
      <c r="S208" s="1233"/>
      <c r="T208" s="1233">
        <f>2000000+540000</f>
        <v>2540000</v>
      </c>
      <c r="U208" s="1233"/>
      <c r="V208" s="1233"/>
      <c r="W208" s="1233"/>
      <c r="X208" s="1234"/>
    </row>
    <row r="209" spans="1:24" ht="36" customHeight="1" x14ac:dyDescent="0.2">
      <c r="A209" s="1646" t="s">
        <v>296</v>
      </c>
      <c r="B209" s="1658" t="s">
        <v>312</v>
      </c>
      <c r="C209" s="1641" t="s">
        <v>2966</v>
      </c>
      <c r="D209" s="1206" t="s">
        <v>1831</v>
      </c>
      <c r="E209" s="1206" t="s">
        <v>556</v>
      </c>
      <c r="F209" s="1232" t="s">
        <v>91</v>
      </c>
      <c r="G209" s="1232" t="s">
        <v>1829</v>
      </c>
      <c r="H209" s="1233"/>
      <c r="I209" s="1233"/>
      <c r="J209" s="1233">
        <v>600000</v>
      </c>
      <c r="K209" s="1233"/>
      <c r="L209" s="1233"/>
      <c r="M209" s="1233"/>
      <c r="N209" s="1233"/>
      <c r="O209" s="1233"/>
      <c r="P209" s="1234"/>
      <c r="Q209" s="1235"/>
      <c r="R209" s="1233"/>
      <c r="S209" s="1233"/>
      <c r="T209" s="1233">
        <v>600000</v>
      </c>
      <c r="U209" s="1233"/>
      <c r="V209" s="1233"/>
      <c r="W209" s="1233"/>
      <c r="X209" s="1234"/>
    </row>
    <row r="210" spans="1:24" ht="36" customHeight="1" x14ac:dyDescent="0.2">
      <c r="A210" s="1646" t="s">
        <v>297</v>
      </c>
      <c r="B210" s="1658" t="s">
        <v>735</v>
      </c>
      <c r="C210" s="1641" t="s">
        <v>2967</v>
      </c>
      <c r="D210" s="1206" t="s">
        <v>1831</v>
      </c>
      <c r="E210" s="1206" t="s">
        <v>167</v>
      </c>
      <c r="F210" s="1232" t="s">
        <v>133</v>
      </c>
      <c r="G210" s="1232" t="s">
        <v>1829</v>
      </c>
      <c r="H210" s="1233"/>
      <c r="I210" s="1233"/>
      <c r="J210" s="1233">
        <f>787402+212598</f>
        <v>1000000</v>
      </c>
      <c r="K210" s="1233"/>
      <c r="L210" s="1233"/>
      <c r="M210" s="1233"/>
      <c r="N210" s="1233"/>
      <c r="O210" s="1233"/>
      <c r="P210" s="1234"/>
      <c r="Q210" s="1235"/>
      <c r="R210" s="1233"/>
      <c r="S210" s="1233"/>
      <c r="T210" s="1233">
        <v>1000000</v>
      </c>
      <c r="U210" s="1233"/>
      <c r="V210" s="1233"/>
      <c r="W210" s="1233"/>
      <c r="X210" s="1234"/>
    </row>
    <row r="211" spans="1:24" ht="18.75" customHeight="1" x14ac:dyDescent="0.2">
      <c r="A211" s="2099" t="s">
        <v>298</v>
      </c>
      <c r="B211" s="2126" t="s">
        <v>736</v>
      </c>
      <c r="C211" s="2102" t="s">
        <v>3012</v>
      </c>
      <c r="D211" s="1206" t="s">
        <v>1831</v>
      </c>
      <c r="E211" s="1206" t="s">
        <v>557</v>
      </c>
      <c r="F211" s="1232" t="s">
        <v>68</v>
      </c>
      <c r="G211" s="1232" t="s">
        <v>1837</v>
      </c>
      <c r="H211" s="1233"/>
      <c r="I211" s="1233"/>
      <c r="J211" s="1233">
        <f>-2276843-614747+2891590</f>
        <v>0</v>
      </c>
      <c r="K211" s="1233"/>
      <c r="L211" s="1233"/>
      <c r="M211" s="1233"/>
      <c r="N211" s="1233"/>
      <c r="O211" s="1233"/>
      <c r="P211" s="1234"/>
      <c r="Q211" s="1235"/>
      <c r="R211" s="1233"/>
      <c r="S211" s="1233"/>
      <c r="T211" s="1233"/>
      <c r="U211" s="1233"/>
      <c r="V211" s="1233"/>
      <c r="W211" s="1233"/>
      <c r="X211" s="1234"/>
    </row>
    <row r="212" spans="1:24" ht="18.75" customHeight="1" x14ac:dyDescent="0.2">
      <c r="A212" s="2100"/>
      <c r="B212" s="2128"/>
      <c r="C212" s="2106"/>
      <c r="D212" s="1206" t="s">
        <v>1831</v>
      </c>
      <c r="E212" s="1206" t="s">
        <v>557</v>
      </c>
      <c r="F212" s="1232" t="s">
        <v>154</v>
      </c>
      <c r="G212" s="1232" t="s">
        <v>1837</v>
      </c>
      <c r="H212" s="1233"/>
      <c r="I212" s="1233"/>
      <c r="J212" s="1233">
        <f>-5260291-1420279+6381440</f>
        <v>-299130</v>
      </c>
      <c r="K212" s="1233"/>
      <c r="L212" s="1233"/>
      <c r="M212" s="1233"/>
      <c r="N212" s="1233"/>
      <c r="O212" s="1233"/>
      <c r="P212" s="1234"/>
      <c r="Q212" s="1235"/>
      <c r="R212" s="1233"/>
      <c r="S212" s="1233"/>
      <c r="T212" s="1233"/>
      <c r="U212" s="1233"/>
      <c r="V212" s="1233"/>
      <c r="W212" s="1233"/>
      <c r="X212" s="1234"/>
    </row>
    <row r="213" spans="1:24" ht="18.75" customHeight="1" x14ac:dyDescent="0.2">
      <c r="A213" s="2100"/>
      <c r="B213" s="2128"/>
      <c r="C213" s="2106"/>
      <c r="D213" s="1206" t="s">
        <v>1831</v>
      </c>
      <c r="E213" s="1206" t="s">
        <v>557</v>
      </c>
      <c r="F213" s="1232" t="s">
        <v>155</v>
      </c>
      <c r="G213" s="1232" t="s">
        <v>1837</v>
      </c>
      <c r="H213" s="1233"/>
      <c r="I213" s="1233"/>
      <c r="J213" s="1233">
        <f>-314047-84793+398840</f>
        <v>0</v>
      </c>
      <c r="K213" s="1233"/>
      <c r="L213" s="1233"/>
      <c r="M213" s="1233"/>
      <c r="N213" s="1233"/>
      <c r="O213" s="1233"/>
      <c r="P213" s="1234"/>
      <c r="Q213" s="1235"/>
      <c r="R213" s="1233"/>
      <c r="S213" s="1233"/>
      <c r="T213" s="1233"/>
      <c r="U213" s="1233"/>
      <c r="V213" s="1233"/>
      <c r="W213" s="1233"/>
      <c r="X213" s="1234"/>
    </row>
    <row r="214" spans="1:24" ht="18.75" customHeight="1" x14ac:dyDescent="0.2">
      <c r="A214" s="2101"/>
      <c r="B214" s="2127"/>
      <c r="C214" s="2103"/>
      <c r="D214" s="1206" t="s">
        <v>1831</v>
      </c>
      <c r="E214" s="1206" t="s">
        <v>558</v>
      </c>
      <c r="F214" s="1232" t="s">
        <v>165</v>
      </c>
      <c r="G214" s="1232" t="s">
        <v>1829</v>
      </c>
      <c r="H214" s="1233"/>
      <c r="I214" s="1233"/>
      <c r="J214" s="1233">
        <v>299130</v>
      </c>
      <c r="K214" s="1233"/>
      <c r="L214" s="1233"/>
      <c r="M214" s="1233"/>
      <c r="N214" s="1233"/>
      <c r="O214" s="1233"/>
      <c r="P214" s="1234"/>
      <c r="Q214" s="1235"/>
      <c r="R214" s="1233"/>
      <c r="S214" s="1233"/>
      <c r="T214" s="1233"/>
      <c r="U214" s="1233"/>
      <c r="V214" s="1233"/>
      <c r="W214" s="1233"/>
      <c r="X214" s="1234"/>
    </row>
    <row r="215" spans="1:24" ht="17.25" customHeight="1" x14ac:dyDescent="0.2">
      <c r="A215" s="1650"/>
      <c r="B215" s="1565"/>
      <c r="C215" s="1205"/>
      <c r="D215" s="1206"/>
      <c r="E215" s="1206"/>
      <c r="F215" s="1232"/>
      <c r="G215" s="1232"/>
      <c r="H215" s="1233"/>
      <c r="I215" s="1233"/>
      <c r="J215" s="1233"/>
      <c r="K215" s="1233"/>
      <c r="L215" s="1233"/>
      <c r="M215" s="1233"/>
      <c r="N215" s="1233"/>
      <c r="O215" s="1233"/>
      <c r="P215" s="1234"/>
      <c r="Q215" s="1235"/>
      <c r="R215" s="1233"/>
      <c r="S215" s="1233"/>
      <c r="T215" s="1233"/>
      <c r="U215" s="1233"/>
      <c r="V215" s="1233"/>
      <c r="W215" s="1233"/>
      <c r="X215" s="1234"/>
    </row>
    <row r="216" spans="1:24" ht="18.75" x14ac:dyDescent="0.3">
      <c r="A216" s="2082" t="s">
        <v>1749</v>
      </c>
      <c r="B216" s="2084"/>
      <c r="C216" s="2084"/>
      <c r="D216" s="1179"/>
      <c r="E216" s="1179"/>
      <c r="F216" s="1179"/>
      <c r="G216" s="1179"/>
      <c r="H216" s="1365">
        <f t="shared" ref="H216:X216" si="2">SUM(H168:H215)+H152</f>
        <v>7350000</v>
      </c>
      <c r="I216" s="1365">
        <f t="shared" si="2"/>
        <v>1315500</v>
      </c>
      <c r="J216" s="1365">
        <f t="shared" si="2"/>
        <v>137298053</v>
      </c>
      <c r="K216" s="1365">
        <f t="shared" si="2"/>
        <v>0</v>
      </c>
      <c r="L216" s="1365">
        <f t="shared" si="2"/>
        <v>41070640</v>
      </c>
      <c r="M216" s="1365">
        <f t="shared" si="2"/>
        <v>1428750</v>
      </c>
      <c r="N216" s="1365">
        <f t="shared" si="2"/>
        <v>0</v>
      </c>
      <c r="O216" s="1365">
        <f t="shared" si="2"/>
        <v>0</v>
      </c>
      <c r="P216" s="1366">
        <f t="shared" si="2"/>
        <v>0</v>
      </c>
      <c r="Q216" s="1367">
        <f t="shared" si="2"/>
        <v>6000000</v>
      </c>
      <c r="R216" s="1365">
        <f t="shared" si="2"/>
        <v>0</v>
      </c>
      <c r="S216" s="1365">
        <f t="shared" si="2"/>
        <v>0</v>
      </c>
      <c r="T216" s="1365">
        <f t="shared" si="2"/>
        <v>118467115</v>
      </c>
      <c r="U216" s="1365">
        <f t="shared" si="2"/>
        <v>0</v>
      </c>
      <c r="V216" s="1365">
        <f t="shared" si="2"/>
        <v>0</v>
      </c>
      <c r="W216" s="1365">
        <f t="shared" si="2"/>
        <v>0</v>
      </c>
      <c r="X216" s="1366">
        <f t="shared" si="2"/>
        <v>63995828</v>
      </c>
    </row>
    <row r="217" spans="1:24" ht="18" customHeight="1" x14ac:dyDescent="0.25">
      <c r="A217" s="1237"/>
      <c r="B217" s="1237"/>
      <c r="C217" s="1238"/>
      <c r="D217" s="1195"/>
      <c r="E217" s="1239"/>
      <c r="F217" s="1239"/>
      <c r="G217" s="1239"/>
      <c r="H217" s="1224"/>
      <c r="I217" s="1224"/>
      <c r="J217" s="1224"/>
      <c r="K217" s="1224"/>
      <c r="L217" s="1224"/>
      <c r="M217" s="1224"/>
      <c r="N217" s="1224"/>
      <c r="O217" s="1224"/>
      <c r="P217" s="1224"/>
      <c r="Q217" s="1224"/>
      <c r="R217" s="1224"/>
      <c r="S217" s="1224"/>
      <c r="T217" s="1224"/>
      <c r="U217" s="1224"/>
      <c r="V217" s="1224"/>
      <c r="W217" s="1224"/>
      <c r="X217" s="1224"/>
    </row>
    <row r="218" spans="1:24" ht="17.25" customHeight="1" x14ac:dyDescent="0.25">
      <c r="A218" s="1237"/>
      <c r="B218" s="1237"/>
      <c r="C218" s="1238"/>
      <c r="D218" s="1195"/>
      <c r="E218" s="1239"/>
      <c r="F218" s="1239"/>
      <c r="G218" s="1239"/>
      <c r="H218" s="1224"/>
      <c r="I218" s="1224"/>
      <c r="J218" s="1224"/>
      <c r="K218" s="1224"/>
      <c r="L218" s="1224"/>
      <c r="M218" s="1224"/>
      <c r="N218" s="1224"/>
      <c r="O218" s="1224"/>
      <c r="P218" s="1224"/>
      <c r="Q218" s="1224"/>
      <c r="R218" s="1224"/>
      <c r="S218" s="1224"/>
      <c r="T218" s="1224"/>
      <c r="U218" s="1224"/>
      <c r="V218" s="1224"/>
      <c r="W218" s="1224"/>
      <c r="X218" s="1224"/>
    </row>
    <row r="219" spans="1:24" ht="15" x14ac:dyDescent="0.25">
      <c r="A219" s="1226"/>
      <c r="B219" s="1226"/>
      <c r="C219" s="1196"/>
      <c r="D219" s="1197"/>
      <c r="E219" s="1197"/>
      <c r="F219" s="1197"/>
      <c r="G219" s="1197"/>
      <c r="H219" s="1224"/>
      <c r="I219" s="1224"/>
      <c r="J219" s="1224"/>
      <c r="K219" s="1224"/>
      <c r="L219" s="1224"/>
      <c r="M219" s="1224"/>
      <c r="N219" s="1224"/>
      <c r="O219" s="1224"/>
      <c r="P219" s="1224"/>
      <c r="Q219" s="1224"/>
      <c r="R219" s="1224"/>
      <c r="S219" s="1224"/>
      <c r="T219" s="1224"/>
      <c r="U219" s="1224"/>
      <c r="V219" s="1224"/>
      <c r="W219" s="1224"/>
      <c r="X219" s="1224"/>
    </row>
    <row r="220" spans="1:24" ht="21.75" customHeight="1" x14ac:dyDescent="0.25">
      <c r="A220" s="1226"/>
      <c r="B220" s="1226"/>
      <c r="C220" s="1196"/>
      <c r="D220" s="1197"/>
      <c r="E220" s="1197"/>
      <c r="F220" s="1197"/>
      <c r="G220" s="1197"/>
      <c r="H220" s="1224"/>
      <c r="I220" s="2108" t="s">
        <v>1750</v>
      </c>
      <c r="J220" s="2108"/>
      <c r="K220" s="2108"/>
      <c r="L220" s="2108">
        <v>1438032186</v>
      </c>
      <c r="M220" s="2108"/>
      <c r="N220" s="1225"/>
      <c r="O220" s="1225"/>
      <c r="P220" s="1225"/>
      <c r="Q220" s="1225"/>
      <c r="R220" s="2108" t="s">
        <v>1751</v>
      </c>
      <c r="S220" s="2108"/>
      <c r="T220" s="2108"/>
      <c r="U220" s="2108">
        <v>1438032186</v>
      </c>
      <c r="V220" s="2108"/>
      <c r="W220" s="1224"/>
      <c r="X220" s="1224"/>
    </row>
    <row r="221" spans="1:24" ht="21.75" customHeight="1" x14ac:dyDescent="0.25">
      <c r="A221" s="1226"/>
      <c r="B221" s="1226"/>
      <c r="C221" s="1196"/>
      <c r="D221" s="1197"/>
      <c r="E221" s="1197"/>
      <c r="F221" s="1197"/>
      <c r="G221" s="1197"/>
      <c r="H221" s="1224"/>
      <c r="I221" s="2066" t="s">
        <v>3474</v>
      </c>
      <c r="J221" s="2066"/>
      <c r="K221" s="2066"/>
      <c r="L221" s="2108">
        <f>SUM(H216:P216)</f>
        <v>188462943</v>
      </c>
      <c r="M221" s="2108"/>
      <c r="N221" s="1225"/>
      <c r="O221" s="1225"/>
      <c r="P221" s="1225"/>
      <c r="Q221" s="1225"/>
      <c r="R221" s="2066" t="s">
        <v>3474</v>
      </c>
      <c r="S221" s="2066"/>
      <c r="T221" s="2066"/>
      <c r="U221" s="2108">
        <f>SUM(Q216:X216)</f>
        <v>188462943</v>
      </c>
      <c r="V221" s="2108"/>
      <c r="W221" s="1224"/>
      <c r="X221" s="1224"/>
    </row>
    <row r="222" spans="1:24" ht="22.5" customHeight="1" x14ac:dyDescent="0.25">
      <c r="A222" s="1226"/>
      <c r="B222" s="1226"/>
      <c r="C222" s="1196"/>
      <c r="D222" s="1197"/>
      <c r="E222" s="1197"/>
      <c r="F222" s="1197"/>
      <c r="G222" s="1197"/>
      <c r="H222" s="1224"/>
      <c r="I222" s="2108" t="s">
        <v>1561</v>
      </c>
      <c r="J222" s="2108"/>
      <c r="K222" s="2108"/>
      <c r="L222" s="2108">
        <f>+L220+L221</f>
        <v>1626495129</v>
      </c>
      <c r="M222" s="2108"/>
      <c r="N222" s="1225"/>
      <c r="O222" s="1225"/>
      <c r="P222" s="1225"/>
      <c r="Q222" s="1225"/>
      <c r="R222" s="2108" t="s">
        <v>1561</v>
      </c>
      <c r="S222" s="2108"/>
      <c r="T222" s="2108"/>
      <c r="U222" s="2108">
        <f>+U220+U221</f>
        <v>1626495129</v>
      </c>
      <c r="V222" s="2108"/>
      <c r="W222" s="1224"/>
      <c r="X222" s="1224"/>
    </row>
    <row r="223" spans="1:24" x14ac:dyDescent="0.2">
      <c r="A223" s="348"/>
      <c r="B223" s="348"/>
      <c r="C223" s="348"/>
      <c r="D223" s="348"/>
      <c r="E223" s="348"/>
      <c r="F223" s="348"/>
      <c r="G223" s="348"/>
      <c r="H223" s="348"/>
      <c r="I223" s="348"/>
      <c r="J223" s="348"/>
      <c r="K223" s="348"/>
      <c r="L223" s="348"/>
      <c r="M223" s="348"/>
      <c r="N223" s="348"/>
      <c r="O223" s="348"/>
      <c r="P223" s="348"/>
      <c r="Q223" s="348"/>
      <c r="R223" s="348"/>
      <c r="S223" s="348"/>
      <c r="T223" s="348"/>
      <c r="U223" s="348"/>
      <c r="V223" s="348"/>
      <c r="W223" s="348"/>
      <c r="X223" s="348"/>
    </row>
    <row r="224" spans="1:24" x14ac:dyDescent="0.2">
      <c r="A224" s="348"/>
      <c r="B224" s="348"/>
      <c r="C224" s="348"/>
      <c r="D224" s="348"/>
      <c r="E224" s="348"/>
      <c r="F224" s="348"/>
      <c r="G224" s="348"/>
      <c r="H224" s="348"/>
      <c r="I224" s="348"/>
      <c r="J224" s="348"/>
      <c r="K224" s="348"/>
      <c r="L224" s="348"/>
      <c r="M224" s="348"/>
      <c r="N224" s="348"/>
      <c r="O224" s="348"/>
      <c r="P224" s="348"/>
      <c r="Q224" s="348"/>
      <c r="R224" s="348"/>
      <c r="S224" s="348"/>
      <c r="T224" s="348"/>
      <c r="U224" s="348"/>
      <c r="V224" s="348"/>
      <c r="W224" s="348"/>
      <c r="X224" s="348"/>
    </row>
    <row r="225" spans="1:24" x14ac:dyDescent="0.2">
      <c r="A225" s="348"/>
      <c r="B225" s="348"/>
      <c r="C225" s="348"/>
      <c r="D225" s="348"/>
      <c r="E225" s="348"/>
      <c r="F225" s="348"/>
      <c r="G225" s="348"/>
      <c r="H225" s="348"/>
      <c r="I225" s="348"/>
      <c r="J225" s="348"/>
      <c r="K225" s="348"/>
      <c r="L225" s="348"/>
      <c r="M225" s="348"/>
      <c r="N225" s="348"/>
      <c r="O225" s="348"/>
      <c r="P225" s="348"/>
      <c r="Q225" s="348"/>
      <c r="R225" s="348"/>
      <c r="S225" s="348"/>
      <c r="T225" s="348"/>
      <c r="U225" s="348"/>
      <c r="V225" s="348"/>
      <c r="W225" s="348"/>
      <c r="X225" s="348"/>
    </row>
    <row r="226" spans="1:24" x14ac:dyDescent="0.2">
      <c r="A226" s="348"/>
      <c r="B226" s="348"/>
      <c r="C226" s="348"/>
      <c r="D226" s="348"/>
      <c r="E226" s="348"/>
      <c r="F226" s="348"/>
      <c r="G226" s="348"/>
      <c r="H226" s="348"/>
      <c r="I226" s="348"/>
      <c r="J226" s="348"/>
      <c r="K226" s="348"/>
      <c r="L226" s="348"/>
      <c r="M226" s="348"/>
      <c r="N226" s="348"/>
      <c r="O226" s="348"/>
      <c r="P226" s="348"/>
      <c r="Q226" s="348"/>
      <c r="R226" s="348"/>
      <c r="S226" s="348"/>
      <c r="T226" s="348"/>
      <c r="U226" s="348"/>
      <c r="V226" s="348"/>
      <c r="W226" s="348"/>
      <c r="X226" s="348"/>
    </row>
    <row r="227" spans="1:24" ht="15.75" x14ac:dyDescent="0.25">
      <c r="A227" s="2069" t="s">
        <v>3354</v>
      </c>
      <c r="B227" s="2069"/>
      <c r="C227" s="2069"/>
      <c r="D227" s="2069"/>
      <c r="E227" s="2069"/>
      <c r="F227" s="2069"/>
      <c r="G227" s="2069"/>
      <c r="H227" s="2069"/>
      <c r="I227" s="2069"/>
      <c r="J227" s="2069"/>
      <c r="K227" s="2069"/>
      <c r="L227" s="2069"/>
      <c r="M227" s="2069"/>
      <c r="N227" s="2069"/>
      <c r="O227" s="2069"/>
      <c r="P227" s="2069"/>
      <c r="Q227" s="2069"/>
      <c r="R227" s="2069"/>
      <c r="S227" s="2069"/>
      <c r="T227" s="2069"/>
      <c r="U227" s="2069"/>
      <c r="V227" s="2069"/>
      <c r="W227" s="2069"/>
      <c r="X227" s="2069"/>
    </row>
    <row r="228" spans="1:24" ht="15" x14ac:dyDescent="0.25">
      <c r="A228" s="1195"/>
      <c r="B228" s="1195"/>
      <c r="C228" s="1194"/>
      <c r="D228" s="1195"/>
      <c r="E228" s="1195"/>
      <c r="F228" s="1195"/>
      <c r="G228" s="1195"/>
      <c r="H228" s="1195"/>
      <c r="I228" s="1195"/>
      <c r="J228" s="1195"/>
      <c r="K228" s="1195"/>
      <c r="L228" s="1195"/>
      <c r="M228" s="1195"/>
      <c r="N228" s="1195"/>
      <c r="O228" s="1195"/>
      <c r="P228" s="1195"/>
      <c r="Q228" s="1195"/>
      <c r="R228" s="1195"/>
      <c r="S228" s="1195"/>
      <c r="T228" s="1195"/>
      <c r="U228" s="1195"/>
      <c r="V228" s="1195"/>
      <c r="W228" s="1195"/>
      <c r="X228" s="1195"/>
    </row>
    <row r="229" spans="1:24" ht="15" x14ac:dyDescent="0.25">
      <c r="A229" s="2112" t="s">
        <v>25</v>
      </c>
      <c r="B229" s="2112"/>
      <c r="C229" s="2112"/>
      <c r="D229" s="2112"/>
      <c r="E229" s="2112"/>
      <c r="F229" s="2112"/>
      <c r="G229" s="2112"/>
      <c r="H229" s="2112"/>
      <c r="I229" s="2112"/>
      <c r="J229" s="2112"/>
      <c r="K229" s="2112"/>
      <c r="L229" s="2112"/>
      <c r="M229" s="2112"/>
      <c r="N229" s="2112"/>
      <c r="O229" s="2112"/>
      <c r="P229" s="2112"/>
      <c r="Q229" s="2112"/>
      <c r="R229" s="2112"/>
      <c r="S229" s="2112"/>
      <c r="T229" s="2112"/>
      <c r="U229" s="2112"/>
      <c r="V229" s="2112"/>
      <c r="W229" s="2112"/>
      <c r="X229" s="2112"/>
    </row>
    <row r="230" spans="1:24" ht="15" x14ac:dyDescent="0.25">
      <c r="A230" s="1226"/>
      <c r="B230" s="1226"/>
      <c r="C230" s="1196"/>
      <c r="D230" s="1197"/>
      <c r="E230" s="1197"/>
      <c r="F230" s="1197"/>
      <c r="G230" s="1197"/>
      <c r="H230" s="1197"/>
      <c r="I230" s="1197"/>
      <c r="J230" s="1197"/>
      <c r="K230" s="1197"/>
      <c r="L230" s="1197"/>
      <c r="M230" s="1197"/>
      <c r="N230" s="1197"/>
      <c r="O230" s="1197"/>
      <c r="P230" s="1197"/>
      <c r="Q230" s="1198"/>
      <c r="R230" s="1197"/>
      <c r="S230" s="1197"/>
      <c r="T230" s="1197"/>
      <c r="U230" s="1197"/>
      <c r="V230" s="1197"/>
      <c r="W230" s="1197"/>
      <c r="X230" s="1197"/>
    </row>
    <row r="231" spans="1:24" ht="15" customHeight="1" x14ac:dyDescent="0.25">
      <c r="A231" s="2113" t="s">
        <v>37</v>
      </c>
      <c r="B231" s="2093" t="s">
        <v>1726</v>
      </c>
      <c r="C231" s="2115" t="s">
        <v>2</v>
      </c>
      <c r="D231" s="2117" t="s">
        <v>1727</v>
      </c>
      <c r="E231" s="2117" t="s">
        <v>117</v>
      </c>
      <c r="F231" s="2117" t="s">
        <v>1728</v>
      </c>
      <c r="G231" s="2117" t="s">
        <v>1729</v>
      </c>
      <c r="H231" s="2119" t="s">
        <v>1730</v>
      </c>
      <c r="I231" s="2119"/>
      <c r="J231" s="2119"/>
      <c r="K231" s="2119"/>
      <c r="L231" s="2119"/>
      <c r="M231" s="2119"/>
      <c r="N231" s="2119"/>
      <c r="O231" s="2133"/>
      <c r="P231" s="1661"/>
      <c r="Q231" s="2120" t="s">
        <v>1731</v>
      </c>
      <c r="R231" s="2119"/>
      <c r="S231" s="2119"/>
      <c r="T231" s="2119"/>
      <c r="U231" s="2119"/>
      <c r="V231" s="2119"/>
      <c r="W231" s="2119"/>
      <c r="X231" s="2121"/>
    </row>
    <row r="232" spans="1:24" ht="81.75" customHeight="1" x14ac:dyDescent="0.2">
      <c r="A232" s="2114"/>
      <c r="B232" s="2094"/>
      <c r="C232" s="2116"/>
      <c r="D232" s="2118"/>
      <c r="E232" s="2118"/>
      <c r="F232" s="2118"/>
      <c r="G232" s="2118"/>
      <c r="H232" s="1154" t="s">
        <v>2382</v>
      </c>
      <c r="I232" s="1154" t="s">
        <v>1763</v>
      </c>
      <c r="J232" s="1154" t="s">
        <v>1764</v>
      </c>
      <c r="K232" s="1154" t="s">
        <v>1765</v>
      </c>
      <c r="L232" s="1154" t="s">
        <v>1766</v>
      </c>
      <c r="M232" s="1154" t="s">
        <v>1767</v>
      </c>
      <c r="N232" s="1154" t="s">
        <v>1757</v>
      </c>
      <c r="O232" s="1157" t="s">
        <v>1739</v>
      </c>
      <c r="P232" s="1159" t="s">
        <v>1740</v>
      </c>
      <c r="Q232" s="1227" t="s">
        <v>1768</v>
      </c>
      <c r="R232" s="1154" t="s">
        <v>1769</v>
      </c>
      <c r="S232" s="1154" t="s">
        <v>1770</v>
      </c>
      <c r="T232" s="1154" t="s">
        <v>1771</v>
      </c>
      <c r="U232" s="1154" t="s">
        <v>1745</v>
      </c>
      <c r="V232" s="1154" t="s">
        <v>1772</v>
      </c>
      <c r="W232" s="1154" t="s">
        <v>1747</v>
      </c>
      <c r="X232" s="1159" t="s">
        <v>1773</v>
      </c>
    </row>
    <row r="233" spans="1:24" ht="22.5" customHeight="1" x14ac:dyDescent="0.2">
      <c r="A233" s="2124" t="s">
        <v>299</v>
      </c>
      <c r="B233" s="2134" t="s">
        <v>313</v>
      </c>
      <c r="C233" s="2122" t="s">
        <v>3030</v>
      </c>
      <c r="D233" s="1206" t="s">
        <v>1831</v>
      </c>
      <c r="E233" s="1206">
        <v>102031</v>
      </c>
      <c r="F233" s="1232" t="s">
        <v>91</v>
      </c>
      <c r="G233" s="1232" t="s">
        <v>1837</v>
      </c>
      <c r="H233" s="1233">
        <f>-241552+208900+32652</f>
        <v>0</v>
      </c>
      <c r="I233" s="1233"/>
      <c r="J233" s="1233"/>
      <c r="K233" s="1233"/>
      <c r="L233" s="1233"/>
      <c r="M233" s="1233"/>
      <c r="N233" s="1233"/>
      <c r="O233" s="1233"/>
      <c r="P233" s="1234"/>
      <c r="Q233" s="1235"/>
      <c r="R233" s="1233"/>
      <c r="S233" s="1233"/>
      <c r="T233" s="1233"/>
      <c r="U233" s="1233"/>
      <c r="V233" s="1233"/>
      <c r="W233" s="1233"/>
      <c r="X233" s="1234"/>
    </row>
    <row r="234" spans="1:24" ht="22.5" customHeight="1" x14ac:dyDescent="0.2">
      <c r="A234" s="2100"/>
      <c r="B234" s="2128"/>
      <c r="C234" s="2106"/>
      <c r="D234" s="1206" t="s">
        <v>1831</v>
      </c>
      <c r="E234" s="1206" t="s">
        <v>510</v>
      </c>
      <c r="F234" s="1232" t="s">
        <v>132</v>
      </c>
      <c r="G234" s="1232" t="s">
        <v>1837</v>
      </c>
      <c r="H234" s="1233">
        <f>-5108+5108</f>
        <v>0</v>
      </c>
      <c r="I234" s="1233"/>
      <c r="J234" s="1233"/>
      <c r="K234" s="1233"/>
      <c r="L234" s="1233"/>
      <c r="M234" s="1233"/>
      <c r="N234" s="1233"/>
      <c r="O234" s="1233"/>
      <c r="P234" s="1234"/>
      <c r="Q234" s="1235"/>
      <c r="R234" s="1233"/>
      <c r="S234" s="1233"/>
      <c r="T234" s="1233"/>
      <c r="U234" s="1233"/>
      <c r="V234" s="1233"/>
      <c r="W234" s="1233"/>
      <c r="X234" s="1234"/>
    </row>
    <row r="235" spans="1:24" ht="22.5" customHeight="1" x14ac:dyDescent="0.2">
      <c r="A235" s="2100"/>
      <c r="B235" s="2128"/>
      <c r="C235" s="2106"/>
      <c r="D235" s="1206" t="s">
        <v>1831</v>
      </c>
      <c r="E235" s="1206" t="s">
        <v>394</v>
      </c>
      <c r="F235" s="1232" t="s">
        <v>151</v>
      </c>
      <c r="G235" s="1232" t="s">
        <v>1837</v>
      </c>
      <c r="H235" s="1233">
        <f>-638150+107800+530350</f>
        <v>0</v>
      </c>
      <c r="I235" s="1233"/>
      <c r="J235" s="1233"/>
      <c r="K235" s="1233"/>
      <c r="L235" s="1233"/>
      <c r="M235" s="1233"/>
      <c r="N235" s="1233"/>
      <c r="O235" s="1233"/>
      <c r="P235" s="1234"/>
      <c r="Q235" s="1235"/>
      <c r="R235" s="1233"/>
      <c r="S235" s="1233"/>
      <c r="T235" s="1233"/>
      <c r="U235" s="1233"/>
      <c r="V235" s="1233"/>
      <c r="W235" s="1233"/>
      <c r="X235" s="1234"/>
    </row>
    <row r="236" spans="1:24" ht="22.5" customHeight="1" x14ac:dyDescent="0.2">
      <c r="A236" s="2100"/>
      <c r="B236" s="2128"/>
      <c r="C236" s="2106"/>
      <c r="D236" s="1206" t="s">
        <v>1831</v>
      </c>
      <c r="E236" s="1206" t="s">
        <v>166</v>
      </c>
      <c r="F236" s="1232" t="s">
        <v>152</v>
      </c>
      <c r="G236" s="1232" t="s">
        <v>1837</v>
      </c>
      <c r="H236" s="1233">
        <f>-338330+20000+5130+313200</f>
        <v>0</v>
      </c>
      <c r="I236" s="1233"/>
      <c r="J236" s="1233"/>
      <c r="K236" s="1233"/>
      <c r="L236" s="1233"/>
      <c r="M236" s="1233"/>
      <c r="N236" s="1233"/>
      <c r="O236" s="1233"/>
      <c r="P236" s="1234"/>
      <c r="Q236" s="1235"/>
      <c r="R236" s="1233"/>
      <c r="S236" s="1233"/>
      <c r="T236" s="1233"/>
      <c r="U236" s="1233"/>
      <c r="V236" s="1233"/>
      <c r="W236" s="1233"/>
      <c r="X236" s="1234"/>
    </row>
    <row r="237" spans="1:24" ht="22.5" customHeight="1" x14ac:dyDescent="0.2">
      <c r="A237" s="2100"/>
      <c r="B237" s="2128"/>
      <c r="C237" s="2106"/>
      <c r="D237" s="1206" t="s">
        <v>1831</v>
      </c>
      <c r="E237" s="1206" t="s">
        <v>761</v>
      </c>
      <c r="F237" s="1232" t="s">
        <v>135</v>
      </c>
      <c r="G237" s="1232" t="s">
        <v>1837</v>
      </c>
      <c r="H237" s="1233">
        <f>-190000+190000</f>
        <v>0</v>
      </c>
      <c r="I237" s="1233"/>
      <c r="J237" s="1233"/>
      <c r="K237" s="1233"/>
      <c r="L237" s="1233"/>
      <c r="M237" s="1233"/>
      <c r="N237" s="1233"/>
      <c r="O237" s="1233"/>
      <c r="P237" s="1234"/>
      <c r="Q237" s="1235"/>
      <c r="R237" s="1233"/>
      <c r="S237" s="1233"/>
      <c r="T237" s="1233"/>
      <c r="U237" s="1233"/>
      <c r="V237" s="1233"/>
      <c r="W237" s="1233"/>
      <c r="X237" s="1234"/>
    </row>
    <row r="238" spans="1:24" ht="22.5" customHeight="1" x14ac:dyDescent="0.2">
      <c r="A238" s="2100"/>
      <c r="B238" s="2128"/>
      <c r="C238" s="2106"/>
      <c r="D238" s="1206" t="s">
        <v>1831</v>
      </c>
      <c r="E238" s="1206" t="s">
        <v>514</v>
      </c>
      <c r="F238" s="1232" t="s">
        <v>466</v>
      </c>
      <c r="G238" s="1232" t="s">
        <v>1837</v>
      </c>
      <c r="H238" s="1233">
        <f>-8208+8208</f>
        <v>0</v>
      </c>
      <c r="I238" s="1233"/>
      <c r="J238" s="1233"/>
      <c r="K238" s="1233"/>
      <c r="L238" s="1233"/>
      <c r="M238" s="1233"/>
      <c r="N238" s="1233"/>
      <c r="O238" s="1233"/>
      <c r="P238" s="1234"/>
      <c r="Q238" s="1235"/>
      <c r="R238" s="1233"/>
      <c r="S238" s="1233"/>
      <c r="T238" s="1233"/>
      <c r="U238" s="1233"/>
      <c r="V238" s="1233"/>
      <c r="W238" s="1233"/>
      <c r="X238" s="1234"/>
    </row>
    <row r="239" spans="1:24" ht="22.5" customHeight="1" x14ac:dyDescent="0.2">
      <c r="A239" s="2101"/>
      <c r="B239" s="2127"/>
      <c r="C239" s="2103"/>
      <c r="D239" s="1206" t="s">
        <v>1831</v>
      </c>
      <c r="E239" s="1206" t="s">
        <v>169</v>
      </c>
      <c r="F239" s="1232" t="s">
        <v>67</v>
      </c>
      <c r="G239" s="1232" t="s">
        <v>1837</v>
      </c>
      <c r="H239" s="1233">
        <f>-10234+10234</f>
        <v>0</v>
      </c>
      <c r="I239" s="1233"/>
      <c r="J239" s="1233"/>
      <c r="K239" s="1233"/>
      <c r="L239" s="1233"/>
      <c r="M239" s="1233"/>
      <c r="N239" s="1233"/>
      <c r="O239" s="1233"/>
      <c r="P239" s="1234"/>
      <c r="Q239" s="1235"/>
      <c r="R239" s="1233"/>
      <c r="S239" s="1233"/>
      <c r="T239" s="1233"/>
      <c r="U239" s="1233"/>
      <c r="V239" s="1233"/>
      <c r="W239" s="1233"/>
      <c r="X239" s="1234"/>
    </row>
    <row r="240" spans="1:24" ht="21.75" customHeight="1" x14ac:dyDescent="0.2">
      <c r="A240" s="2099" t="s">
        <v>300</v>
      </c>
      <c r="B240" s="2126" t="s">
        <v>314</v>
      </c>
      <c r="C240" s="2102" t="s">
        <v>3055</v>
      </c>
      <c r="D240" s="1206" t="s">
        <v>1831</v>
      </c>
      <c r="E240" s="1206" t="s">
        <v>557</v>
      </c>
      <c r="F240" s="1232" t="s">
        <v>68</v>
      </c>
      <c r="G240" s="1232" t="s">
        <v>1829</v>
      </c>
      <c r="H240" s="1233"/>
      <c r="I240" s="1233"/>
      <c r="J240" s="1233">
        <v>1447720</v>
      </c>
      <c r="K240" s="1233"/>
      <c r="L240" s="1233"/>
      <c r="M240" s="1233"/>
      <c r="N240" s="1233"/>
      <c r="O240" s="1233"/>
      <c r="P240" s="1234"/>
      <c r="Q240" s="1235"/>
      <c r="R240" s="1233"/>
      <c r="S240" s="1233"/>
      <c r="T240" s="1233">
        <v>1447720</v>
      </c>
      <c r="U240" s="1233"/>
      <c r="V240" s="1233"/>
      <c r="W240" s="1233"/>
      <c r="X240" s="1234"/>
    </row>
    <row r="241" spans="1:24" ht="21.75" customHeight="1" x14ac:dyDescent="0.2">
      <c r="A241" s="2100"/>
      <c r="B241" s="2128"/>
      <c r="C241" s="2106"/>
      <c r="D241" s="1206" t="s">
        <v>1831</v>
      </c>
      <c r="E241" s="1206" t="s">
        <v>557</v>
      </c>
      <c r="F241" s="1232" t="s">
        <v>154</v>
      </c>
      <c r="G241" s="1232" t="s">
        <v>1829</v>
      </c>
      <c r="H241" s="1233"/>
      <c r="I241" s="1233"/>
      <c r="J241" s="1233">
        <v>3291520</v>
      </c>
      <c r="K241" s="1233"/>
      <c r="L241" s="1233"/>
      <c r="M241" s="1233"/>
      <c r="N241" s="1233"/>
      <c r="O241" s="1233"/>
      <c r="P241" s="1234"/>
      <c r="Q241" s="1235"/>
      <c r="R241" s="1233"/>
      <c r="S241" s="1233"/>
      <c r="T241" s="1233">
        <v>3291520</v>
      </c>
      <c r="U241" s="1233"/>
      <c r="V241" s="1233"/>
      <c r="W241" s="1233"/>
      <c r="X241" s="1234"/>
    </row>
    <row r="242" spans="1:24" ht="21.75" customHeight="1" x14ac:dyDescent="0.2">
      <c r="A242" s="2100"/>
      <c r="B242" s="2128"/>
      <c r="C242" s="2106"/>
      <c r="D242" s="1206" t="s">
        <v>1831</v>
      </c>
      <c r="E242" s="1206" t="s">
        <v>557</v>
      </c>
      <c r="F242" s="1232" t="s">
        <v>155</v>
      </c>
      <c r="G242" s="1232" t="s">
        <v>1829</v>
      </c>
      <c r="H242" s="1233"/>
      <c r="I242" s="1233"/>
      <c r="J242" s="1233">
        <v>30720</v>
      </c>
      <c r="K242" s="1233"/>
      <c r="L242" s="1233"/>
      <c r="M242" s="1233"/>
      <c r="N242" s="1233"/>
      <c r="O242" s="1233"/>
      <c r="P242" s="1234"/>
      <c r="Q242" s="1235"/>
      <c r="R242" s="1233"/>
      <c r="S242" s="1233"/>
      <c r="T242" s="1233">
        <v>30720</v>
      </c>
      <c r="U242" s="1233"/>
      <c r="V242" s="1233"/>
      <c r="W242" s="1233"/>
      <c r="X242" s="1234"/>
    </row>
    <row r="243" spans="1:24" ht="21.75" customHeight="1" x14ac:dyDescent="0.2">
      <c r="A243" s="2101"/>
      <c r="B243" s="2127"/>
      <c r="C243" s="2103"/>
      <c r="D243" s="1206" t="s">
        <v>1831</v>
      </c>
      <c r="E243" s="1206" t="s">
        <v>558</v>
      </c>
      <c r="F243" s="1232" t="s">
        <v>165</v>
      </c>
      <c r="G243" s="1232" t="s">
        <v>1829</v>
      </c>
      <c r="H243" s="1233"/>
      <c r="I243" s="1233"/>
      <c r="J243" s="1233">
        <v>198040</v>
      </c>
      <c r="K243" s="1233"/>
      <c r="L243" s="1233"/>
      <c r="M243" s="1233"/>
      <c r="N243" s="1233"/>
      <c r="O243" s="1233"/>
      <c r="P243" s="1234"/>
      <c r="Q243" s="1235"/>
      <c r="R243" s="1233"/>
      <c r="S243" s="1233"/>
      <c r="T243" s="1233">
        <v>198040</v>
      </c>
      <c r="U243" s="1233"/>
      <c r="V243" s="1233"/>
      <c r="W243" s="1233"/>
      <c r="X243" s="1234"/>
    </row>
    <row r="244" spans="1:24" ht="40.5" customHeight="1" x14ac:dyDescent="0.2">
      <c r="A244" s="1646" t="s">
        <v>301</v>
      </c>
      <c r="B244" s="1658" t="s">
        <v>315</v>
      </c>
      <c r="C244" s="1641" t="s">
        <v>3106</v>
      </c>
      <c r="D244" s="1206" t="s">
        <v>1831</v>
      </c>
      <c r="E244" s="1206" t="s">
        <v>761</v>
      </c>
      <c r="F244" s="1232" t="s">
        <v>135</v>
      </c>
      <c r="G244" s="1232" t="s">
        <v>1837</v>
      </c>
      <c r="H244" s="1233"/>
      <c r="I244" s="1233"/>
      <c r="J244" s="1233">
        <f>-500000+500000</f>
        <v>0</v>
      </c>
      <c r="K244" s="1233"/>
      <c r="L244" s="1233"/>
      <c r="M244" s="1233"/>
      <c r="N244" s="1233"/>
      <c r="O244" s="1233"/>
      <c r="P244" s="1234"/>
      <c r="Q244" s="1235"/>
      <c r="R244" s="1233"/>
      <c r="S244" s="1233"/>
      <c r="T244" s="1233"/>
      <c r="U244" s="1233"/>
      <c r="V244" s="1233"/>
      <c r="W244" s="1233"/>
      <c r="X244" s="1234"/>
    </row>
    <row r="245" spans="1:24" ht="55.5" customHeight="1" x14ac:dyDescent="0.2">
      <c r="A245" s="1646" t="s">
        <v>302</v>
      </c>
      <c r="B245" s="1643" t="s">
        <v>3108</v>
      </c>
      <c r="C245" s="1641" t="s">
        <v>3109</v>
      </c>
      <c r="D245" s="1206" t="s">
        <v>1831</v>
      </c>
      <c r="E245" s="1206" t="s">
        <v>557</v>
      </c>
      <c r="F245" s="1232" t="s">
        <v>154</v>
      </c>
      <c r="G245" s="1232" t="s">
        <v>1837</v>
      </c>
      <c r="H245" s="1233"/>
      <c r="I245" s="1233"/>
      <c r="J245" s="1233">
        <f>-1000000+1000000</f>
        <v>0</v>
      </c>
      <c r="K245" s="1233"/>
      <c r="L245" s="1233"/>
      <c r="M245" s="1233"/>
      <c r="N245" s="1233"/>
      <c r="O245" s="1233"/>
      <c r="P245" s="1234"/>
      <c r="Q245" s="1235"/>
      <c r="R245" s="1233"/>
      <c r="S245" s="1233"/>
      <c r="T245" s="1233"/>
      <c r="U245" s="1233"/>
      <c r="V245" s="1233"/>
      <c r="W245" s="1233"/>
      <c r="X245" s="1234"/>
    </row>
    <row r="246" spans="1:24" ht="21.75" customHeight="1" x14ac:dyDescent="0.2">
      <c r="A246" s="2099" t="s">
        <v>303</v>
      </c>
      <c r="B246" s="2126" t="s">
        <v>318</v>
      </c>
      <c r="C246" s="2102" t="s">
        <v>3110</v>
      </c>
      <c r="D246" s="1206" t="s">
        <v>1831</v>
      </c>
      <c r="E246" s="1206" t="s">
        <v>510</v>
      </c>
      <c r="F246" s="1232" t="s">
        <v>132</v>
      </c>
      <c r="G246" s="1232" t="s">
        <v>1829</v>
      </c>
      <c r="H246" s="1233"/>
      <c r="I246" s="1233"/>
      <c r="J246" s="1233">
        <f>800000+216000</f>
        <v>1016000</v>
      </c>
      <c r="K246" s="1233"/>
      <c r="L246" s="1233"/>
      <c r="M246" s="1233"/>
      <c r="N246" s="1233"/>
      <c r="O246" s="1233"/>
      <c r="P246" s="1234"/>
      <c r="Q246" s="1235"/>
      <c r="R246" s="1233"/>
      <c r="S246" s="1233"/>
      <c r="T246" s="1233">
        <f>800000+216000</f>
        <v>1016000</v>
      </c>
      <c r="U246" s="1233"/>
      <c r="V246" s="1233"/>
      <c r="W246" s="1233"/>
      <c r="X246" s="1234"/>
    </row>
    <row r="247" spans="1:24" ht="21.75" customHeight="1" x14ac:dyDescent="0.2">
      <c r="A247" s="2100"/>
      <c r="B247" s="2128"/>
      <c r="C247" s="2106"/>
      <c r="D247" s="1206" t="s">
        <v>1831</v>
      </c>
      <c r="E247" s="1206" t="s">
        <v>394</v>
      </c>
      <c r="F247" s="1232" t="s">
        <v>151</v>
      </c>
      <c r="G247" s="1232" t="s">
        <v>1829</v>
      </c>
      <c r="H247" s="1233"/>
      <c r="I247" s="1233"/>
      <c r="J247" s="1233">
        <v>800000</v>
      </c>
      <c r="K247" s="1233"/>
      <c r="L247" s="1233"/>
      <c r="M247" s="1233"/>
      <c r="N247" s="1233"/>
      <c r="O247" s="1233"/>
      <c r="P247" s="1234"/>
      <c r="Q247" s="1235"/>
      <c r="R247" s="1233"/>
      <c r="S247" s="1233"/>
      <c r="T247" s="1233">
        <v>800000</v>
      </c>
      <c r="U247" s="1233"/>
      <c r="V247" s="1233"/>
      <c r="W247" s="1233"/>
      <c r="X247" s="1234"/>
    </row>
    <row r="248" spans="1:24" ht="21.75" customHeight="1" x14ac:dyDescent="0.2">
      <c r="A248" s="2100"/>
      <c r="B248" s="2128"/>
      <c r="C248" s="2106"/>
      <c r="D248" s="1206" t="s">
        <v>1831</v>
      </c>
      <c r="E248" s="1206" t="s">
        <v>557</v>
      </c>
      <c r="F248" s="1232" t="s">
        <v>68</v>
      </c>
      <c r="G248" s="1232" t="s">
        <v>1829</v>
      </c>
      <c r="H248" s="1233"/>
      <c r="I248" s="1233"/>
      <c r="J248" s="1233">
        <f>6000000+1620000</f>
        <v>7620000</v>
      </c>
      <c r="K248" s="1233"/>
      <c r="L248" s="1233"/>
      <c r="M248" s="1233"/>
      <c r="N248" s="1233"/>
      <c r="O248" s="1233"/>
      <c r="P248" s="1234"/>
      <c r="Q248" s="1235"/>
      <c r="R248" s="1233"/>
      <c r="S248" s="1233"/>
      <c r="T248" s="1233">
        <f>6000000+1620000</f>
        <v>7620000</v>
      </c>
      <c r="U248" s="1233"/>
      <c r="V248" s="1233"/>
      <c r="W248" s="1233"/>
      <c r="X248" s="1234"/>
    </row>
    <row r="249" spans="1:24" ht="21.75" customHeight="1" x14ac:dyDescent="0.2">
      <c r="A249" s="2101"/>
      <c r="B249" s="2127"/>
      <c r="C249" s="2103"/>
      <c r="D249" s="1206" t="s">
        <v>1831</v>
      </c>
      <c r="E249" s="1206" t="s">
        <v>557</v>
      </c>
      <c r="F249" s="1232" t="s">
        <v>154</v>
      </c>
      <c r="G249" s="1232" t="s">
        <v>1829</v>
      </c>
      <c r="H249" s="1233"/>
      <c r="I249" s="1233"/>
      <c r="J249" s="1233">
        <f>15000000+4050000</f>
        <v>19050000</v>
      </c>
      <c r="K249" s="1233"/>
      <c r="L249" s="1233"/>
      <c r="M249" s="1233"/>
      <c r="N249" s="1233"/>
      <c r="O249" s="1233"/>
      <c r="P249" s="1234"/>
      <c r="Q249" s="1235"/>
      <c r="R249" s="1233"/>
      <c r="S249" s="1233"/>
      <c r="T249" s="1233">
        <f>15000000+4050000</f>
        <v>19050000</v>
      </c>
      <c r="U249" s="1233"/>
      <c r="V249" s="1233"/>
      <c r="W249" s="1233"/>
      <c r="X249" s="1234"/>
    </row>
    <row r="250" spans="1:24" ht="21" customHeight="1" x14ac:dyDescent="0.2">
      <c r="A250" s="2099" t="s">
        <v>304</v>
      </c>
      <c r="B250" s="2126" t="s">
        <v>319</v>
      </c>
      <c r="C250" s="2102" t="s">
        <v>3122</v>
      </c>
      <c r="D250" s="1206" t="s">
        <v>1831</v>
      </c>
      <c r="E250" s="1206" t="s">
        <v>1288</v>
      </c>
      <c r="F250" s="1232" t="s">
        <v>128</v>
      </c>
      <c r="G250" s="1232" t="s">
        <v>1829</v>
      </c>
      <c r="H250" s="1233"/>
      <c r="I250" s="1233"/>
      <c r="J250" s="1233"/>
      <c r="K250" s="1233"/>
      <c r="L250" s="1233"/>
      <c r="M250" s="1233"/>
      <c r="N250" s="1233"/>
      <c r="O250" s="1233"/>
      <c r="P250" s="1234"/>
      <c r="Q250" s="1235"/>
      <c r="R250" s="1233"/>
      <c r="S250" s="1233"/>
      <c r="T250" s="1233"/>
      <c r="U250" s="1233"/>
      <c r="V250" s="1233"/>
      <c r="W250" s="1233"/>
      <c r="X250" s="1234">
        <v>1143000</v>
      </c>
    </row>
    <row r="251" spans="1:24" ht="21" customHeight="1" x14ac:dyDescent="0.2">
      <c r="A251" s="2100"/>
      <c r="B251" s="2128"/>
      <c r="C251" s="2106"/>
      <c r="D251" s="1206" t="s">
        <v>1831</v>
      </c>
      <c r="E251" s="1206" t="s">
        <v>556</v>
      </c>
      <c r="F251" s="1232" t="s">
        <v>91</v>
      </c>
      <c r="G251" s="1232" t="s">
        <v>1829</v>
      </c>
      <c r="H251" s="1233"/>
      <c r="I251" s="1233"/>
      <c r="J251" s="1233">
        <f>150000+40500</f>
        <v>190500</v>
      </c>
      <c r="K251" s="1233"/>
      <c r="L251" s="1233"/>
      <c r="M251" s="1233"/>
      <c r="N251" s="1233"/>
      <c r="O251" s="1233"/>
      <c r="P251" s="1234"/>
      <c r="Q251" s="1235"/>
      <c r="R251" s="1233"/>
      <c r="S251" s="1233"/>
      <c r="T251" s="1233"/>
      <c r="U251" s="1233"/>
      <c r="V251" s="1233"/>
      <c r="W251" s="1233"/>
      <c r="X251" s="1234"/>
    </row>
    <row r="252" spans="1:24" ht="21" customHeight="1" x14ac:dyDescent="0.2">
      <c r="A252" s="2101"/>
      <c r="B252" s="2127"/>
      <c r="C252" s="2103"/>
      <c r="D252" s="1206" t="s">
        <v>1831</v>
      </c>
      <c r="E252" s="1206" t="s">
        <v>167</v>
      </c>
      <c r="F252" s="1232" t="s">
        <v>134</v>
      </c>
      <c r="G252" s="1232" t="s">
        <v>1829</v>
      </c>
      <c r="H252" s="1233"/>
      <c r="I252" s="1233"/>
      <c r="J252" s="1233">
        <f>750000+202500</f>
        <v>952500</v>
      </c>
      <c r="K252" s="1233"/>
      <c r="L252" s="1233"/>
      <c r="M252" s="1233"/>
      <c r="N252" s="1233"/>
      <c r="O252" s="1233"/>
      <c r="P252" s="1234"/>
      <c r="Q252" s="1235"/>
      <c r="R252" s="1233"/>
      <c r="S252" s="1233"/>
      <c r="T252" s="1233"/>
      <c r="U252" s="1233"/>
      <c r="V252" s="1233"/>
      <c r="W252" s="1233"/>
      <c r="X252" s="1234"/>
    </row>
    <row r="253" spans="1:24" ht="27.75" customHeight="1" x14ac:dyDescent="0.2">
      <c r="A253" s="1650" t="s">
        <v>305</v>
      </c>
      <c r="B253" s="1565" t="s">
        <v>320</v>
      </c>
      <c r="C253" s="1648" t="s">
        <v>3131</v>
      </c>
      <c r="D253" s="1206" t="s">
        <v>1831</v>
      </c>
      <c r="E253" s="1206" t="s">
        <v>169</v>
      </c>
      <c r="F253" s="1232" t="s">
        <v>67</v>
      </c>
      <c r="G253" s="1232" t="s">
        <v>1829</v>
      </c>
      <c r="H253" s="1233"/>
      <c r="I253" s="1233"/>
      <c r="J253" s="1233">
        <v>1818500</v>
      </c>
      <c r="K253" s="1233"/>
      <c r="L253" s="1233"/>
      <c r="M253" s="1233"/>
      <c r="N253" s="1233"/>
      <c r="O253" s="1233"/>
      <c r="P253" s="1234"/>
      <c r="Q253" s="1235">
        <v>1818500</v>
      </c>
      <c r="R253" s="1233"/>
      <c r="S253" s="1233"/>
      <c r="T253" s="1233"/>
      <c r="U253" s="1233"/>
      <c r="V253" s="1233"/>
      <c r="W253" s="1233"/>
      <c r="X253" s="1234"/>
    </row>
    <row r="254" spans="1:24" ht="41.25" customHeight="1" x14ac:dyDescent="0.2">
      <c r="A254" s="1650" t="s">
        <v>306</v>
      </c>
      <c r="B254" s="1565" t="s">
        <v>737</v>
      </c>
      <c r="C254" s="1648" t="s">
        <v>3144</v>
      </c>
      <c r="D254" s="1206" t="s">
        <v>1831</v>
      </c>
      <c r="E254" s="1206" t="s">
        <v>557</v>
      </c>
      <c r="F254" s="1232" t="s">
        <v>155</v>
      </c>
      <c r="G254" s="1232" t="s">
        <v>1837</v>
      </c>
      <c r="H254" s="1233"/>
      <c r="I254" s="1233"/>
      <c r="J254" s="1233">
        <f>-3000000+3000000</f>
        <v>0</v>
      </c>
      <c r="K254" s="1233"/>
      <c r="L254" s="1233"/>
      <c r="M254" s="1233"/>
      <c r="N254" s="1233"/>
      <c r="O254" s="1233"/>
      <c r="P254" s="1234"/>
      <c r="Q254" s="1235"/>
      <c r="R254" s="1233"/>
      <c r="S254" s="1233"/>
      <c r="T254" s="1233"/>
      <c r="U254" s="1233"/>
      <c r="V254" s="1233"/>
      <c r="W254" s="1233"/>
      <c r="X254" s="1234"/>
    </row>
    <row r="255" spans="1:24" ht="27.75" customHeight="1" x14ac:dyDescent="0.2">
      <c r="A255" s="2099" t="s">
        <v>307</v>
      </c>
      <c r="B255" s="2126" t="s">
        <v>738</v>
      </c>
      <c r="C255" s="2102" t="s">
        <v>3169</v>
      </c>
      <c r="D255" s="1206" t="s">
        <v>1831</v>
      </c>
      <c r="E255" s="1206" t="s">
        <v>1288</v>
      </c>
      <c r="F255" s="1232" t="s">
        <v>128</v>
      </c>
      <c r="G255" s="1232" t="s">
        <v>1829</v>
      </c>
      <c r="H255" s="1233"/>
      <c r="I255" s="1233"/>
      <c r="J255" s="1233"/>
      <c r="K255" s="1233"/>
      <c r="L255" s="1233"/>
      <c r="M255" s="1233"/>
      <c r="N255" s="1233"/>
      <c r="O255" s="1233"/>
      <c r="P255" s="1234"/>
      <c r="Q255" s="1235"/>
      <c r="R255" s="1233"/>
      <c r="S255" s="1233"/>
      <c r="T255" s="1233"/>
      <c r="U255" s="1233"/>
      <c r="V255" s="1233"/>
      <c r="W255" s="1233"/>
      <c r="X255" s="1234">
        <v>1257300</v>
      </c>
    </row>
    <row r="256" spans="1:24" ht="27.75" customHeight="1" x14ac:dyDescent="0.2">
      <c r="A256" s="2101"/>
      <c r="B256" s="2127"/>
      <c r="C256" s="2103"/>
      <c r="D256" s="1206" t="s">
        <v>1831</v>
      </c>
      <c r="E256" s="1206" t="s">
        <v>557</v>
      </c>
      <c r="F256" s="1232" t="s">
        <v>154</v>
      </c>
      <c r="G256" s="1232" t="s">
        <v>1829</v>
      </c>
      <c r="H256" s="1233"/>
      <c r="I256" s="1233"/>
      <c r="J256" s="1233">
        <f>990000+267300</f>
        <v>1257300</v>
      </c>
      <c r="K256" s="1233"/>
      <c r="L256" s="1233"/>
      <c r="M256" s="1233"/>
      <c r="N256" s="1233"/>
      <c r="O256" s="1233"/>
      <c r="P256" s="1234"/>
      <c r="Q256" s="1235"/>
      <c r="R256" s="1233"/>
      <c r="S256" s="1233"/>
      <c r="T256" s="1233"/>
      <c r="U256" s="1233"/>
      <c r="V256" s="1233"/>
      <c r="W256" s="1233"/>
      <c r="X256" s="1234"/>
    </row>
    <row r="257" spans="1:24" ht="20.25" customHeight="1" x14ac:dyDescent="0.2">
      <c r="A257" s="2099" t="s">
        <v>308</v>
      </c>
      <c r="B257" s="2126" t="s">
        <v>739</v>
      </c>
      <c r="C257" s="2102" t="s">
        <v>3181</v>
      </c>
      <c r="D257" s="1206" t="s">
        <v>1831</v>
      </c>
      <c r="E257" s="1206" t="s">
        <v>556</v>
      </c>
      <c r="F257" s="1232" t="s">
        <v>91</v>
      </c>
      <c r="G257" s="1232" t="s">
        <v>1837</v>
      </c>
      <c r="H257" s="1233">
        <f>-5236233+5000000+128900+107333</f>
        <v>0</v>
      </c>
      <c r="I257" s="1233"/>
      <c r="J257" s="1233"/>
      <c r="K257" s="1233"/>
      <c r="L257" s="1233"/>
      <c r="M257" s="1233"/>
      <c r="N257" s="1233"/>
      <c r="O257" s="1233"/>
      <c r="P257" s="1234"/>
      <c r="Q257" s="1235"/>
      <c r="R257" s="1233"/>
      <c r="S257" s="1233"/>
      <c r="T257" s="1233"/>
      <c r="U257" s="1233"/>
      <c r="V257" s="1233"/>
      <c r="W257" s="1233"/>
      <c r="X257" s="1234"/>
    </row>
    <row r="258" spans="1:24" ht="20.25" customHeight="1" x14ac:dyDescent="0.2">
      <c r="A258" s="2100"/>
      <c r="B258" s="2128"/>
      <c r="C258" s="2106"/>
      <c r="D258" s="1206" t="s">
        <v>1831</v>
      </c>
      <c r="E258" s="1206" t="s">
        <v>510</v>
      </c>
      <c r="F258" s="1232" t="s">
        <v>132</v>
      </c>
      <c r="G258" s="1232" t="s">
        <v>1837</v>
      </c>
      <c r="H258" s="1233">
        <f>-505108+500000+5108</f>
        <v>0</v>
      </c>
      <c r="I258" s="1233"/>
      <c r="J258" s="1233"/>
      <c r="K258" s="1233"/>
      <c r="L258" s="1233"/>
      <c r="M258" s="1233"/>
      <c r="N258" s="1233"/>
      <c r="O258" s="1233"/>
      <c r="P258" s="1234"/>
      <c r="Q258" s="1235"/>
      <c r="R258" s="1233"/>
      <c r="S258" s="1233"/>
      <c r="T258" s="1233"/>
      <c r="U258" s="1233"/>
      <c r="V258" s="1233"/>
      <c r="W258" s="1233"/>
      <c r="X258" s="1234"/>
    </row>
    <row r="259" spans="1:24" ht="20.25" customHeight="1" x14ac:dyDescent="0.2">
      <c r="A259" s="2100"/>
      <c r="B259" s="2128"/>
      <c r="C259" s="2106"/>
      <c r="D259" s="1206" t="s">
        <v>1831</v>
      </c>
      <c r="E259" s="1206" t="s">
        <v>394</v>
      </c>
      <c r="F259" s="1232" t="s">
        <v>151</v>
      </c>
      <c r="G259" s="1232" t="s">
        <v>1837</v>
      </c>
      <c r="H259" s="1233">
        <f>-1857800+1750000+107800</f>
        <v>0</v>
      </c>
      <c r="I259" s="1233"/>
      <c r="J259" s="1233"/>
      <c r="K259" s="1233"/>
      <c r="L259" s="1233"/>
      <c r="M259" s="1233"/>
      <c r="N259" s="1233"/>
      <c r="O259" s="1233"/>
      <c r="P259" s="1234"/>
      <c r="Q259" s="1235"/>
      <c r="R259" s="1233"/>
      <c r="S259" s="1233"/>
      <c r="T259" s="1233"/>
      <c r="U259" s="1233"/>
      <c r="V259" s="1233"/>
      <c r="W259" s="1233"/>
      <c r="X259" s="1234"/>
    </row>
    <row r="260" spans="1:24" ht="20.25" customHeight="1" x14ac:dyDescent="0.2">
      <c r="A260" s="2100"/>
      <c r="B260" s="2128"/>
      <c r="C260" s="2106"/>
      <c r="D260" s="1206" t="s">
        <v>1831</v>
      </c>
      <c r="E260" s="1206" t="s">
        <v>166</v>
      </c>
      <c r="F260" s="1232" t="s">
        <v>152</v>
      </c>
      <c r="G260" s="1232" t="s">
        <v>1837</v>
      </c>
      <c r="H260" s="1233">
        <f>-1178250+1000000+20000+158250</f>
        <v>0</v>
      </c>
      <c r="I260" s="1233"/>
      <c r="J260" s="1233"/>
      <c r="K260" s="1233"/>
      <c r="L260" s="1233"/>
      <c r="M260" s="1233"/>
      <c r="N260" s="1233"/>
      <c r="O260" s="1233"/>
      <c r="P260" s="1234"/>
      <c r="Q260" s="1235"/>
      <c r="R260" s="1233"/>
      <c r="S260" s="1233"/>
      <c r="T260" s="1233"/>
      <c r="U260" s="1233"/>
      <c r="V260" s="1233"/>
      <c r="W260" s="1233"/>
      <c r="X260" s="1234"/>
    </row>
    <row r="261" spans="1:24" ht="20.25" customHeight="1" x14ac:dyDescent="0.2">
      <c r="A261" s="2100"/>
      <c r="B261" s="2128"/>
      <c r="C261" s="2106"/>
      <c r="D261" s="1206" t="s">
        <v>1831</v>
      </c>
      <c r="E261" s="1206" t="s">
        <v>761</v>
      </c>
      <c r="F261" s="1232" t="s">
        <v>135</v>
      </c>
      <c r="G261" s="1232" t="s">
        <v>1837</v>
      </c>
      <c r="H261" s="1233">
        <f>-190000+190000</f>
        <v>0</v>
      </c>
      <c r="I261" s="1233"/>
      <c r="J261" s="1233"/>
      <c r="K261" s="1233"/>
      <c r="L261" s="1233"/>
      <c r="M261" s="1233"/>
      <c r="N261" s="1233"/>
      <c r="O261" s="1233"/>
      <c r="P261" s="1234"/>
      <c r="Q261" s="1235"/>
      <c r="R261" s="1233"/>
      <c r="S261" s="1233"/>
      <c r="T261" s="1233"/>
      <c r="U261" s="1233"/>
      <c r="V261" s="1233"/>
      <c r="W261" s="1233"/>
      <c r="X261" s="1234"/>
    </row>
    <row r="262" spans="1:24" ht="20.25" customHeight="1" x14ac:dyDescent="0.2">
      <c r="A262" s="2100"/>
      <c r="B262" s="2128"/>
      <c r="C262" s="2106"/>
      <c r="D262" s="1206" t="s">
        <v>1831</v>
      </c>
      <c r="E262" s="1206" t="s">
        <v>514</v>
      </c>
      <c r="F262" s="1232" t="s">
        <v>466</v>
      </c>
      <c r="G262" s="1232" t="s">
        <v>1837</v>
      </c>
      <c r="H262" s="1233">
        <f>-1000000+1000000</f>
        <v>0</v>
      </c>
      <c r="I262" s="1233"/>
      <c r="J262" s="1233"/>
      <c r="K262" s="1233"/>
      <c r="L262" s="1233"/>
      <c r="M262" s="1233"/>
      <c r="N262" s="1233"/>
      <c r="O262" s="1233"/>
      <c r="P262" s="1234"/>
      <c r="Q262" s="1235"/>
      <c r="R262" s="1233"/>
      <c r="S262" s="1233"/>
      <c r="T262" s="1233"/>
      <c r="U262" s="1233"/>
      <c r="V262" s="1233"/>
      <c r="W262" s="1233"/>
      <c r="X262" s="1234"/>
    </row>
    <row r="263" spans="1:24" ht="20.25" customHeight="1" x14ac:dyDescent="0.2">
      <c r="A263" s="2100"/>
      <c r="B263" s="2128"/>
      <c r="C263" s="2106"/>
      <c r="D263" s="1206" t="s">
        <v>1831</v>
      </c>
      <c r="E263" s="1206" t="s">
        <v>516</v>
      </c>
      <c r="F263" s="1232" t="s">
        <v>468</v>
      </c>
      <c r="G263" s="1232" t="s">
        <v>1837</v>
      </c>
      <c r="H263" s="1233">
        <f>-1000000+1000000</f>
        <v>0</v>
      </c>
      <c r="I263" s="1233"/>
      <c r="J263" s="1233"/>
      <c r="K263" s="1233"/>
      <c r="L263" s="1233"/>
      <c r="M263" s="1233"/>
      <c r="N263" s="1233"/>
      <c r="O263" s="1233"/>
      <c r="P263" s="1234"/>
      <c r="Q263" s="1235"/>
      <c r="R263" s="1233"/>
      <c r="S263" s="1233"/>
      <c r="T263" s="1233"/>
      <c r="U263" s="1233"/>
      <c r="V263" s="1233"/>
      <c r="W263" s="1233"/>
      <c r="X263" s="1234"/>
    </row>
    <row r="264" spans="1:24" ht="20.25" customHeight="1" x14ac:dyDescent="0.2">
      <c r="A264" s="2100"/>
      <c r="B264" s="2128"/>
      <c r="C264" s="2106"/>
      <c r="D264" s="1206" t="s">
        <v>1831</v>
      </c>
      <c r="E264" s="1206" t="s">
        <v>169</v>
      </c>
      <c r="F264" s="1232" t="s">
        <v>67</v>
      </c>
      <c r="G264" s="1232" t="s">
        <v>1837</v>
      </c>
      <c r="H264" s="1233">
        <f>-1510234+1500000+10234</f>
        <v>0</v>
      </c>
      <c r="I264" s="1233"/>
      <c r="J264" s="1233"/>
      <c r="K264" s="1233"/>
      <c r="L264" s="1233"/>
      <c r="M264" s="1233"/>
      <c r="N264" s="1233"/>
      <c r="O264" s="1233"/>
      <c r="P264" s="1234"/>
      <c r="Q264" s="1235"/>
      <c r="R264" s="1233"/>
      <c r="S264" s="1233"/>
      <c r="T264" s="1233"/>
      <c r="U264" s="1233"/>
      <c r="V264" s="1233"/>
      <c r="W264" s="1233"/>
      <c r="X264" s="1234"/>
    </row>
    <row r="265" spans="1:24" ht="20.25" customHeight="1" x14ac:dyDescent="0.2">
      <c r="A265" s="2101"/>
      <c r="B265" s="2127"/>
      <c r="C265" s="2103"/>
      <c r="D265" s="1206" t="s">
        <v>1831</v>
      </c>
      <c r="E265" s="1206" t="s">
        <v>557</v>
      </c>
      <c r="F265" s="1232" t="s">
        <v>154</v>
      </c>
      <c r="G265" s="1232" t="s">
        <v>1837</v>
      </c>
      <c r="H265" s="1233">
        <f>-339039+184200+154839</f>
        <v>0</v>
      </c>
      <c r="I265" s="1233"/>
      <c r="J265" s="1233"/>
      <c r="K265" s="1233"/>
      <c r="L265" s="1233"/>
      <c r="M265" s="1233"/>
      <c r="N265" s="1233"/>
      <c r="O265" s="1233"/>
      <c r="P265" s="1234"/>
      <c r="Q265" s="1235"/>
      <c r="R265" s="1233"/>
      <c r="S265" s="1233"/>
      <c r="T265" s="1233"/>
      <c r="U265" s="1233"/>
      <c r="V265" s="1233"/>
      <c r="W265" s="1233"/>
      <c r="X265" s="1234"/>
    </row>
    <row r="266" spans="1:24" ht="17.25" customHeight="1" x14ac:dyDescent="0.2">
      <c r="A266" s="2099" t="s">
        <v>309</v>
      </c>
      <c r="B266" s="2126" t="s">
        <v>740</v>
      </c>
      <c r="C266" s="2102" t="s">
        <v>3334</v>
      </c>
      <c r="D266" s="1206" t="s">
        <v>1831</v>
      </c>
      <c r="E266" s="1206" t="s">
        <v>556</v>
      </c>
      <c r="F266" s="1232" t="s">
        <v>91</v>
      </c>
      <c r="G266" s="1232" t="s">
        <v>1829</v>
      </c>
      <c r="H266" s="1233"/>
      <c r="I266" s="1233"/>
      <c r="J266" s="1233">
        <v>635000</v>
      </c>
      <c r="K266" s="1233"/>
      <c r="L266" s="1233"/>
      <c r="M266" s="1233"/>
      <c r="N266" s="1233"/>
      <c r="O266" s="1233"/>
      <c r="P266" s="1234"/>
      <c r="Q266" s="1235"/>
      <c r="R266" s="1233"/>
      <c r="S266" s="1233"/>
      <c r="T266" s="1233">
        <f>500000+135000</f>
        <v>635000</v>
      </c>
      <c r="U266" s="1233"/>
      <c r="V266" s="1233"/>
      <c r="W266" s="1233"/>
      <c r="X266" s="1234"/>
    </row>
    <row r="267" spans="1:24" ht="17.25" customHeight="1" x14ac:dyDescent="0.2">
      <c r="A267" s="2100"/>
      <c r="B267" s="2128"/>
      <c r="C267" s="2106"/>
      <c r="D267" s="1206" t="s">
        <v>1831</v>
      </c>
      <c r="E267" s="1206" t="s">
        <v>510</v>
      </c>
      <c r="F267" s="1232" t="s">
        <v>132</v>
      </c>
      <c r="G267" s="1232" t="s">
        <v>1829</v>
      </c>
      <c r="H267" s="1233"/>
      <c r="I267" s="1233"/>
      <c r="J267" s="1233">
        <f>200000+54000</f>
        <v>254000</v>
      </c>
      <c r="K267" s="1233"/>
      <c r="L267" s="1233"/>
      <c r="M267" s="1233"/>
      <c r="N267" s="1233"/>
      <c r="O267" s="1233"/>
      <c r="P267" s="1234"/>
      <c r="Q267" s="1235"/>
      <c r="R267" s="1233"/>
      <c r="S267" s="1233"/>
      <c r="T267" s="1233">
        <f>200000+54000</f>
        <v>254000</v>
      </c>
      <c r="U267" s="1233"/>
      <c r="V267" s="1233"/>
      <c r="W267" s="1233"/>
      <c r="X267" s="1234"/>
    </row>
    <row r="268" spans="1:24" ht="17.25" customHeight="1" x14ac:dyDescent="0.2">
      <c r="A268" s="2100"/>
      <c r="B268" s="2128"/>
      <c r="C268" s="2106"/>
      <c r="D268" s="1206" t="s">
        <v>1831</v>
      </c>
      <c r="E268" s="1206" t="s">
        <v>166</v>
      </c>
      <c r="F268" s="1232" t="s">
        <v>152</v>
      </c>
      <c r="G268" s="1232" t="s">
        <v>1829</v>
      </c>
      <c r="H268" s="1233"/>
      <c r="I268" s="1233"/>
      <c r="J268" s="1233">
        <v>200000</v>
      </c>
      <c r="K268" s="1233"/>
      <c r="L268" s="1233"/>
      <c r="M268" s="1233"/>
      <c r="N268" s="1233"/>
      <c r="O268" s="1233"/>
      <c r="P268" s="1234"/>
      <c r="Q268" s="1235"/>
      <c r="R268" s="1233"/>
      <c r="S268" s="1233"/>
      <c r="T268" s="1233">
        <v>200000</v>
      </c>
      <c r="U268" s="1233"/>
      <c r="V268" s="1233"/>
      <c r="W268" s="1233"/>
      <c r="X268" s="1234"/>
    </row>
    <row r="269" spans="1:24" ht="17.25" customHeight="1" x14ac:dyDescent="0.2">
      <c r="A269" s="2100"/>
      <c r="B269" s="2128"/>
      <c r="C269" s="2106"/>
      <c r="D269" s="1206" t="s">
        <v>1831</v>
      </c>
      <c r="E269" s="1206" t="s">
        <v>167</v>
      </c>
      <c r="F269" s="1232" t="s">
        <v>133</v>
      </c>
      <c r="G269" s="1232" t="s">
        <v>1829</v>
      </c>
      <c r="H269" s="1233"/>
      <c r="I269" s="1233"/>
      <c r="J269" s="1233">
        <f>1066142+233858</f>
        <v>1300000</v>
      </c>
      <c r="K269" s="1233"/>
      <c r="L269" s="1233"/>
      <c r="M269" s="1233"/>
      <c r="N269" s="1233"/>
      <c r="O269" s="1233"/>
      <c r="P269" s="1234"/>
      <c r="Q269" s="1235"/>
      <c r="R269" s="1233"/>
      <c r="S269" s="1233"/>
      <c r="T269" s="1233">
        <f>400000+700000</f>
        <v>1100000</v>
      </c>
      <c r="U269" s="1233"/>
      <c r="V269" s="1233"/>
      <c r="W269" s="1233"/>
      <c r="X269" s="1234"/>
    </row>
    <row r="270" spans="1:24" ht="17.25" customHeight="1" x14ac:dyDescent="0.2">
      <c r="A270" s="2100"/>
      <c r="B270" s="2128"/>
      <c r="C270" s="2106"/>
      <c r="D270" s="1206" t="s">
        <v>1831</v>
      </c>
      <c r="E270" s="1206" t="s">
        <v>557</v>
      </c>
      <c r="F270" s="1232" t="s">
        <v>154</v>
      </c>
      <c r="G270" s="1232" t="s">
        <v>1829</v>
      </c>
      <c r="H270" s="1233"/>
      <c r="I270" s="1233"/>
      <c r="J270" s="1233">
        <f>8000000+2160000</f>
        <v>10160000</v>
      </c>
      <c r="K270" s="1233"/>
      <c r="L270" s="1233"/>
      <c r="M270" s="1233"/>
      <c r="N270" s="1233"/>
      <c r="O270" s="1233"/>
      <c r="P270" s="1234"/>
      <c r="Q270" s="1235"/>
      <c r="R270" s="1233"/>
      <c r="S270" s="1233"/>
      <c r="T270" s="1233">
        <f>8000000+2160000</f>
        <v>10160000</v>
      </c>
      <c r="U270" s="1233"/>
      <c r="V270" s="1233"/>
      <c r="W270" s="1233"/>
      <c r="X270" s="1234"/>
    </row>
    <row r="271" spans="1:24" ht="17.25" customHeight="1" x14ac:dyDescent="0.2">
      <c r="A271" s="2100"/>
      <c r="B271" s="2128"/>
      <c r="C271" s="2106"/>
      <c r="D271" s="1206" t="s">
        <v>1831</v>
      </c>
      <c r="E271" s="1206" t="s">
        <v>557</v>
      </c>
      <c r="F271" s="1232" t="s">
        <v>155</v>
      </c>
      <c r="G271" s="1232" t="s">
        <v>1829</v>
      </c>
      <c r="H271" s="1233"/>
      <c r="I271" s="1233"/>
      <c r="J271" s="1233">
        <f>1500000+405000</f>
        <v>1905000</v>
      </c>
      <c r="K271" s="1233"/>
      <c r="L271" s="1233"/>
      <c r="M271" s="1233"/>
      <c r="N271" s="1233"/>
      <c r="O271" s="1233"/>
      <c r="P271" s="1234"/>
      <c r="Q271" s="1235"/>
      <c r="R271" s="1233"/>
      <c r="S271" s="1233"/>
      <c r="T271" s="1233">
        <f>1500000+405000</f>
        <v>1905000</v>
      </c>
      <c r="U271" s="1233"/>
      <c r="V271" s="1233"/>
      <c r="W271" s="1233"/>
      <c r="X271" s="1234"/>
    </row>
    <row r="272" spans="1:24" ht="17.25" customHeight="1" x14ac:dyDescent="0.2">
      <c r="A272" s="2101"/>
      <c r="B272" s="2127"/>
      <c r="C272" s="2103"/>
      <c r="D272" s="1206" t="s">
        <v>1831</v>
      </c>
      <c r="E272" s="1206" t="s">
        <v>167</v>
      </c>
      <c r="F272" s="1232" t="s">
        <v>538</v>
      </c>
      <c r="G272" s="1232" t="s">
        <v>1829</v>
      </c>
      <c r="H272" s="1233"/>
      <c r="I272" s="1233"/>
      <c r="J272" s="1233"/>
      <c r="K272" s="1233"/>
      <c r="L272" s="1233"/>
      <c r="M272" s="1233"/>
      <c r="N272" s="1233"/>
      <c r="O272" s="1233"/>
      <c r="P272" s="1234"/>
      <c r="Q272" s="1235"/>
      <c r="R272" s="1233"/>
      <c r="S272" s="1233"/>
      <c r="T272" s="1233">
        <v>200000</v>
      </c>
      <c r="U272" s="1233"/>
      <c r="V272" s="1233"/>
      <c r="W272" s="1233"/>
      <c r="X272" s="1234"/>
    </row>
    <row r="273" spans="1:24" ht="29.25" customHeight="1" x14ac:dyDescent="0.2">
      <c r="A273" s="1646" t="s">
        <v>732</v>
      </c>
      <c r="B273" s="1658" t="s">
        <v>741</v>
      </c>
      <c r="C273" s="1641" t="s">
        <v>3337</v>
      </c>
      <c r="D273" s="1206" t="s">
        <v>1831</v>
      </c>
      <c r="E273" s="1206" t="s">
        <v>167</v>
      </c>
      <c r="F273" s="1232" t="s">
        <v>134</v>
      </c>
      <c r="G273" s="1232" t="s">
        <v>1837</v>
      </c>
      <c r="H273" s="1233"/>
      <c r="I273" s="1233"/>
      <c r="J273" s="1233">
        <f>-120000+120000</f>
        <v>0</v>
      </c>
      <c r="K273" s="1233"/>
      <c r="L273" s="1233"/>
      <c r="M273" s="1233"/>
      <c r="N273" s="1233"/>
      <c r="O273" s="1233"/>
      <c r="P273" s="1234"/>
      <c r="Q273" s="1235"/>
      <c r="R273" s="1233"/>
      <c r="S273" s="1233"/>
      <c r="T273" s="1233"/>
      <c r="U273" s="1233"/>
      <c r="V273" s="1233"/>
      <c r="W273" s="1233"/>
      <c r="X273" s="1234"/>
    </row>
    <row r="274" spans="1:24" ht="35.25" customHeight="1" x14ac:dyDescent="0.2">
      <c r="A274" s="1646" t="s">
        <v>310</v>
      </c>
      <c r="B274" s="1658" t="s">
        <v>742</v>
      </c>
      <c r="C274" s="1641" t="s">
        <v>3338</v>
      </c>
      <c r="D274" s="1206" t="s">
        <v>1831</v>
      </c>
      <c r="E274" s="1206" t="s">
        <v>516</v>
      </c>
      <c r="F274" s="1232" t="s">
        <v>468</v>
      </c>
      <c r="G274" s="1232" t="s">
        <v>1837</v>
      </c>
      <c r="H274" s="1233"/>
      <c r="I274" s="1233"/>
      <c r="J274" s="1233">
        <f>-100000+100000</f>
        <v>0</v>
      </c>
      <c r="K274" s="1233"/>
      <c r="L274" s="1233"/>
      <c r="M274" s="1233"/>
      <c r="N274" s="1233"/>
      <c r="O274" s="1233"/>
      <c r="P274" s="1234"/>
      <c r="Q274" s="1235"/>
      <c r="R274" s="1233"/>
      <c r="S274" s="1233"/>
      <c r="T274" s="1233"/>
      <c r="U274" s="1233"/>
      <c r="V274" s="1233"/>
      <c r="W274" s="1233"/>
      <c r="X274" s="1234"/>
    </row>
    <row r="275" spans="1:24" ht="55.5" customHeight="1" x14ac:dyDescent="0.2">
      <c r="A275" s="1650" t="s">
        <v>311</v>
      </c>
      <c r="B275" s="1565" t="s">
        <v>1325</v>
      </c>
      <c r="C275" s="1648" t="s">
        <v>3339</v>
      </c>
      <c r="D275" s="1206" t="s">
        <v>1831</v>
      </c>
      <c r="E275" s="1206" t="s">
        <v>168</v>
      </c>
      <c r="F275" s="1232" t="s">
        <v>153</v>
      </c>
      <c r="G275" s="1232" t="s">
        <v>1837</v>
      </c>
      <c r="H275" s="1233"/>
      <c r="I275" s="1233"/>
      <c r="J275" s="1233">
        <f>-1400000+500000+900000</f>
        <v>0</v>
      </c>
      <c r="K275" s="1233"/>
      <c r="L275" s="1233"/>
      <c r="M275" s="1233"/>
      <c r="N275" s="1233"/>
      <c r="O275" s="1233"/>
      <c r="P275" s="1234"/>
      <c r="Q275" s="1235"/>
      <c r="R275" s="1233"/>
      <c r="S275" s="1233"/>
      <c r="T275" s="1233"/>
      <c r="U275" s="1233"/>
      <c r="V275" s="1233"/>
      <c r="W275" s="1233"/>
      <c r="X275" s="1234"/>
    </row>
    <row r="276" spans="1:24" ht="40.5" customHeight="1" x14ac:dyDescent="0.2">
      <c r="A276" s="1650" t="s">
        <v>733</v>
      </c>
      <c r="B276" s="1565" t="s">
        <v>743</v>
      </c>
      <c r="C276" s="1648" t="s">
        <v>3345</v>
      </c>
      <c r="D276" s="1206" t="s">
        <v>1831</v>
      </c>
      <c r="E276" s="1206" t="s">
        <v>558</v>
      </c>
      <c r="F276" s="1232" t="s">
        <v>165</v>
      </c>
      <c r="G276" s="1232" t="s">
        <v>1837</v>
      </c>
      <c r="H276" s="1233"/>
      <c r="I276" s="1233"/>
      <c r="J276" s="1233">
        <f>-50000+50000</f>
        <v>0</v>
      </c>
      <c r="K276" s="1233"/>
      <c r="L276" s="1233"/>
      <c r="M276" s="1233"/>
      <c r="N276" s="1233"/>
      <c r="O276" s="1233"/>
      <c r="P276" s="1234"/>
      <c r="Q276" s="1235"/>
      <c r="R276" s="1233"/>
      <c r="S276" s="1233"/>
      <c r="T276" s="1233"/>
      <c r="U276" s="1233"/>
      <c r="V276" s="1233"/>
      <c r="W276" s="1233"/>
      <c r="X276" s="1234"/>
    </row>
    <row r="277" spans="1:24" ht="30.75" customHeight="1" x14ac:dyDescent="0.2">
      <c r="A277" s="1650" t="s">
        <v>734</v>
      </c>
      <c r="B277" s="1565" t="s">
        <v>874</v>
      </c>
      <c r="C277" s="1648" t="s">
        <v>3131</v>
      </c>
      <c r="D277" s="1206" t="s">
        <v>1831</v>
      </c>
      <c r="E277" s="1206" t="s">
        <v>169</v>
      </c>
      <c r="F277" s="1232" t="s">
        <v>67</v>
      </c>
      <c r="G277" s="1232" t="s">
        <v>1829</v>
      </c>
      <c r="H277" s="1233"/>
      <c r="I277" s="1233"/>
      <c r="J277" s="1233">
        <v>2484100</v>
      </c>
      <c r="K277" s="1233"/>
      <c r="L277" s="1233"/>
      <c r="M277" s="1233"/>
      <c r="N277" s="1233"/>
      <c r="O277" s="1233"/>
      <c r="P277" s="1234"/>
      <c r="Q277" s="1235">
        <v>2484100</v>
      </c>
      <c r="R277" s="1233"/>
      <c r="S277" s="1233"/>
      <c r="T277" s="1233"/>
      <c r="U277" s="1233"/>
      <c r="V277" s="1233"/>
      <c r="W277" s="1233"/>
      <c r="X277" s="1234"/>
    </row>
    <row r="278" spans="1:24" ht="39" customHeight="1" x14ac:dyDescent="0.2">
      <c r="A278" s="1650" t="s">
        <v>156</v>
      </c>
      <c r="B278" s="1565" t="s">
        <v>321</v>
      </c>
      <c r="C278" s="1648" t="s">
        <v>3347</v>
      </c>
      <c r="D278" s="1206" t="s">
        <v>1831</v>
      </c>
      <c r="E278" s="1206" t="s">
        <v>556</v>
      </c>
      <c r="F278" s="1232" t="s">
        <v>91</v>
      </c>
      <c r="G278" s="1232" t="s">
        <v>1837</v>
      </c>
      <c r="H278" s="1233"/>
      <c r="I278" s="1233"/>
      <c r="J278" s="1233"/>
      <c r="K278" s="1233"/>
      <c r="L278" s="1233"/>
      <c r="M278" s="1233">
        <f>-80000+80000</f>
        <v>0</v>
      </c>
      <c r="N278" s="1233"/>
      <c r="O278" s="1233"/>
      <c r="P278" s="1234"/>
      <c r="Q278" s="1235"/>
      <c r="R278" s="1233"/>
      <c r="S278" s="1233"/>
      <c r="T278" s="1233"/>
      <c r="U278" s="1233"/>
      <c r="V278" s="1233"/>
      <c r="W278" s="1233"/>
      <c r="X278" s="1234"/>
    </row>
    <row r="279" spans="1:24" ht="24" customHeight="1" x14ac:dyDescent="0.2">
      <c r="A279" s="2099" t="s">
        <v>312</v>
      </c>
      <c r="B279" s="2126" t="s">
        <v>188</v>
      </c>
      <c r="C279" s="2102" t="s">
        <v>3373</v>
      </c>
      <c r="D279" s="1206" t="s">
        <v>1831</v>
      </c>
      <c r="E279" s="1206" t="s">
        <v>556</v>
      </c>
      <c r="F279" s="1232" t="s">
        <v>91</v>
      </c>
      <c r="G279" s="1232" t="s">
        <v>1837</v>
      </c>
      <c r="H279" s="1233">
        <f>-1543337+1015544+38900+34390</f>
        <v>-454503</v>
      </c>
      <c r="I279" s="1233">
        <v>-125977</v>
      </c>
      <c r="J279" s="1233"/>
      <c r="K279" s="1233"/>
      <c r="L279" s="1233"/>
      <c r="M279" s="1233"/>
      <c r="N279" s="1233"/>
      <c r="O279" s="1233"/>
      <c r="P279" s="1234"/>
      <c r="Q279" s="1235"/>
      <c r="R279" s="1233"/>
      <c r="S279" s="1233"/>
      <c r="T279" s="1233"/>
      <c r="U279" s="1233"/>
      <c r="V279" s="1233"/>
      <c r="W279" s="1233"/>
      <c r="X279" s="1234"/>
    </row>
    <row r="280" spans="1:24" ht="24" customHeight="1" x14ac:dyDescent="0.2">
      <c r="A280" s="2100"/>
      <c r="B280" s="2128"/>
      <c r="C280" s="2106"/>
      <c r="D280" s="1206" t="s">
        <v>1831</v>
      </c>
      <c r="E280" s="1206" t="s">
        <v>510</v>
      </c>
      <c r="F280" s="1232" t="s">
        <v>132</v>
      </c>
      <c r="G280" s="1232" t="s">
        <v>1829</v>
      </c>
      <c r="H280" s="1233">
        <f>249395+5108+200000</f>
        <v>454503</v>
      </c>
      <c r="I280" s="1233">
        <v>43519</v>
      </c>
      <c r="J280" s="1233"/>
      <c r="K280" s="1233"/>
      <c r="L280" s="1233"/>
      <c r="M280" s="1233"/>
      <c r="N280" s="1233"/>
      <c r="O280" s="1233"/>
      <c r="P280" s="1234"/>
      <c r="Q280" s="1235"/>
      <c r="R280" s="1233"/>
      <c r="S280" s="1233"/>
      <c r="T280" s="1233"/>
      <c r="U280" s="1233"/>
      <c r="V280" s="1233"/>
      <c r="W280" s="1233"/>
      <c r="X280" s="1234"/>
    </row>
    <row r="281" spans="1:24" ht="24" customHeight="1" x14ac:dyDescent="0.2">
      <c r="A281" s="2100"/>
      <c r="B281" s="2128"/>
      <c r="C281" s="2106"/>
      <c r="D281" s="1206" t="s">
        <v>1831</v>
      </c>
      <c r="E281" s="1206" t="s">
        <v>394</v>
      </c>
      <c r="F281" s="1232" t="s">
        <v>151</v>
      </c>
      <c r="G281" s="1232" t="s">
        <v>1837</v>
      </c>
      <c r="H281" s="1233">
        <f>-807800+107800+700000</f>
        <v>0</v>
      </c>
      <c r="I281" s="1233">
        <v>82458</v>
      </c>
      <c r="J281" s="1233"/>
      <c r="K281" s="1233"/>
      <c r="L281" s="1233"/>
      <c r="M281" s="1233"/>
      <c r="N281" s="1233"/>
      <c r="O281" s="1233"/>
      <c r="P281" s="1234"/>
      <c r="Q281" s="1235"/>
      <c r="R281" s="1233"/>
      <c r="S281" s="1233"/>
      <c r="T281" s="1233"/>
      <c r="U281" s="1233"/>
      <c r="V281" s="1233"/>
      <c r="W281" s="1233"/>
      <c r="X281" s="1234"/>
    </row>
    <row r="282" spans="1:24" ht="24" customHeight="1" x14ac:dyDescent="0.2">
      <c r="A282" s="2100"/>
      <c r="B282" s="2128"/>
      <c r="C282" s="2106"/>
      <c r="D282" s="1206" t="s">
        <v>1831</v>
      </c>
      <c r="E282" s="1206" t="s">
        <v>166</v>
      </c>
      <c r="F282" s="1232" t="s">
        <v>152</v>
      </c>
      <c r="G282" s="1232" t="s">
        <v>1837</v>
      </c>
      <c r="H282" s="1233">
        <f>-1541553+803493+20000+4860+713200</f>
        <v>0</v>
      </c>
      <c r="I282" s="1233"/>
      <c r="J282" s="1233"/>
      <c r="K282" s="1233"/>
      <c r="L282" s="1233"/>
      <c r="M282" s="1233"/>
      <c r="N282" s="1233"/>
      <c r="O282" s="1233"/>
      <c r="P282" s="1234"/>
      <c r="Q282" s="1235"/>
      <c r="R282" s="1233"/>
      <c r="S282" s="1233"/>
      <c r="T282" s="1233"/>
      <c r="U282" s="1233"/>
      <c r="V282" s="1233"/>
      <c r="W282" s="1233"/>
      <c r="X282" s="1234"/>
    </row>
    <row r="283" spans="1:24" ht="24" customHeight="1" x14ac:dyDescent="0.2">
      <c r="A283" s="2100"/>
      <c r="B283" s="2128"/>
      <c r="C283" s="2106"/>
      <c r="D283" s="1206" t="s">
        <v>1831</v>
      </c>
      <c r="E283" s="1206" t="s">
        <v>761</v>
      </c>
      <c r="F283" s="1232" t="s">
        <v>135</v>
      </c>
      <c r="G283" s="1232" t="s">
        <v>1837</v>
      </c>
      <c r="H283" s="1233">
        <f>-190000+190000</f>
        <v>0</v>
      </c>
      <c r="I283" s="1233"/>
      <c r="J283" s="1233"/>
      <c r="K283" s="1233"/>
      <c r="L283" s="1233"/>
      <c r="M283" s="1233"/>
      <c r="N283" s="1233"/>
      <c r="O283" s="1233"/>
      <c r="P283" s="1234"/>
      <c r="Q283" s="1235"/>
      <c r="R283" s="1233"/>
      <c r="S283" s="1233"/>
      <c r="T283" s="1233"/>
      <c r="U283" s="1233"/>
      <c r="V283" s="1233"/>
      <c r="W283" s="1233"/>
      <c r="X283" s="1234"/>
    </row>
    <row r="284" spans="1:24" ht="24" customHeight="1" x14ac:dyDescent="0.2">
      <c r="A284" s="2100"/>
      <c r="B284" s="2128"/>
      <c r="C284" s="2106"/>
      <c r="D284" s="1206" t="s">
        <v>1831</v>
      </c>
      <c r="E284" s="1206" t="s">
        <v>514</v>
      </c>
      <c r="F284" s="1232" t="s">
        <v>466</v>
      </c>
      <c r="G284" s="1232" t="s">
        <v>1837</v>
      </c>
      <c r="H284" s="1233">
        <f>-8618+8618</f>
        <v>0</v>
      </c>
      <c r="I284" s="1233"/>
      <c r="J284" s="1233"/>
      <c r="K284" s="1233"/>
      <c r="L284" s="1233"/>
      <c r="M284" s="1233"/>
      <c r="N284" s="1233"/>
      <c r="O284" s="1233"/>
      <c r="P284" s="1234"/>
      <c r="Q284" s="1235"/>
      <c r="R284" s="1233"/>
      <c r="S284" s="1233"/>
      <c r="T284" s="1233"/>
      <c r="U284" s="1233"/>
      <c r="V284" s="1233"/>
      <c r="W284" s="1233"/>
      <c r="X284" s="1234"/>
    </row>
    <row r="285" spans="1:24" ht="24" customHeight="1" x14ac:dyDescent="0.2">
      <c r="A285" s="2100"/>
      <c r="B285" s="2128"/>
      <c r="C285" s="2106"/>
      <c r="D285" s="1206" t="s">
        <v>1831</v>
      </c>
      <c r="E285" s="1206" t="s">
        <v>169</v>
      </c>
      <c r="F285" s="1232" t="s">
        <v>67</v>
      </c>
      <c r="G285" s="1232" t="s">
        <v>1837</v>
      </c>
      <c r="H285" s="1233">
        <f>-10234+10234</f>
        <v>0</v>
      </c>
      <c r="I285" s="1233"/>
      <c r="J285" s="1233"/>
      <c r="K285" s="1233"/>
      <c r="L285" s="1233"/>
      <c r="M285" s="1233"/>
      <c r="N285" s="1233"/>
      <c r="O285" s="1233"/>
      <c r="P285" s="1234"/>
      <c r="Q285" s="1235"/>
      <c r="R285" s="1233"/>
      <c r="S285" s="1233"/>
      <c r="T285" s="1233"/>
      <c r="U285" s="1233"/>
      <c r="V285" s="1233"/>
      <c r="W285" s="1233"/>
      <c r="X285" s="1234"/>
    </row>
    <row r="286" spans="1:24" ht="24" customHeight="1" x14ac:dyDescent="0.2">
      <c r="A286" s="2101"/>
      <c r="B286" s="2127"/>
      <c r="C286" s="2103"/>
      <c r="D286" s="1206" t="s">
        <v>1831</v>
      </c>
      <c r="E286" s="1206" t="s">
        <v>557</v>
      </c>
      <c r="F286" s="1232" t="s">
        <v>154</v>
      </c>
      <c r="G286" s="1232" t="s">
        <v>1837</v>
      </c>
      <c r="H286" s="1233">
        <f>-300000+300000</f>
        <v>0</v>
      </c>
      <c r="I286" s="1233"/>
      <c r="J286" s="1233"/>
      <c r="K286" s="1233"/>
      <c r="L286" s="1233"/>
      <c r="M286" s="1233"/>
      <c r="N286" s="1233"/>
      <c r="O286" s="1233"/>
      <c r="P286" s="1234"/>
      <c r="Q286" s="1235"/>
      <c r="R286" s="1233"/>
      <c r="S286" s="1233"/>
      <c r="T286" s="1233"/>
      <c r="U286" s="1233"/>
      <c r="V286" s="1233"/>
      <c r="W286" s="1233"/>
      <c r="X286" s="1234"/>
    </row>
    <row r="287" spans="1:24" ht="24.75" customHeight="1" x14ac:dyDescent="0.2">
      <c r="A287" s="2099" t="s">
        <v>735</v>
      </c>
      <c r="B287" s="2129" t="s">
        <v>3395</v>
      </c>
      <c r="C287" s="2102" t="s">
        <v>3396</v>
      </c>
      <c r="D287" s="1206" t="s">
        <v>1831</v>
      </c>
      <c r="E287" s="1206" t="s">
        <v>556</v>
      </c>
      <c r="F287" s="1232" t="s">
        <v>91</v>
      </c>
      <c r="G287" s="1232" t="s">
        <v>1837</v>
      </c>
      <c r="H287" s="1233"/>
      <c r="I287" s="1233"/>
      <c r="J287" s="1233">
        <f>-800000+800000</f>
        <v>0</v>
      </c>
      <c r="K287" s="1233"/>
      <c r="L287" s="1233"/>
      <c r="M287" s="1233"/>
      <c r="N287" s="1233"/>
      <c r="O287" s="1233"/>
      <c r="P287" s="1234"/>
      <c r="Q287" s="1235"/>
      <c r="R287" s="1233"/>
      <c r="S287" s="1233"/>
      <c r="T287" s="1233"/>
      <c r="U287" s="1233"/>
      <c r="V287" s="1233"/>
      <c r="W287" s="1233"/>
      <c r="X287" s="1234"/>
    </row>
    <row r="288" spans="1:24" ht="24.75" customHeight="1" x14ac:dyDescent="0.2">
      <c r="A288" s="2100"/>
      <c r="B288" s="2130"/>
      <c r="C288" s="2106"/>
      <c r="D288" s="1206" t="s">
        <v>1831</v>
      </c>
      <c r="E288" s="1206" t="s">
        <v>510</v>
      </c>
      <c r="F288" s="1232" t="s">
        <v>132</v>
      </c>
      <c r="G288" s="1232" t="s">
        <v>1837</v>
      </c>
      <c r="H288" s="1233"/>
      <c r="I288" s="1233"/>
      <c r="J288" s="1233">
        <f>-2000000+2000000</f>
        <v>0</v>
      </c>
      <c r="K288" s="1233"/>
      <c r="L288" s="1233"/>
      <c r="M288" s="1233"/>
      <c r="N288" s="1233"/>
      <c r="O288" s="1233"/>
      <c r="P288" s="1234"/>
      <c r="Q288" s="1235"/>
      <c r="R288" s="1233"/>
      <c r="S288" s="1233"/>
      <c r="T288" s="1233"/>
      <c r="U288" s="1233"/>
      <c r="V288" s="1233"/>
      <c r="W288" s="1233"/>
      <c r="X288" s="1234"/>
    </row>
    <row r="289" spans="1:24" ht="24.75" customHeight="1" x14ac:dyDescent="0.2">
      <c r="A289" s="2100"/>
      <c r="B289" s="2130"/>
      <c r="C289" s="2106"/>
      <c r="D289" s="1206" t="s">
        <v>1831</v>
      </c>
      <c r="E289" s="1206" t="s">
        <v>557</v>
      </c>
      <c r="F289" s="1232" t="s">
        <v>68</v>
      </c>
      <c r="G289" s="1232" t="s">
        <v>1837</v>
      </c>
      <c r="H289" s="1233"/>
      <c r="I289" s="1233"/>
      <c r="J289" s="1233">
        <f>-6000000+6000000</f>
        <v>0</v>
      </c>
      <c r="K289" s="1233"/>
      <c r="L289" s="1233"/>
      <c r="M289" s="1233"/>
      <c r="N289" s="1233"/>
      <c r="O289" s="1233"/>
      <c r="P289" s="1234"/>
      <c r="Q289" s="1235"/>
      <c r="R289" s="1233"/>
      <c r="S289" s="1233"/>
      <c r="T289" s="1233"/>
      <c r="U289" s="1233"/>
      <c r="V289" s="1233"/>
      <c r="W289" s="1233"/>
      <c r="X289" s="1234"/>
    </row>
    <row r="290" spans="1:24" ht="24.75" customHeight="1" x14ac:dyDescent="0.2">
      <c r="A290" s="2101"/>
      <c r="B290" s="2131"/>
      <c r="C290" s="2103"/>
      <c r="D290" s="1206" t="s">
        <v>1831</v>
      </c>
      <c r="E290" s="1206" t="s">
        <v>557</v>
      </c>
      <c r="F290" s="1232" t="s">
        <v>155</v>
      </c>
      <c r="G290" s="1232" t="s">
        <v>1837</v>
      </c>
      <c r="H290" s="1233"/>
      <c r="I290" s="1233"/>
      <c r="J290" s="1233">
        <f>-600000+600000</f>
        <v>0</v>
      </c>
      <c r="K290" s="1233"/>
      <c r="L290" s="1233"/>
      <c r="M290" s="1233"/>
      <c r="N290" s="1233"/>
      <c r="O290" s="1233"/>
      <c r="P290" s="1234"/>
      <c r="Q290" s="1235"/>
      <c r="R290" s="1233"/>
      <c r="S290" s="1233"/>
      <c r="T290" s="1233"/>
      <c r="U290" s="1233"/>
      <c r="V290" s="1233"/>
      <c r="W290" s="1233"/>
      <c r="X290" s="1234"/>
    </row>
    <row r="291" spans="1:24" ht="40.5" customHeight="1" x14ac:dyDescent="0.2">
      <c r="A291" s="1646" t="s">
        <v>736</v>
      </c>
      <c r="B291" s="1659" t="s">
        <v>191</v>
      </c>
      <c r="C291" s="1641" t="s">
        <v>3401</v>
      </c>
      <c r="D291" s="1206" t="s">
        <v>1831</v>
      </c>
      <c r="E291" s="1206" t="s">
        <v>516</v>
      </c>
      <c r="F291" s="1232" t="s">
        <v>468</v>
      </c>
      <c r="G291" s="1232" t="s">
        <v>1837</v>
      </c>
      <c r="H291" s="1233"/>
      <c r="I291" s="1233"/>
      <c r="J291" s="1233"/>
      <c r="K291" s="1233"/>
      <c r="L291" s="1233"/>
      <c r="M291" s="1233">
        <f>-16000+16000</f>
        <v>0</v>
      </c>
      <c r="N291" s="1233"/>
      <c r="O291" s="1233"/>
      <c r="P291" s="1234"/>
      <c r="Q291" s="1235"/>
      <c r="R291" s="1233"/>
      <c r="S291" s="1233"/>
      <c r="T291" s="1233"/>
      <c r="U291" s="1233"/>
      <c r="V291" s="1233"/>
      <c r="W291" s="1233"/>
      <c r="X291" s="1234"/>
    </row>
    <row r="292" spans="1:24" ht="31.5" customHeight="1" x14ac:dyDescent="0.2">
      <c r="A292" s="1646" t="s">
        <v>313</v>
      </c>
      <c r="B292" s="1659" t="s">
        <v>192</v>
      </c>
      <c r="C292" s="1641" t="s">
        <v>3131</v>
      </c>
      <c r="D292" s="1206" t="s">
        <v>1831</v>
      </c>
      <c r="E292" s="1206" t="s">
        <v>169</v>
      </c>
      <c r="F292" s="1232" t="s">
        <v>67</v>
      </c>
      <c r="G292" s="1232" t="s">
        <v>1829</v>
      </c>
      <c r="H292" s="1233"/>
      <c r="I292" s="1233"/>
      <c r="J292" s="1233">
        <v>2502000</v>
      </c>
      <c r="K292" s="1233"/>
      <c r="L292" s="1233"/>
      <c r="M292" s="1233"/>
      <c r="N292" s="1233"/>
      <c r="O292" s="1233"/>
      <c r="P292" s="1234"/>
      <c r="Q292" s="1235">
        <v>2502000</v>
      </c>
      <c r="R292" s="1233"/>
      <c r="S292" s="1233"/>
      <c r="T292" s="1233"/>
      <c r="U292" s="1233"/>
      <c r="V292" s="1233"/>
      <c r="W292" s="1233"/>
      <c r="X292" s="1234"/>
    </row>
    <row r="293" spans="1:24" ht="23.25" customHeight="1" x14ac:dyDescent="0.2">
      <c r="A293" s="2099" t="s">
        <v>314</v>
      </c>
      <c r="B293" s="2129" t="s">
        <v>193</v>
      </c>
      <c r="C293" s="2102" t="s">
        <v>3426</v>
      </c>
      <c r="D293" s="1206" t="s">
        <v>1831</v>
      </c>
      <c r="E293" s="1206" t="s">
        <v>556</v>
      </c>
      <c r="F293" s="1232" t="s">
        <v>91</v>
      </c>
      <c r="G293" s="1232" t="s">
        <v>1829</v>
      </c>
      <c r="H293" s="1233"/>
      <c r="I293" s="1233"/>
      <c r="J293" s="1233">
        <f>50000+900000+66000</f>
        <v>1016000</v>
      </c>
      <c r="K293" s="1233"/>
      <c r="L293" s="1233"/>
      <c r="M293" s="1233"/>
      <c r="N293" s="1233"/>
      <c r="O293" s="1233"/>
      <c r="P293" s="1234"/>
      <c r="Q293" s="1235"/>
      <c r="R293" s="1233"/>
      <c r="S293" s="1233"/>
      <c r="T293" s="1233">
        <f>800000+216000</f>
        <v>1016000</v>
      </c>
      <c r="U293" s="1233"/>
      <c r="V293" s="1233"/>
      <c r="W293" s="1233"/>
      <c r="X293" s="1234"/>
    </row>
    <row r="294" spans="1:24" ht="23.25" customHeight="1" x14ac:dyDescent="0.2">
      <c r="A294" s="2100"/>
      <c r="B294" s="2130"/>
      <c r="C294" s="2106"/>
      <c r="D294" s="1206" t="s">
        <v>1831</v>
      </c>
      <c r="E294" s="1206" t="s">
        <v>510</v>
      </c>
      <c r="F294" s="1232" t="s">
        <v>132</v>
      </c>
      <c r="G294" s="1232" t="s">
        <v>1829</v>
      </c>
      <c r="H294" s="1233"/>
      <c r="I294" s="1233"/>
      <c r="J294" s="1233">
        <f>1600000+432000</f>
        <v>2032000</v>
      </c>
      <c r="K294" s="1233"/>
      <c r="L294" s="1233"/>
      <c r="M294" s="1233"/>
      <c r="N294" s="1233"/>
      <c r="O294" s="1233"/>
      <c r="P294" s="1234"/>
      <c r="Q294" s="1235"/>
      <c r="R294" s="1233"/>
      <c r="S294" s="1233"/>
      <c r="T294" s="1233">
        <f>1600000+432000</f>
        <v>2032000</v>
      </c>
      <c r="U294" s="1233"/>
      <c r="V294" s="1233"/>
      <c r="W294" s="1233"/>
      <c r="X294" s="1234"/>
    </row>
    <row r="295" spans="1:24" ht="23.25" customHeight="1" x14ac:dyDescent="0.2">
      <c r="A295" s="2100"/>
      <c r="B295" s="2130"/>
      <c r="C295" s="2106"/>
      <c r="D295" s="1206" t="s">
        <v>1831</v>
      </c>
      <c r="E295" s="1206" t="s">
        <v>394</v>
      </c>
      <c r="F295" s="1232" t="s">
        <v>151</v>
      </c>
      <c r="G295" s="1232" t="s">
        <v>1829</v>
      </c>
      <c r="H295" s="1233"/>
      <c r="I295" s="1233"/>
      <c r="J295" s="1233">
        <f>393701+106299</f>
        <v>500000</v>
      </c>
      <c r="K295" s="1233"/>
      <c r="L295" s="1233"/>
      <c r="M295" s="1233"/>
      <c r="N295" s="1233"/>
      <c r="O295" s="1233"/>
      <c r="P295" s="1234"/>
      <c r="Q295" s="1235"/>
      <c r="R295" s="1233"/>
      <c r="S295" s="1233"/>
      <c r="T295" s="1233">
        <v>500000</v>
      </c>
      <c r="U295" s="1233"/>
      <c r="V295" s="1233"/>
      <c r="W295" s="1233"/>
      <c r="X295" s="1234"/>
    </row>
    <row r="296" spans="1:24" ht="23.25" customHeight="1" x14ac:dyDescent="0.2">
      <c r="A296" s="2100"/>
      <c r="B296" s="2130"/>
      <c r="C296" s="2106"/>
      <c r="D296" s="1206" t="s">
        <v>1831</v>
      </c>
      <c r="E296" s="1206" t="s">
        <v>166</v>
      </c>
      <c r="F296" s="1232" t="s">
        <v>152</v>
      </c>
      <c r="G296" s="1232" t="s">
        <v>1829</v>
      </c>
      <c r="H296" s="1233"/>
      <c r="I296" s="1233"/>
      <c r="J296" s="1233">
        <v>300000</v>
      </c>
      <c r="K296" s="1233"/>
      <c r="L296" s="1233"/>
      <c r="M296" s="1233"/>
      <c r="N296" s="1233"/>
      <c r="O296" s="1233"/>
      <c r="P296" s="1234"/>
      <c r="Q296" s="1235"/>
      <c r="R296" s="1233"/>
      <c r="S296" s="1233"/>
      <c r="T296" s="1233">
        <v>300000</v>
      </c>
      <c r="U296" s="1233"/>
      <c r="V296" s="1233"/>
      <c r="W296" s="1233"/>
      <c r="X296" s="1234"/>
    </row>
    <row r="297" spans="1:24" ht="23.25" customHeight="1" x14ac:dyDescent="0.2">
      <c r="A297" s="2101"/>
      <c r="B297" s="2131"/>
      <c r="C297" s="2103"/>
      <c r="D297" s="1206" t="s">
        <v>1831</v>
      </c>
      <c r="E297" s="1206" t="s">
        <v>167</v>
      </c>
      <c r="F297" s="1232" t="s">
        <v>133</v>
      </c>
      <c r="G297" s="1232" t="s">
        <v>1829</v>
      </c>
      <c r="H297" s="1233"/>
      <c r="I297" s="1233"/>
      <c r="J297" s="1233">
        <v>500000</v>
      </c>
      <c r="K297" s="1233"/>
      <c r="L297" s="1233"/>
      <c r="M297" s="1233"/>
      <c r="N297" s="1233"/>
      <c r="O297" s="1233"/>
      <c r="P297" s="1234"/>
      <c r="Q297" s="1235"/>
      <c r="R297" s="1233"/>
      <c r="S297" s="1233"/>
      <c r="T297" s="1233">
        <v>500000</v>
      </c>
      <c r="U297" s="1233"/>
      <c r="V297" s="1233"/>
      <c r="W297" s="1233"/>
      <c r="X297" s="1234"/>
    </row>
    <row r="298" spans="1:24" ht="24.75" customHeight="1" x14ac:dyDescent="0.2">
      <c r="A298" s="2099" t="s">
        <v>315</v>
      </c>
      <c r="B298" s="2129" t="s">
        <v>3452</v>
      </c>
      <c r="C298" s="2102" t="s">
        <v>3451</v>
      </c>
      <c r="D298" s="1206" t="s">
        <v>1831</v>
      </c>
      <c r="E298" s="1206" t="s">
        <v>556</v>
      </c>
      <c r="F298" s="1232" t="s">
        <v>91</v>
      </c>
      <c r="G298" s="1232" t="s">
        <v>1837</v>
      </c>
      <c r="H298" s="1233">
        <f>-1403985+1292225</f>
        <v>-111760</v>
      </c>
      <c r="I298" s="1233"/>
      <c r="J298" s="1233"/>
      <c r="K298" s="1233"/>
      <c r="L298" s="1233"/>
      <c r="M298" s="1233"/>
      <c r="N298" s="1233"/>
      <c r="O298" s="1233"/>
      <c r="P298" s="1234"/>
      <c r="Q298" s="1235"/>
      <c r="R298" s="1233"/>
      <c r="S298" s="1233"/>
      <c r="T298" s="1233"/>
      <c r="U298" s="1233"/>
      <c r="V298" s="1233"/>
      <c r="W298" s="1233"/>
      <c r="X298" s="1234"/>
    </row>
    <row r="299" spans="1:24" ht="24.75" customHeight="1" x14ac:dyDescent="0.2">
      <c r="A299" s="2100"/>
      <c r="B299" s="2130"/>
      <c r="C299" s="2106"/>
      <c r="D299" s="1206" t="s">
        <v>1831</v>
      </c>
      <c r="E299" s="1206" t="s">
        <v>510</v>
      </c>
      <c r="F299" s="1232" t="s">
        <v>132</v>
      </c>
      <c r="G299" s="1232" t="s">
        <v>1829</v>
      </c>
      <c r="H299" s="1233">
        <v>111760</v>
      </c>
      <c r="I299" s="1233"/>
      <c r="J299" s="1233"/>
      <c r="K299" s="1233"/>
      <c r="L299" s="1233"/>
      <c r="M299" s="1233"/>
      <c r="N299" s="1233"/>
      <c r="O299" s="1233"/>
      <c r="P299" s="1234"/>
      <c r="Q299" s="1235"/>
      <c r="R299" s="1233"/>
      <c r="S299" s="1233"/>
      <c r="T299" s="1233"/>
      <c r="U299" s="1233"/>
      <c r="V299" s="1233"/>
      <c r="W299" s="1233"/>
      <c r="X299" s="1234"/>
    </row>
    <row r="300" spans="1:24" ht="24.75" customHeight="1" x14ac:dyDescent="0.2">
      <c r="A300" s="2100"/>
      <c r="B300" s="2130"/>
      <c r="C300" s="2106"/>
      <c r="D300" s="1206" t="s">
        <v>1831</v>
      </c>
      <c r="E300" s="1206" t="s">
        <v>394</v>
      </c>
      <c r="F300" s="1232" t="s">
        <v>151</v>
      </c>
      <c r="G300" s="1232" t="s">
        <v>1837</v>
      </c>
      <c r="H300" s="1233">
        <f>-335280+335280</f>
        <v>0</v>
      </c>
      <c r="I300" s="1233"/>
      <c r="J300" s="1233"/>
      <c r="K300" s="1233"/>
      <c r="L300" s="1233"/>
      <c r="M300" s="1233"/>
      <c r="N300" s="1233"/>
      <c r="O300" s="1233"/>
      <c r="P300" s="1234"/>
      <c r="Q300" s="1235"/>
      <c r="R300" s="1233"/>
      <c r="S300" s="1233"/>
      <c r="T300" s="1233"/>
      <c r="U300" s="1233"/>
      <c r="V300" s="1233"/>
      <c r="W300" s="1233"/>
      <c r="X300" s="1234"/>
    </row>
    <row r="301" spans="1:24" ht="24.75" customHeight="1" x14ac:dyDescent="0.2">
      <c r="A301" s="2101"/>
      <c r="B301" s="2131"/>
      <c r="C301" s="2103"/>
      <c r="D301" s="1206" t="s">
        <v>1831</v>
      </c>
      <c r="E301" s="1206" t="s">
        <v>166</v>
      </c>
      <c r="F301" s="1232" t="s">
        <v>152</v>
      </c>
      <c r="G301" s="1232" t="s">
        <v>1837</v>
      </c>
      <c r="H301" s="1233">
        <f>-111760+111760</f>
        <v>0</v>
      </c>
      <c r="I301" s="1233"/>
      <c r="J301" s="1233"/>
      <c r="K301" s="1233"/>
      <c r="L301" s="1233"/>
      <c r="M301" s="1233"/>
      <c r="N301" s="1233"/>
      <c r="O301" s="1233"/>
      <c r="P301" s="1234"/>
      <c r="Q301" s="1235"/>
      <c r="R301" s="1233"/>
      <c r="S301" s="1233"/>
      <c r="T301" s="1233"/>
      <c r="U301" s="1233"/>
      <c r="V301" s="1233"/>
      <c r="W301" s="1233"/>
      <c r="X301" s="1234"/>
    </row>
    <row r="302" spans="1:24" ht="23.25" customHeight="1" x14ac:dyDescent="0.2">
      <c r="A302" s="2111" t="s">
        <v>316</v>
      </c>
      <c r="B302" s="2132" t="s">
        <v>196</v>
      </c>
      <c r="C302" s="2109" t="s">
        <v>3468</v>
      </c>
      <c r="D302" s="1206" t="s">
        <v>1831</v>
      </c>
      <c r="E302" s="1206" t="s">
        <v>556</v>
      </c>
      <c r="F302" s="1232" t="s">
        <v>91</v>
      </c>
      <c r="G302" s="1232" t="s">
        <v>1828</v>
      </c>
      <c r="H302" s="1233"/>
      <c r="I302" s="1233"/>
      <c r="J302" s="1233">
        <v>-1073860</v>
      </c>
      <c r="K302" s="1233"/>
      <c r="L302" s="1233"/>
      <c r="M302" s="1233"/>
      <c r="N302" s="1233"/>
      <c r="O302" s="1233"/>
      <c r="P302" s="1234"/>
      <c r="Q302" s="1235"/>
      <c r="R302" s="1233"/>
      <c r="S302" s="1233"/>
      <c r="T302" s="1233">
        <f>-471448-115809-31-486572</f>
        <v>-1073860</v>
      </c>
      <c r="U302" s="1233"/>
      <c r="V302" s="1233"/>
      <c r="W302" s="1233"/>
      <c r="X302" s="1234"/>
    </row>
    <row r="303" spans="1:24" ht="23.25" customHeight="1" x14ac:dyDescent="0.2">
      <c r="A303" s="2111"/>
      <c r="B303" s="2132"/>
      <c r="C303" s="2109"/>
      <c r="D303" s="1206" t="s">
        <v>1831</v>
      </c>
      <c r="E303" s="1206" t="s">
        <v>510</v>
      </c>
      <c r="F303" s="1232" t="s">
        <v>132</v>
      </c>
      <c r="G303" s="1232" t="s">
        <v>1828</v>
      </c>
      <c r="H303" s="1233"/>
      <c r="I303" s="1233"/>
      <c r="J303" s="1233">
        <v>-564030</v>
      </c>
      <c r="K303" s="1233"/>
      <c r="L303" s="1233"/>
      <c r="M303" s="1233"/>
      <c r="N303" s="1233"/>
      <c r="O303" s="1233"/>
      <c r="P303" s="1234"/>
      <c r="Q303" s="1235"/>
      <c r="R303" s="1233"/>
      <c r="S303" s="1233"/>
      <c r="T303" s="1233">
        <f>-444121-119909</f>
        <v>-564030</v>
      </c>
      <c r="U303" s="1233"/>
      <c r="V303" s="1233"/>
      <c r="W303" s="1233"/>
      <c r="X303" s="1234"/>
    </row>
    <row r="304" spans="1:24" ht="23.25" customHeight="1" x14ac:dyDescent="0.2">
      <c r="A304" s="2111"/>
      <c r="B304" s="2132"/>
      <c r="C304" s="2109"/>
      <c r="D304" s="1206" t="s">
        <v>1831</v>
      </c>
      <c r="E304" s="1206" t="s">
        <v>394</v>
      </c>
      <c r="F304" s="1232" t="s">
        <v>151</v>
      </c>
      <c r="G304" s="1232" t="s">
        <v>1828</v>
      </c>
      <c r="H304" s="1233"/>
      <c r="I304" s="1233"/>
      <c r="J304" s="1233">
        <v>-381420</v>
      </c>
      <c r="K304" s="1233"/>
      <c r="L304" s="1233"/>
      <c r="M304" s="1233"/>
      <c r="N304" s="1233"/>
      <c r="O304" s="1233"/>
      <c r="P304" s="1234"/>
      <c r="Q304" s="1235"/>
      <c r="R304" s="1233"/>
      <c r="S304" s="1233"/>
      <c r="T304" s="1233">
        <v>-381420</v>
      </c>
      <c r="U304" s="1233"/>
      <c r="V304" s="1233"/>
      <c r="W304" s="1233"/>
      <c r="X304" s="1234"/>
    </row>
    <row r="305" spans="1:24" ht="23.25" customHeight="1" x14ac:dyDescent="0.2">
      <c r="A305" s="2111"/>
      <c r="B305" s="2132"/>
      <c r="C305" s="2109"/>
      <c r="D305" s="1206" t="s">
        <v>1831</v>
      </c>
      <c r="E305" s="1206" t="s">
        <v>166</v>
      </c>
      <c r="F305" s="1232" t="s">
        <v>152</v>
      </c>
      <c r="G305" s="1232" t="s">
        <v>1828</v>
      </c>
      <c r="H305" s="1233"/>
      <c r="I305" s="1233"/>
      <c r="J305" s="1233">
        <v>-220085</v>
      </c>
      <c r="K305" s="1233"/>
      <c r="L305" s="1233"/>
      <c r="M305" s="1233"/>
      <c r="N305" s="1233"/>
      <c r="O305" s="1233"/>
      <c r="P305" s="1234"/>
      <c r="Q305" s="1235"/>
      <c r="R305" s="1233"/>
      <c r="S305" s="1233"/>
      <c r="T305" s="1233">
        <v>-220085</v>
      </c>
      <c r="U305" s="1233"/>
      <c r="V305" s="1233"/>
      <c r="W305" s="1233"/>
      <c r="X305" s="1234"/>
    </row>
    <row r="306" spans="1:24" ht="23.25" customHeight="1" x14ac:dyDescent="0.2">
      <c r="A306" s="2111"/>
      <c r="B306" s="2132"/>
      <c r="C306" s="2109"/>
      <c r="D306" s="1206" t="s">
        <v>1831</v>
      </c>
      <c r="E306" s="1206" t="s">
        <v>167</v>
      </c>
      <c r="F306" s="1232" t="s">
        <v>133</v>
      </c>
      <c r="G306" s="1232" t="s">
        <v>1828</v>
      </c>
      <c r="H306" s="1233"/>
      <c r="I306" s="1233"/>
      <c r="J306" s="1233">
        <v>-651431</v>
      </c>
      <c r="K306" s="1233"/>
      <c r="L306" s="1233"/>
      <c r="M306" s="1233"/>
      <c r="N306" s="1233"/>
      <c r="O306" s="1233"/>
      <c r="P306" s="1234"/>
      <c r="Q306" s="1235"/>
      <c r="R306" s="1233"/>
      <c r="S306" s="1233"/>
      <c r="T306" s="1233">
        <f>-12460-476263</f>
        <v>-488723</v>
      </c>
      <c r="U306" s="1233"/>
      <c r="V306" s="1233"/>
      <c r="W306" s="1233"/>
      <c r="X306" s="1234"/>
    </row>
    <row r="307" spans="1:24" ht="23.25" customHeight="1" x14ac:dyDescent="0.2">
      <c r="A307" s="2111"/>
      <c r="B307" s="2132"/>
      <c r="C307" s="2109"/>
      <c r="D307" s="1206" t="s">
        <v>1831</v>
      </c>
      <c r="E307" s="1206" t="s">
        <v>557</v>
      </c>
      <c r="F307" s="1232" t="s">
        <v>68</v>
      </c>
      <c r="G307" s="1232" t="s">
        <v>1837</v>
      </c>
      <c r="H307" s="1233"/>
      <c r="I307" s="1233"/>
      <c r="J307" s="1233">
        <v>-1332267</v>
      </c>
      <c r="K307" s="1233"/>
      <c r="L307" s="1233"/>
      <c r="M307" s="1233"/>
      <c r="N307" s="1233"/>
      <c r="O307" s="1233"/>
      <c r="P307" s="1234"/>
      <c r="Q307" s="1235"/>
      <c r="R307" s="1233"/>
      <c r="S307" s="1233"/>
      <c r="T307" s="1233">
        <f>-1072808-289456+29997</f>
        <v>-1332267</v>
      </c>
      <c r="U307" s="1233"/>
      <c r="V307" s="1233"/>
      <c r="W307" s="1233"/>
      <c r="X307" s="1234"/>
    </row>
    <row r="308" spans="1:24" ht="23.25" customHeight="1" x14ac:dyDescent="0.2">
      <c r="A308" s="2111"/>
      <c r="B308" s="2132"/>
      <c r="C308" s="2109"/>
      <c r="D308" s="1206" t="s">
        <v>1831</v>
      </c>
      <c r="E308" s="1206" t="s">
        <v>557</v>
      </c>
      <c r="F308" s="1232" t="s">
        <v>154</v>
      </c>
      <c r="G308" s="1232" t="s">
        <v>1828</v>
      </c>
      <c r="H308" s="1233"/>
      <c r="I308" s="1233"/>
      <c r="J308" s="1233">
        <v>-6741020</v>
      </c>
      <c r="K308" s="1233"/>
      <c r="L308" s="1233"/>
      <c r="M308" s="1233"/>
      <c r="N308" s="1233"/>
      <c r="O308" s="1233"/>
      <c r="P308" s="1234"/>
      <c r="Q308" s="1235"/>
      <c r="R308" s="1233"/>
      <c r="S308" s="1233"/>
      <c r="T308" s="1233">
        <f>-4428755-1188145-990-243274</f>
        <v>-5861164</v>
      </c>
      <c r="U308" s="1233"/>
      <c r="V308" s="1233"/>
      <c r="W308" s="1233"/>
      <c r="X308" s="1234"/>
    </row>
    <row r="309" spans="1:24" ht="23.25" customHeight="1" x14ac:dyDescent="0.2">
      <c r="A309" s="2111"/>
      <c r="B309" s="2132"/>
      <c r="C309" s="2109"/>
      <c r="D309" s="1206" t="s">
        <v>1831</v>
      </c>
      <c r="E309" s="1206" t="s">
        <v>557</v>
      </c>
      <c r="F309" s="1232" t="s">
        <v>155</v>
      </c>
      <c r="G309" s="1232" t="s">
        <v>1828</v>
      </c>
      <c r="H309" s="1233"/>
      <c r="I309" s="1233"/>
      <c r="J309" s="1233">
        <v>-2345660</v>
      </c>
      <c r="K309" s="1233"/>
      <c r="L309" s="1233"/>
      <c r="M309" s="1233"/>
      <c r="N309" s="1233"/>
      <c r="O309" s="1233"/>
      <c r="P309" s="1234"/>
      <c r="Q309" s="1235"/>
      <c r="R309" s="1233"/>
      <c r="S309" s="1233"/>
      <c r="T309" s="1233">
        <f>-1454652-392320-498688</f>
        <v>-2345660</v>
      </c>
      <c r="U309" s="1233"/>
      <c r="V309" s="1233"/>
      <c r="W309" s="1233"/>
      <c r="X309" s="1234"/>
    </row>
    <row r="310" spans="1:24" ht="23.25" customHeight="1" x14ac:dyDescent="0.2">
      <c r="A310" s="2111"/>
      <c r="B310" s="2132"/>
      <c r="C310" s="2109"/>
      <c r="D310" s="1206" t="s">
        <v>1831</v>
      </c>
      <c r="E310" s="1206" t="s">
        <v>558</v>
      </c>
      <c r="F310" s="1232" t="s">
        <v>165</v>
      </c>
      <c r="G310" s="1232" t="s">
        <v>1828</v>
      </c>
      <c r="H310" s="1233"/>
      <c r="I310" s="1233"/>
      <c r="J310" s="1233"/>
      <c r="K310" s="1233"/>
      <c r="L310" s="1233"/>
      <c r="M310" s="1233"/>
      <c r="N310" s="1233"/>
      <c r="O310" s="1233"/>
      <c r="P310" s="1234"/>
      <c r="Q310" s="1235"/>
      <c r="R310" s="1233"/>
      <c r="S310" s="1233"/>
      <c r="T310" s="1233">
        <f>-392569-105996</f>
        <v>-498565</v>
      </c>
      <c r="U310" s="1233"/>
      <c r="V310" s="1233"/>
      <c r="W310" s="1233"/>
      <c r="X310" s="1234"/>
    </row>
    <row r="311" spans="1:24" ht="23.25" customHeight="1" x14ac:dyDescent="0.2">
      <c r="A311" s="2111"/>
      <c r="B311" s="2132"/>
      <c r="C311" s="2109"/>
      <c r="D311" s="1206" t="s">
        <v>1831</v>
      </c>
      <c r="E311" s="1206" t="s">
        <v>1399</v>
      </c>
      <c r="F311" s="1232" t="s">
        <v>1832</v>
      </c>
      <c r="G311" s="1232" t="s">
        <v>1828</v>
      </c>
      <c r="H311" s="1233"/>
      <c r="I311" s="1233"/>
      <c r="J311" s="1233"/>
      <c r="K311" s="1233"/>
      <c r="L311" s="1233"/>
      <c r="M311" s="1233"/>
      <c r="N311" s="1233"/>
      <c r="O311" s="1233"/>
      <c r="P311" s="1234"/>
      <c r="Q311" s="1235"/>
      <c r="R311" s="1233"/>
      <c r="S311" s="1233"/>
      <c r="T311" s="1233">
        <f>-300365-80926</f>
        <v>-381291</v>
      </c>
      <c r="U311" s="1233"/>
      <c r="V311" s="1233"/>
      <c r="W311" s="1233"/>
      <c r="X311" s="1234"/>
    </row>
    <row r="312" spans="1:24" ht="23.25" customHeight="1" x14ac:dyDescent="0.2">
      <c r="A312" s="2111"/>
      <c r="B312" s="2132"/>
      <c r="C312" s="2109"/>
      <c r="D312" s="1206" t="s">
        <v>1831</v>
      </c>
      <c r="E312" s="1206" t="s">
        <v>167</v>
      </c>
      <c r="F312" s="1232" t="s">
        <v>538</v>
      </c>
      <c r="G312" s="1232" t="s">
        <v>1828</v>
      </c>
      <c r="H312" s="1233"/>
      <c r="I312" s="1233"/>
      <c r="J312" s="1233"/>
      <c r="K312" s="1233"/>
      <c r="L312" s="1233"/>
      <c r="M312" s="1233"/>
      <c r="N312" s="1233"/>
      <c r="O312" s="1233"/>
      <c r="P312" s="1234"/>
      <c r="Q312" s="1235"/>
      <c r="R312" s="1233"/>
      <c r="S312" s="1233"/>
      <c r="T312" s="1233">
        <v>-162708</v>
      </c>
      <c r="U312" s="1233"/>
      <c r="V312" s="1233"/>
      <c r="W312" s="1233"/>
      <c r="X312" s="1234"/>
    </row>
    <row r="313" spans="1:24" ht="23.25" customHeight="1" x14ac:dyDescent="0.2">
      <c r="A313" s="2111"/>
      <c r="B313" s="2132"/>
      <c r="C313" s="2109"/>
      <c r="D313" s="1206" t="s">
        <v>1831</v>
      </c>
      <c r="E313" s="1206" t="s">
        <v>556</v>
      </c>
      <c r="F313" s="1232" t="s">
        <v>830</v>
      </c>
      <c r="G313" s="1232" t="s">
        <v>1828</v>
      </c>
      <c r="H313" s="1233"/>
      <c r="I313" s="1233"/>
      <c r="J313" s="1233">
        <f>-1116860-392115</f>
        <v>-1508975</v>
      </c>
      <c r="K313" s="1233"/>
      <c r="L313" s="1233"/>
      <c r="M313" s="1233"/>
      <c r="N313" s="1233"/>
      <c r="O313" s="1233"/>
      <c r="P313" s="1234"/>
      <c r="Q313" s="1235"/>
      <c r="R313" s="1233"/>
      <c r="S313" s="1233"/>
      <c r="T313" s="1233">
        <f>-1016860-392115-100000</f>
        <v>-1508975</v>
      </c>
      <c r="U313" s="1233"/>
      <c r="V313" s="1233"/>
      <c r="W313" s="1233"/>
      <c r="X313" s="1234"/>
    </row>
    <row r="314" spans="1:24" ht="20.25" customHeight="1" x14ac:dyDescent="0.2">
      <c r="A314" s="1657"/>
      <c r="B314" s="1590"/>
      <c r="C314" s="1215"/>
      <c r="D314" s="1206"/>
      <c r="E314" s="1206"/>
      <c r="F314" s="1232"/>
      <c r="G314" s="1232"/>
      <c r="H314" s="1233"/>
      <c r="I314" s="1233"/>
      <c r="J314" s="1233"/>
      <c r="K314" s="1233"/>
      <c r="L314" s="1233"/>
      <c r="M314" s="1233"/>
      <c r="N314" s="1233"/>
      <c r="O314" s="1233"/>
      <c r="P314" s="1234"/>
      <c r="Q314" s="1235"/>
      <c r="R314" s="1233"/>
      <c r="S314" s="1233"/>
      <c r="T314" s="1233"/>
      <c r="U314" s="1233"/>
      <c r="V314" s="1233"/>
      <c r="W314" s="1233"/>
      <c r="X314" s="1234"/>
    </row>
    <row r="315" spans="1:24" ht="21.75" customHeight="1" x14ac:dyDescent="0.3">
      <c r="A315" s="2082" t="s">
        <v>1749</v>
      </c>
      <c r="B315" s="2084"/>
      <c r="C315" s="2084"/>
      <c r="D315" s="1179"/>
      <c r="E315" s="1179"/>
      <c r="F315" s="1179"/>
      <c r="G315" s="1179"/>
      <c r="H315" s="1365">
        <f t="shared" ref="H315:X315" si="3">SUM(H233:H314)+H216</f>
        <v>7350000</v>
      </c>
      <c r="I315" s="1365">
        <f t="shared" si="3"/>
        <v>1315500</v>
      </c>
      <c r="J315" s="1365">
        <f t="shared" si="3"/>
        <v>183940205</v>
      </c>
      <c r="K315" s="1365">
        <f t="shared" si="3"/>
        <v>0</v>
      </c>
      <c r="L315" s="1365">
        <f t="shared" si="3"/>
        <v>41070640</v>
      </c>
      <c r="M315" s="1365">
        <f t="shared" si="3"/>
        <v>1428750</v>
      </c>
      <c r="N315" s="1365">
        <f t="shared" si="3"/>
        <v>0</v>
      </c>
      <c r="O315" s="1365">
        <f t="shared" si="3"/>
        <v>0</v>
      </c>
      <c r="P315" s="1366">
        <f t="shared" si="3"/>
        <v>0</v>
      </c>
      <c r="Q315" s="1367">
        <f t="shared" si="3"/>
        <v>12804600</v>
      </c>
      <c r="R315" s="1365">
        <f t="shared" si="3"/>
        <v>0</v>
      </c>
      <c r="S315" s="1365">
        <f t="shared" si="3"/>
        <v>0</v>
      </c>
      <c r="T315" s="1365">
        <f t="shared" si="3"/>
        <v>155904367</v>
      </c>
      <c r="U315" s="1365">
        <f t="shared" si="3"/>
        <v>0</v>
      </c>
      <c r="V315" s="1365">
        <f t="shared" si="3"/>
        <v>0</v>
      </c>
      <c r="W315" s="1365">
        <f t="shared" si="3"/>
        <v>0</v>
      </c>
      <c r="X315" s="1366">
        <f t="shared" si="3"/>
        <v>66396128</v>
      </c>
    </row>
    <row r="316" spans="1:24" ht="18" customHeight="1" x14ac:dyDescent="0.25">
      <c r="A316" s="1237"/>
      <c r="B316" s="1237"/>
      <c r="C316" s="1238"/>
      <c r="D316" s="1195"/>
      <c r="E316" s="1239"/>
      <c r="F316" s="1239"/>
      <c r="G316" s="1239"/>
      <c r="H316" s="1224">
        <f>+'2.6 sz. Területi'!AS9-'2.6 sz. Területi'!AR9</f>
        <v>7350000</v>
      </c>
      <c r="I316" s="1224">
        <f>+'2.6 sz. Területi'!AS10-'2.6 sz. Területi'!AR10</f>
        <v>1315500</v>
      </c>
      <c r="J316" s="1224">
        <f>+'2.6 sz. Területi'!AS11-'2.6 sz. Területi'!AR11</f>
        <v>183940205</v>
      </c>
      <c r="K316" s="1224">
        <f>+'2.6 sz. Területi'!AS12-'2.6 sz. Területi'!AR12</f>
        <v>0</v>
      </c>
      <c r="L316" s="1224">
        <f>+'2.6 sz. Területi'!AS13-'2.6 sz. Területi'!AR13</f>
        <v>41070640</v>
      </c>
      <c r="M316" s="1224">
        <f>+'2.6 sz. Területi'!AS17-'2.6 sz. Területi'!AR17</f>
        <v>1428750</v>
      </c>
      <c r="N316" s="1224">
        <f>+'2.6 sz. Területi'!AS18-'2.6 sz. Területi'!AR18</f>
        <v>0</v>
      </c>
      <c r="O316" s="1224">
        <f>+'2.6 sz. Területi'!AS19-'2.6 sz. Területi'!AR19</f>
        <v>0</v>
      </c>
      <c r="P316" s="1224">
        <f>+'2.6 sz. Területi'!AS22-'2.6 sz. Területi'!AR22</f>
        <v>0</v>
      </c>
      <c r="Q316" s="1224">
        <f>+'2.6 sz. Területi'!AS31-'2.6 sz. Területi'!AR31</f>
        <v>12804600</v>
      </c>
      <c r="R316" s="1224">
        <f>+'2.6 sz. Területi'!AS32-'2.6 sz. Területi'!AR32</f>
        <v>0</v>
      </c>
      <c r="S316" s="1224">
        <f>+'2.6 sz. Területi'!AS33-'2.6 sz. Területi'!AR33</f>
        <v>0</v>
      </c>
      <c r="T316" s="1224">
        <f>+'2.6 sz. Területi'!AS34-'2.6 sz. Területi'!AR34</f>
        <v>155904367</v>
      </c>
      <c r="U316" s="1224">
        <f>+'2.6 sz. Területi'!AS35-'2.6 sz. Területi'!AR35</f>
        <v>0</v>
      </c>
      <c r="V316" s="1224">
        <f>+'2.6 sz. Területi'!AS36-'2.6 sz. Területi'!AR36</f>
        <v>0</v>
      </c>
      <c r="W316" s="1224">
        <f>+'2.6 sz. Területi'!AS37-'2.6 sz. Területi'!AR37</f>
        <v>0</v>
      </c>
      <c r="X316" s="1224">
        <f>+'2.6 sz. Területi'!AS39-'2.6 sz. Területi'!AR39</f>
        <v>66396128</v>
      </c>
    </row>
    <row r="317" spans="1:24" ht="18" customHeight="1" x14ac:dyDescent="0.25">
      <c r="A317" s="1237"/>
      <c r="B317" s="1237"/>
      <c r="C317" s="1238"/>
      <c r="D317" s="1195"/>
      <c r="E317" s="1239"/>
      <c r="F317" s="1239"/>
      <c r="G317" s="1239"/>
      <c r="H317" s="1224">
        <f>+H316-H315</f>
        <v>0</v>
      </c>
      <c r="I317" s="1224">
        <f>+I316-I315</f>
        <v>0</v>
      </c>
      <c r="J317" s="1224">
        <f t="shared" ref="J317:M317" si="4">+J316-J315</f>
        <v>0</v>
      </c>
      <c r="K317" s="1224">
        <f t="shared" si="4"/>
        <v>0</v>
      </c>
      <c r="L317" s="1224">
        <f t="shared" si="4"/>
        <v>0</v>
      </c>
      <c r="M317" s="1224">
        <f t="shared" si="4"/>
        <v>0</v>
      </c>
      <c r="N317" s="1224">
        <f>+N316-N315</f>
        <v>0</v>
      </c>
      <c r="O317" s="1224">
        <f>+O316-O315</f>
        <v>0</v>
      </c>
      <c r="P317" s="1224">
        <f t="shared" ref="P317:Q317" si="5">+P316-P315</f>
        <v>0</v>
      </c>
      <c r="Q317" s="1224">
        <f t="shared" si="5"/>
        <v>0</v>
      </c>
      <c r="R317" s="1224">
        <f>+R316-R315</f>
        <v>0</v>
      </c>
      <c r="S317" s="1224">
        <f t="shared" ref="S317:W317" si="6">+S316-S315</f>
        <v>0</v>
      </c>
      <c r="T317" s="1224">
        <f t="shared" si="6"/>
        <v>0</v>
      </c>
      <c r="U317" s="1224">
        <f t="shared" si="6"/>
        <v>0</v>
      </c>
      <c r="V317" s="1224">
        <f t="shared" si="6"/>
        <v>0</v>
      </c>
      <c r="W317" s="1224">
        <f t="shared" si="6"/>
        <v>0</v>
      </c>
      <c r="X317" s="1224">
        <f>+X316-X315</f>
        <v>0</v>
      </c>
    </row>
    <row r="318" spans="1:24" ht="15" x14ac:dyDescent="0.25">
      <c r="A318" s="1226"/>
      <c r="B318" s="1226"/>
      <c r="C318" s="1196"/>
      <c r="D318" s="1197"/>
      <c r="E318" s="1197"/>
      <c r="F318" s="1197"/>
      <c r="G318" s="1197"/>
      <c r="H318" s="1224"/>
      <c r="I318" s="1224"/>
      <c r="J318" s="1224"/>
      <c r="K318" s="1224"/>
      <c r="L318" s="1224"/>
      <c r="M318" s="1224"/>
      <c r="N318" s="1224"/>
      <c r="O318" s="1224"/>
      <c r="P318" s="1224"/>
      <c r="Q318" s="1224"/>
      <c r="R318" s="1224"/>
      <c r="S318" s="1224"/>
      <c r="T318" s="1224"/>
      <c r="U318" s="1224"/>
      <c r="V318" s="1224"/>
      <c r="W318" s="1224"/>
      <c r="X318" s="1224"/>
    </row>
    <row r="319" spans="1:24" ht="22.5" customHeight="1" x14ac:dyDescent="0.25">
      <c r="A319" s="1226"/>
      <c r="B319" s="1226"/>
      <c r="C319" s="1196"/>
      <c r="D319" s="1197"/>
      <c r="E319" s="1197"/>
      <c r="F319" s="1197"/>
      <c r="G319" s="1197"/>
      <c r="H319" s="1224"/>
      <c r="I319" s="2108" t="s">
        <v>1750</v>
      </c>
      <c r="J319" s="2108"/>
      <c r="K319" s="2108"/>
      <c r="L319" s="2108">
        <v>1438032186</v>
      </c>
      <c r="M319" s="2108"/>
      <c r="N319" s="1225"/>
      <c r="O319" s="1225"/>
      <c r="P319" s="1225"/>
      <c r="Q319" s="1225"/>
      <c r="R319" s="2108" t="s">
        <v>1751</v>
      </c>
      <c r="S319" s="2108"/>
      <c r="T319" s="2108"/>
      <c r="U319" s="2108">
        <v>1438032186</v>
      </c>
      <c r="V319" s="2108"/>
      <c r="W319" s="1224"/>
      <c r="X319" s="1224"/>
    </row>
    <row r="320" spans="1:24" ht="24" customHeight="1" x14ac:dyDescent="0.25">
      <c r="A320" s="1226"/>
      <c r="B320" s="1226"/>
      <c r="C320" s="1196"/>
      <c r="D320" s="1197"/>
      <c r="E320" s="1197"/>
      <c r="F320" s="1197"/>
      <c r="G320" s="1197"/>
      <c r="H320" s="1224"/>
      <c r="I320" s="2066" t="s">
        <v>3474</v>
      </c>
      <c r="J320" s="2066"/>
      <c r="K320" s="2066"/>
      <c r="L320" s="2108">
        <f>SUM(H315:P315)</f>
        <v>235105095</v>
      </c>
      <c r="M320" s="2108"/>
      <c r="N320" s="1225"/>
      <c r="O320" s="1225"/>
      <c r="P320" s="1225"/>
      <c r="Q320" s="1225"/>
      <c r="R320" s="2066" t="s">
        <v>3474</v>
      </c>
      <c r="S320" s="2066"/>
      <c r="T320" s="2066"/>
      <c r="U320" s="2108">
        <f>SUM(Q315:X315)</f>
        <v>235105095</v>
      </c>
      <c r="V320" s="2108"/>
      <c r="W320" s="1224"/>
      <c r="X320" s="1224"/>
    </row>
    <row r="321" spans="1:24" ht="24" customHeight="1" x14ac:dyDescent="0.25">
      <c r="A321" s="1226"/>
      <c r="B321" s="1226"/>
      <c r="C321" s="1196"/>
      <c r="D321" s="1197"/>
      <c r="E321" s="1197"/>
      <c r="F321" s="1197"/>
      <c r="G321" s="1197"/>
      <c r="H321" s="1224"/>
      <c r="I321" s="2108" t="s">
        <v>1561</v>
      </c>
      <c r="J321" s="2108"/>
      <c r="K321" s="2108"/>
      <c r="L321" s="2108">
        <f>+L319+L320</f>
        <v>1673137281</v>
      </c>
      <c r="M321" s="2108"/>
      <c r="N321" s="1225"/>
      <c r="O321" s="1225"/>
      <c r="P321" s="1225"/>
      <c r="Q321" s="1225"/>
      <c r="R321" s="2108" t="s">
        <v>1561</v>
      </c>
      <c r="S321" s="2108"/>
      <c r="T321" s="2108"/>
      <c r="U321" s="2108">
        <f>+U319+U320</f>
        <v>1673137281</v>
      </c>
      <c r="V321" s="2108"/>
      <c r="W321" s="1224"/>
      <c r="X321" s="1224"/>
    </row>
    <row r="322" spans="1:24" x14ac:dyDescent="0.2">
      <c r="A322" s="348"/>
      <c r="B322" s="348"/>
      <c r="C322" s="348"/>
      <c r="D322" s="348"/>
      <c r="E322" s="348"/>
      <c r="F322" s="348"/>
      <c r="G322" s="348"/>
      <c r="H322" s="348"/>
      <c r="I322" s="348"/>
      <c r="J322" s="348"/>
      <c r="K322" s="348"/>
      <c r="L322" s="348"/>
      <c r="M322" s="348"/>
      <c r="N322" s="348"/>
      <c r="O322" s="348"/>
      <c r="P322" s="348"/>
      <c r="Q322" s="348"/>
      <c r="R322" s="348"/>
      <c r="S322" s="348"/>
      <c r="T322" s="348"/>
      <c r="U322" s="348"/>
      <c r="V322" s="348"/>
      <c r="W322" s="348"/>
      <c r="X322" s="348"/>
    </row>
    <row r="323" spans="1:24" x14ac:dyDescent="0.2">
      <c r="A323" s="348"/>
      <c r="B323" s="348"/>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348"/>
    </row>
    <row r="324" spans="1:24" x14ac:dyDescent="0.2">
      <c r="A324" s="348"/>
      <c r="B324" s="348"/>
      <c r="C324" s="348"/>
      <c r="D324" s="348"/>
      <c r="E324" s="348"/>
      <c r="F324" s="348"/>
      <c r="G324" s="348"/>
      <c r="H324" s="348"/>
      <c r="I324" s="348"/>
      <c r="J324" s="348"/>
      <c r="K324" s="348"/>
      <c r="L324" s="348"/>
      <c r="M324" s="348"/>
      <c r="N324" s="348"/>
      <c r="O324" s="348"/>
      <c r="P324" s="348"/>
      <c r="Q324" s="348"/>
      <c r="R324" s="348"/>
      <c r="S324" s="348"/>
      <c r="T324" s="348"/>
      <c r="U324" s="348"/>
      <c r="V324" s="348"/>
      <c r="W324" s="348"/>
      <c r="X324" s="348"/>
    </row>
    <row r="325" spans="1:24" x14ac:dyDescent="0.2">
      <c r="A325" s="348"/>
      <c r="B325" s="348"/>
      <c r="C325" s="348"/>
      <c r="D325" s="348"/>
      <c r="E325" s="348"/>
      <c r="F325" s="348"/>
      <c r="G325" s="348"/>
      <c r="H325" s="348"/>
      <c r="I325" s="348"/>
      <c r="J325" s="348"/>
      <c r="K325" s="348"/>
      <c r="L325" s="348"/>
      <c r="M325" s="348"/>
      <c r="N325" s="348"/>
      <c r="O325" s="348"/>
      <c r="P325" s="348"/>
      <c r="Q325" s="348"/>
      <c r="R325" s="348"/>
      <c r="S325" s="348"/>
      <c r="T325" s="348"/>
      <c r="U325" s="348"/>
      <c r="V325" s="348"/>
      <c r="W325" s="348"/>
      <c r="X325" s="348"/>
    </row>
    <row r="326" spans="1:24" x14ac:dyDescent="0.2">
      <c r="A326" s="348"/>
      <c r="B326" s="348"/>
      <c r="C326" s="348"/>
      <c r="D326" s="348"/>
      <c r="E326" s="348"/>
      <c r="F326" s="348"/>
      <c r="G326" s="348"/>
      <c r="H326" s="348"/>
      <c r="I326" s="348"/>
      <c r="J326" s="348"/>
      <c r="K326" s="348"/>
      <c r="L326" s="348"/>
      <c r="M326" s="348"/>
      <c r="N326" s="348"/>
      <c r="O326" s="348"/>
      <c r="P326" s="348"/>
      <c r="Q326" s="348"/>
      <c r="R326" s="348"/>
      <c r="S326" s="348"/>
      <c r="T326" s="348"/>
      <c r="U326" s="348"/>
      <c r="V326" s="348"/>
      <c r="W326" s="348"/>
      <c r="X326" s="348"/>
    </row>
    <row r="327" spans="1:24" x14ac:dyDescent="0.2">
      <c r="A327" s="348"/>
      <c r="B327" s="348"/>
      <c r="C327" s="348"/>
      <c r="D327" s="348"/>
      <c r="E327" s="348"/>
      <c r="F327" s="348"/>
      <c r="G327" s="348"/>
      <c r="H327" s="348"/>
      <c r="I327" s="348"/>
      <c r="J327" s="348"/>
      <c r="K327" s="348"/>
      <c r="L327" s="348"/>
      <c r="M327" s="348"/>
      <c r="N327" s="348"/>
      <c r="O327" s="348"/>
      <c r="P327" s="348"/>
      <c r="Q327" s="348"/>
      <c r="R327" s="348"/>
      <c r="S327" s="348"/>
      <c r="T327" s="348"/>
      <c r="U327" s="348"/>
      <c r="V327" s="348"/>
      <c r="W327" s="348"/>
      <c r="X327" s="348"/>
    </row>
    <row r="328" spans="1:24" x14ac:dyDescent="0.2">
      <c r="A328" s="348"/>
      <c r="B328" s="348"/>
      <c r="C328" s="348"/>
      <c r="D328" s="348"/>
      <c r="E328" s="348"/>
      <c r="F328" s="348"/>
      <c r="G328" s="348"/>
      <c r="H328" s="348"/>
      <c r="I328" s="348"/>
      <c r="J328" s="348"/>
      <c r="K328" s="348"/>
      <c r="L328" s="348"/>
      <c r="M328" s="348"/>
      <c r="N328" s="348"/>
      <c r="O328" s="348"/>
      <c r="P328" s="348"/>
      <c r="Q328" s="348"/>
      <c r="R328" s="348"/>
      <c r="S328" s="348"/>
      <c r="T328" s="348"/>
      <c r="U328" s="348"/>
      <c r="V328" s="348"/>
      <c r="W328" s="348"/>
      <c r="X328" s="348"/>
    </row>
    <row r="329" spans="1:24" x14ac:dyDescent="0.2">
      <c r="A329" s="348"/>
      <c r="B329" s="348"/>
      <c r="C329" s="348"/>
      <c r="D329" s="348"/>
      <c r="E329" s="348"/>
      <c r="F329" s="348"/>
      <c r="G329" s="348"/>
      <c r="H329" s="348"/>
      <c r="I329" s="348"/>
      <c r="J329" s="348"/>
      <c r="K329" s="348"/>
      <c r="L329" s="348"/>
      <c r="M329" s="348"/>
      <c r="N329" s="348"/>
      <c r="O329" s="348"/>
      <c r="P329" s="348"/>
      <c r="Q329" s="348"/>
      <c r="R329" s="348"/>
      <c r="S329" s="348"/>
      <c r="T329" s="348"/>
      <c r="U329" s="348"/>
      <c r="V329" s="348"/>
      <c r="W329" s="348"/>
      <c r="X329" s="348"/>
    </row>
    <row r="330" spans="1:24" x14ac:dyDescent="0.2">
      <c r="A330" s="348"/>
      <c r="B330" s="348"/>
      <c r="C330" s="348"/>
      <c r="D330" s="348"/>
      <c r="E330" s="348"/>
      <c r="F330" s="348"/>
      <c r="G330" s="348"/>
      <c r="H330" s="348"/>
      <c r="I330" s="348"/>
      <c r="J330" s="348"/>
      <c r="K330" s="348"/>
      <c r="L330" s="348"/>
      <c r="M330" s="348"/>
      <c r="N330" s="348"/>
      <c r="O330" s="348"/>
      <c r="P330" s="348"/>
      <c r="Q330" s="348"/>
      <c r="R330" s="348"/>
      <c r="S330" s="348"/>
      <c r="T330" s="348"/>
      <c r="U330" s="348"/>
      <c r="V330" s="348"/>
      <c r="W330" s="348"/>
      <c r="X330" s="348"/>
    </row>
    <row r="331" spans="1:24" x14ac:dyDescent="0.2">
      <c r="A331" s="348"/>
      <c r="B331" s="348"/>
      <c r="C331" s="348"/>
      <c r="D331" s="348"/>
      <c r="E331" s="348"/>
      <c r="F331" s="348"/>
      <c r="G331" s="348"/>
      <c r="H331" s="348"/>
      <c r="I331" s="348"/>
      <c r="J331" s="348"/>
      <c r="K331" s="348"/>
      <c r="L331" s="348"/>
      <c r="M331" s="348"/>
      <c r="N331" s="348"/>
      <c r="O331" s="348"/>
      <c r="P331" s="348"/>
      <c r="Q331" s="348"/>
      <c r="R331" s="348"/>
      <c r="S331" s="348"/>
      <c r="T331" s="348"/>
      <c r="U331" s="348"/>
      <c r="V331" s="348"/>
      <c r="W331" s="348"/>
      <c r="X331" s="348"/>
    </row>
    <row r="332" spans="1:24" x14ac:dyDescent="0.2">
      <c r="A332" s="348"/>
      <c r="B332" s="348"/>
      <c r="C332" s="348"/>
      <c r="D332" s="348"/>
      <c r="E332" s="348"/>
      <c r="F332" s="348"/>
      <c r="G332" s="348"/>
      <c r="H332" s="348"/>
      <c r="I332" s="348"/>
      <c r="J332" s="348"/>
      <c r="K332" s="348"/>
      <c r="L332" s="348"/>
      <c r="M332" s="348"/>
      <c r="N332" s="348"/>
      <c r="O332" s="348"/>
      <c r="P332" s="348"/>
      <c r="Q332" s="348"/>
      <c r="R332" s="348"/>
      <c r="S332" s="348"/>
      <c r="T332" s="348"/>
      <c r="U332" s="348"/>
      <c r="V332" s="348"/>
      <c r="W332" s="348"/>
      <c r="X332" s="348"/>
    </row>
    <row r="333" spans="1:24" x14ac:dyDescent="0.2">
      <c r="A333" s="348"/>
      <c r="B333" s="348"/>
      <c r="C333" s="348"/>
      <c r="D333" s="348"/>
      <c r="E333" s="348"/>
      <c r="F333" s="348"/>
      <c r="G333" s="348"/>
      <c r="H333" s="348"/>
      <c r="I333" s="348"/>
      <c r="J333" s="348"/>
      <c r="K333" s="348"/>
      <c r="L333" s="348"/>
      <c r="M333" s="348"/>
      <c r="N333" s="348"/>
      <c r="O333" s="348"/>
      <c r="P333" s="348"/>
      <c r="Q333" s="348"/>
      <c r="R333" s="348"/>
      <c r="S333" s="348"/>
      <c r="T333" s="348"/>
      <c r="U333" s="348"/>
      <c r="V333" s="348"/>
      <c r="W333" s="348"/>
      <c r="X333" s="348"/>
    </row>
    <row r="334" spans="1:24" x14ac:dyDescent="0.2">
      <c r="A334" s="348"/>
      <c r="B334" s="348"/>
      <c r="C334" s="348"/>
      <c r="D334" s="348"/>
      <c r="E334" s="348"/>
      <c r="F334" s="348"/>
      <c r="G334" s="348"/>
      <c r="H334" s="348"/>
      <c r="I334" s="348"/>
      <c r="J334" s="348"/>
      <c r="K334" s="348"/>
      <c r="L334" s="348"/>
      <c r="M334" s="348"/>
      <c r="N334" s="348"/>
      <c r="O334" s="348"/>
      <c r="P334" s="348"/>
      <c r="Q334" s="348"/>
      <c r="R334" s="348"/>
      <c r="S334" s="348"/>
      <c r="T334" s="348"/>
      <c r="U334" s="348"/>
      <c r="V334" s="348"/>
      <c r="W334" s="348"/>
      <c r="X334" s="348"/>
    </row>
    <row r="335" spans="1:24" x14ac:dyDescent="0.2">
      <c r="A335" s="348"/>
      <c r="B335" s="348"/>
      <c r="C335" s="348"/>
      <c r="D335" s="348"/>
      <c r="E335" s="348"/>
      <c r="F335" s="348"/>
      <c r="G335" s="348"/>
      <c r="H335" s="348"/>
      <c r="I335" s="348"/>
      <c r="J335" s="348"/>
      <c r="K335" s="348"/>
      <c r="L335" s="348"/>
      <c r="M335" s="348"/>
      <c r="N335" s="348"/>
      <c r="O335" s="348"/>
      <c r="P335" s="348"/>
      <c r="Q335" s="348"/>
      <c r="R335" s="348"/>
      <c r="S335" s="348"/>
      <c r="T335" s="348"/>
      <c r="U335" s="348"/>
      <c r="V335" s="348"/>
      <c r="W335" s="348"/>
      <c r="X335" s="348"/>
    </row>
    <row r="336" spans="1:24" x14ac:dyDescent="0.2">
      <c r="A336" s="348"/>
      <c r="B336" s="348"/>
      <c r="C336" s="348"/>
      <c r="D336" s="348"/>
      <c r="E336" s="348"/>
      <c r="F336" s="348"/>
      <c r="G336" s="348"/>
      <c r="H336" s="348"/>
      <c r="I336" s="348"/>
      <c r="J336" s="348"/>
      <c r="K336" s="348"/>
      <c r="L336" s="348"/>
      <c r="M336" s="348"/>
      <c r="N336" s="348"/>
      <c r="O336" s="348"/>
      <c r="P336" s="348"/>
      <c r="Q336" s="348"/>
      <c r="R336" s="348"/>
      <c r="S336" s="348"/>
      <c r="T336" s="348"/>
      <c r="U336" s="348"/>
      <c r="V336" s="348"/>
      <c r="W336" s="348"/>
      <c r="X336" s="348"/>
    </row>
    <row r="337" spans="1:24" x14ac:dyDescent="0.2">
      <c r="A337" s="348"/>
      <c r="B337" s="348"/>
      <c r="C337" s="348"/>
      <c r="D337" s="348"/>
      <c r="E337" s="348"/>
      <c r="F337" s="348"/>
      <c r="G337" s="348"/>
      <c r="H337" s="348"/>
      <c r="I337" s="348"/>
      <c r="J337" s="348"/>
      <c r="K337" s="348"/>
      <c r="L337" s="348"/>
      <c r="M337" s="348"/>
      <c r="N337" s="348"/>
      <c r="O337" s="348"/>
      <c r="P337" s="348"/>
      <c r="Q337" s="348"/>
      <c r="R337" s="348"/>
      <c r="S337" s="348"/>
      <c r="T337" s="348"/>
      <c r="U337" s="348"/>
      <c r="V337" s="348"/>
      <c r="W337" s="348"/>
      <c r="X337" s="348"/>
    </row>
    <row r="338" spans="1:24" x14ac:dyDescent="0.2">
      <c r="A338" s="348"/>
      <c r="B338" s="348"/>
      <c r="C338" s="348"/>
      <c r="D338" s="348"/>
      <c r="E338" s="348"/>
      <c r="F338" s="348"/>
      <c r="G338" s="348"/>
      <c r="H338" s="348"/>
      <c r="I338" s="348"/>
      <c r="J338" s="348"/>
      <c r="K338" s="348"/>
      <c r="L338" s="348"/>
      <c r="M338" s="348"/>
      <c r="N338" s="348"/>
      <c r="O338" s="348"/>
      <c r="P338" s="348"/>
      <c r="Q338" s="348"/>
      <c r="R338" s="348"/>
      <c r="S338" s="348"/>
      <c r="T338" s="348"/>
      <c r="U338" s="348"/>
      <c r="V338" s="348"/>
      <c r="W338" s="348"/>
      <c r="X338" s="348"/>
    </row>
    <row r="339" spans="1:24" x14ac:dyDescent="0.2">
      <c r="A339" s="348"/>
      <c r="B339" s="348"/>
      <c r="C339" s="348"/>
      <c r="D339" s="348"/>
      <c r="E339" s="348"/>
      <c r="F339" s="348"/>
      <c r="G339" s="348"/>
      <c r="H339" s="348"/>
      <c r="I339" s="348"/>
      <c r="J339" s="348"/>
      <c r="K339" s="348"/>
      <c r="L339" s="348"/>
      <c r="M339" s="348"/>
      <c r="N339" s="348"/>
      <c r="O339" s="348"/>
      <c r="P339" s="348"/>
      <c r="Q339" s="348"/>
      <c r="R339" s="348"/>
      <c r="S339" s="348"/>
      <c r="T339" s="348"/>
      <c r="U339" s="348"/>
      <c r="V339" s="348"/>
      <c r="W339" s="348"/>
      <c r="X339" s="348"/>
    </row>
    <row r="340" spans="1:24" x14ac:dyDescent="0.2">
      <c r="A340" s="348"/>
      <c r="B340" s="348"/>
      <c r="C340" s="348"/>
      <c r="D340" s="348"/>
      <c r="E340" s="348"/>
      <c r="F340" s="348"/>
      <c r="G340" s="348"/>
      <c r="H340" s="348"/>
      <c r="I340" s="348"/>
      <c r="J340" s="348"/>
      <c r="K340" s="348"/>
      <c r="L340" s="348"/>
      <c r="M340" s="348"/>
      <c r="N340" s="348"/>
      <c r="O340" s="348"/>
      <c r="P340" s="348"/>
      <c r="Q340" s="348"/>
      <c r="R340" s="348"/>
      <c r="S340" s="348"/>
      <c r="T340" s="348"/>
      <c r="U340" s="348"/>
      <c r="V340" s="348"/>
      <c r="W340" s="348"/>
      <c r="X340" s="348"/>
    </row>
    <row r="341" spans="1:24" x14ac:dyDescent="0.2">
      <c r="A341" s="348"/>
      <c r="B341" s="348"/>
      <c r="C341" s="348"/>
      <c r="D341" s="348"/>
      <c r="E341" s="348"/>
      <c r="F341" s="348"/>
      <c r="G341" s="348"/>
      <c r="H341" s="348"/>
      <c r="I341" s="348"/>
      <c r="J341" s="348"/>
      <c r="K341" s="348"/>
      <c r="L341" s="348"/>
      <c r="M341" s="348"/>
      <c r="N341" s="348"/>
      <c r="O341" s="348"/>
      <c r="P341" s="348"/>
      <c r="Q341" s="348"/>
      <c r="R341" s="348"/>
      <c r="S341" s="348"/>
      <c r="T341" s="348"/>
      <c r="U341" s="348"/>
      <c r="V341" s="348"/>
      <c r="W341" s="348"/>
      <c r="X341" s="348"/>
    </row>
    <row r="342" spans="1:24" x14ac:dyDescent="0.2">
      <c r="A342" s="348"/>
      <c r="B342" s="348"/>
      <c r="C342" s="348"/>
      <c r="D342" s="348"/>
      <c r="E342" s="348"/>
      <c r="F342" s="348"/>
      <c r="G342" s="348"/>
      <c r="H342" s="348"/>
      <c r="I342" s="348"/>
      <c r="J342" s="348"/>
      <c r="K342" s="348"/>
      <c r="L342" s="348"/>
      <c r="M342" s="348"/>
      <c r="N342" s="348"/>
      <c r="O342" s="348"/>
      <c r="P342" s="348"/>
      <c r="Q342" s="348"/>
      <c r="R342" s="348"/>
      <c r="S342" s="348"/>
      <c r="T342" s="348"/>
      <c r="U342" s="348"/>
      <c r="V342" s="348"/>
      <c r="W342" s="348"/>
      <c r="X342" s="348"/>
    </row>
    <row r="343" spans="1:24" x14ac:dyDescent="0.2">
      <c r="A343" s="348"/>
      <c r="B343" s="348"/>
      <c r="C343" s="348"/>
      <c r="D343" s="348"/>
      <c r="E343" s="348"/>
      <c r="F343" s="348"/>
      <c r="G343" s="348"/>
      <c r="H343" s="348"/>
      <c r="I343" s="348"/>
      <c r="J343" s="348"/>
      <c r="K343" s="348"/>
      <c r="L343" s="348"/>
      <c r="M343" s="348"/>
      <c r="N343" s="348"/>
      <c r="O343" s="348"/>
      <c r="P343" s="348"/>
      <c r="Q343" s="348"/>
      <c r="R343" s="348"/>
      <c r="S343" s="348"/>
      <c r="T343" s="348"/>
      <c r="U343" s="348"/>
      <c r="V343" s="348"/>
      <c r="W343" s="348"/>
      <c r="X343" s="348"/>
    </row>
    <row r="344" spans="1:24" x14ac:dyDescent="0.2">
      <c r="A344" s="348"/>
      <c r="B344" s="348"/>
      <c r="C344" s="348"/>
      <c r="D344" s="348"/>
      <c r="E344" s="348"/>
      <c r="F344" s="348"/>
      <c r="G344" s="348"/>
      <c r="H344" s="348"/>
      <c r="I344" s="348"/>
      <c r="J344" s="348"/>
      <c r="K344" s="348"/>
      <c r="L344" s="348"/>
      <c r="M344" s="348"/>
      <c r="N344" s="348"/>
      <c r="O344" s="348"/>
      <c r="P344" s="348"/>
      <c r="Q344" s="348"/>
      <c r="R344" s="348"/>
      <c r="S344" s="348"/>
      <c r="T344" s="348"/>
      <c r="U344" s="348"/>
      <c r="V344" s="348"/>
      <c r="W344" s="348"/>
      <c r="X344" s="348"/>
    </row>
    <row r="345" spans="1:24" x14ac:dyDescent="0.2">
      <c r="A345" s="348"/>
      <c r="B345" s="348"/>
      <c r="C345" s="348"/>
      <c r="D345" s="348"/>
      <c r="E345" s="348"/>
      <c r="F345" s="348"/>
      <c r="G345" s="348"/>
      <c r="H345" s="348"/>
      <c r="I345" s="348"/>
      <c r="J345" s="348"/>
      <c r="K345" s="348"/>
      <c r="L345" s="348"/>
      <c r="M345" s="348"/>
      <c r="N345" s="348"/>
      <c r="O345" s="348"/>
      <c r="P345" s="348"/>
      <c r="Q345" s="348"/>
      <c r="R345" s="348"/>
      <c r="S345" s="348"/>
      <c r="T345" s="348"/>
      <c r="U345" s="348"/>
      <c r="V345" s="348"/>
      <c r="W345" s="348"/>
      <c r="X345" s="348"/>
    </row>
  </sheetData>
  <mergeCells count="234">
    <mergeCell ref="C211:C214"/>
    <mergeCell ref="B211:B214"/>
    <mergeCell ref="A211:A214"/>
    <mergeCell ref="C177:C178"/>
    <mergeCell ref="B177:B178"/>
    <mergeCell ref="A177:A178"/>
    <mergeCell ref="C179:C187"/>
    <mergeCell ref="B179:B187"/>
    <mergeCell ref="A179:A187"/>
    <mergeCell ref="C188:C192"/>
    <mergeCell ref="B188:B192"/>
    <mergeCell ref="A188:A192"/>
    <mergeCell ref="C202:C204"/>
    <mergeCell ref="B202:B204"/>
    <mergeCell ref="A202:A204"/>
    <mergeCell ref="C206:C208"/>
    <mergeCell ref="B206:B208"/>
    <mergeCell ref="A206:A208"/>
    <mergeCell ref="C200:C201"/>
    <mergeCell ref="B200:B201"/>
    <mergeCell ref="A200:A201"/>
    <mergeCell ref="C193:C199"/>
    <mergeCell ref="B193:B199"/>
    <mergeCell ref="A193:A199"/>
    <mergeCell ref="C169:C175"/>
    <mergeCell ref="A162:X162"/>
    <mergeCell ref="A164:X164"/>
    <mergeCell ref="A166:A167"/>
    <mergeCell ref="B166:B167"/>
    <mergeCell ref="C166:C167"/>
    <mergeCell ref="D166:D167"/>
    <mergeCell ref="E166:E167"/>
    <mergeCell ref="F166:F167"/>
    <mergeCell ref="G166:G167"/>
    <mergeCell ref="H166:O166"/>
    <mergeCell ref="Q166:X166"/>
    <mergeCell ref="B169:B175"/>
    <mergeCell ref="A169:A175"/>
    <mergeCell ref="B139:B140"/>
    <mergeCell ref="A139:A140"/>
    <mergeCell ref="C141:C142"/>
    <mergeCell ref="B141:B142"/>
    <mergeCell ref="A141:A142"/>
    <mergeCell ref="C143:C144"/>
    <mergeCell ref="B143:B144"/>
    <mergeCell ref="A143:A144"/>
    <mergeCell ref="C145:C147"/>
    <mergeCell ref="B145:B147"/>
    <mergeCell ref="A145:A147"/>
    <mergeCell ref="B99:B106"/>
    <mergeCell ref="A99:A106"/>
    <mergeCell ref="I158:K158"/>
    <mergeCell ref="L158:M158"/>
    <mergeCell ref="I157:K157"/>
    <mergeCell ref="A152:C152"/>
    <mergeCell ref="I156:K156"/>
    <mergeCell ref="C107:C108"/>
    <mergeCell ref="B107:B108"/>
    <mergeCell ref="A107:A108"/>
    <mergeCell ref="C114:C122"/>
    <mergeCell ref="B114:B122"/>
    <mergeCell ref="A114:A122"/>
    <mergeCell ref="C124:C125"/>
    <mergeCell ref="B124:B125"/>
    <mergeCell ref="C127:C128"/>
    <mergeCell ref="B127:B128"/>
    <mergeCell ref="A127:A128"/>
    <mergeCell ref="A124:A125"/>
    <mergeCell ref="C129:C130"/>
    <mergeCell ref="B129:B130"/>
    <mergeCell ref="A129:A130"/>
    <mergeCell ref="B131:B138"/>
    <mergeCell ref="A131:A138"/>
    <mergeCell ref="R158:T158"/>
    <mergeCell ref="U158:V158"/>
    <mergeCell ref="L156:M156"/>
    <mergeCell ref="R156:T156"/>
    <mergeCell ref="U156:V156"/>
    <mergeCell ref="L157:M157"/>
    <mergeCell ref="R157:T157"/>
    <mergeCell ref="U157:V157"/>
    <mergeCell ref="C99:C106"/>
    <mergeCell ref="C131:C138"/>
    <mergeCell ref="C139:C140"/>
    <mergeCell ref="I79:K79"/>
    <mergeCell ref="L79:M79"/>
    <mergeCell ref="R79:T79"/>
    <mergeCell ref="U79:V79"/>
    <mergeCell ref="I80:K80"/>
    <mergeCell ref="L80:M80"/>
    <mergeCell ref="R80:T80"/>
    <mergeCell ref="U80:V80"/>
    <mergeCell ref="C7:C14"/>
    <mergeCell ref="C15:C21"/>
    <mergeCell ref="C22:C29"/>
    <mergeCell ref="C33:C34"/>
    <mergeCell ref="A74:C74"/>
    <mergeCell ref="B55:B62"/>
    <mergeCell ref="A55:A62"/>
    <mergeCell ref="C51:C52"/>
    <mergeCell ref="B51:B52"/>
    <mergeCell ref="A51:A52"/>
    <mergeCell ref="C53:C54"/>
    <mergeCell ref="I78:K78"/>
    <mergeCell ref="L78:M78"/>
    <mergeCell ref="R78:T78"/>
    <mergeCell ref="U78:V78"/>
    <mergeCell ref="C55:C62"/>
    <mergeCell ref="A1:X1"/>
    <mergeCell ref="A3:X3"/>
    <mergeCell ref="A5:A6"/>
    <mergeCell ref="B5:B6"/>
    <mergeCell ref="C5:C6"/>
    <mergeCell ref="D5:D6"/>
    <mergeCell ref="E5:E6"/>
    <mergeCell ref="F5:F6"/>
    <mergeCell ref="G5:G6"/>
    <mergeCell ref="H5:O5"/>
    <mergeCell ref="Q5:X5"/>
    <mergeCell ref="B7:B14"/>
    <mergeCell ref="A7:A14"/>
    <mergeCell ref="B15:B21"/>
    <mergeCell ref="A15:A21"/>
    <mergeCell ref="B22:B29"/>
    <mergeCell ref="A22:A29"/>
    <mergeCell ref="B33:B34"/>
    <mergeCell ref="A33:A34"/>
    <mergeCell ref="C63:C66"/>
    <mergeCell ref="B63:B66"/>
    <mergeCell ref="A63:A66"/>
    <mergeCell ref="B53:B54"/>
    <mergeCell ref="A53:A54"/>
    <mergeCell ref="C39:C42"/>
    <mergeCell ref="B39:B42"/>
    <mergeCell ref="A39:A42"/>
    <mergeCell ref="C43:C50"/>
    <mergeCell ref="B43:B50"/>
    <mergeCell ref="A43:A50"/>
    <mergeCell ref="C69:C70"/>
    <mergeCell ref="B69:B70"/>
    <mergeCell ref="A69:A70"/>
    <mergeCell ref="C72:C73"/>
    <mergeCell ref="B72:B73"/>
    <mergeCell ref="A72:A73"/>
    <mergeCell ref="C67:C68"/>
    <mergeCell ref="B67:B68"/>
    <mergeCell ref="A67:A68"/>
    <mergeCell ref="C89:C98"/>
    <mergeCell ref="B89:B98"/>
    <mergeCell ref="A89:A98"/>
    <mergeCell ref="A83:X83"/>
    <mergeCell ref="A85:X85"/>
    <mergeCell ref="A87:A88"/>
    <mergeCell ref="B87:B88"/>
    <mergeCell ref="C87:C88"/>
    <mergeCell ref="D87:D88"/>
    <mergeCell ref="E87:E88"/>
    <mergeCell ref="F87:F88"/>
    <mergeCell ref="G87:G88"/>
    <mergeCell ref="H87:O87"/>
    <mergeCell ref="Q87:X87"/>
    <mergeCell ref="I221:K221"/>
    <mergeCell ref="L221:M221"/>
    <mergeCell ref="R221:T221"/>
    <mergeCell ref="U221:V221"/>
    <mergeCell ref="I222:K222"/>
    <mergeCell ref="L222:M222"/>
    <mergeCell ref="R222:T222"/>
    <mergeCell ref="U222:V222"/>
    <mergeCell ref="A216:C216"/>
    <mergeCell ref="I220:K220"/>
    <mergeCell ref="L220:M220"/>
    <mergeCell ref="R220:T220"/>
    <mergeCell ref="U220:V220"/>
    <mergeCell ref="B250:B252"/>
    <mergeCell ref="A227:X227"/>
    <mergeCell ref="A229:X229"/>
    <mergeCell ref="A231:A232"/>
    <mergeCell ref="B231:B232"/>
    <mergeCell ref="C231:C232"/>
    <mergeCell ref="D231:D232"/>
    <mergeCell ref="E231:E232"/>
    <mergeCell ref="F231:F232"/>
    <mergeCell ref="G231:G232"/>
    <mergeCell ref="H231:O231"/>
    <mergeCell ref="Q231:X231"/>
    <mergeCell ref="A250:A252"/>
    <mergeCell ref="C233:C239"/>
    <mergeCell ref="B233:B239"/>
    <mergeCell ref="A233:A239"/>
    <mergeCell ref="C240:C243"/>
    <mergeCell ref="B240:B243"/>
    <mergeCell ref="A240:A243"/>
    <mergeCell ref="C246:C249"/>
    <mergeCell ref="B246:B249"/>
    <mergeCell ref="A246:A249"/>
    <mergeCell ref="C250:C252"/>
    <mergeCell ref="R321:T321"/>
    <mergeCell ref="U321:V321"/>
    <mergeCell ref="A315:C315"/>
    <mergeCell ref="I319:K319"/>
    <mergeCell ref="L319:M319"/>
    <mergeCell ref="R319:T319"/>
    <mergeCell ref="U319:V319"/>
    <mergeCell ref="I320:K320"/>
    <mergeCell ref="L320:M320"/>
    <mergeCell ref="R320:T320"/>
    <mergeCell ref="U320:V320"/>
    <mergeCell ref="I321:K321"/>
    <mergeCell ref="L321:M321"/>
    <mergeCell ref="C255:C256"/>
    <mergeCell ref="B255:B256"/>
    <mergeCell ref="A255:A256"/>
    <mergeCell ref="C257:C265"/>
    <mergeCell ref="B257:B265"/>
    <mergeCell ref="A257:A265"/>
    <mergeCell ref="C302:C313"/>
    <mergeCell ref="C266:C272"/>
    <mergeCell ref="B266:B272"/>
    <mergeCell ref="A266:A272"/>
    <mergeCell ref="C279:C286"/>
    <mergeCell ref="B279:B286"/>
    <mergeCell ref="C293:C297"/>
    <mergeCell ref="B293:B297"/>
    <mergeCell ref="A293:A297"/>
    <mergeCell ref="C298:C301"/>
    <mergeCell ref="B298:B301"/>
    <mergeCell ref="A298:A301"/>
    <mergeCell ref="B302:B313"/>
    <mergeCell ref="A302:A313"/>
    <mergeCell ref="C287:C290"/>
    <mergeCell ref="B287:B290"/>
    <mergeCell ref="A287:A290"/>
    <mergeCell ref="A279:A286"/>
  </mergeCells>
  <pageMargins left="0.51181102362204722" right="0.31496062992125984" top="0.74803149606299213" bottom="0.74803149606299213" header="0.31496062992125984" footer="0.31496062992125984"/>
  <pageSetup paperSize="9" scale="52" orientation="landscape" r:id="rId1"/>
  <headerFooter>
    <oddHeader>&amp;C2023. évi költségvetés&amp;RDunaharaszti Területi Gondozási Központ előirányzat-módosítása</oddHeader>
    <oddFooter>&amp;C&amp;P/&amp;N</oddFooter>
  </headerFooter>
  <rowBreaks count="7" manualBreakCount="7">
    <brk id="42" max="23" man="1"/>
    <brk id="91" max="23" man="1"/>
    <brk id="130" max="23" man="1"/>
    <brk id="169" max="23" man="1"/>
    <brk id="210" max="23" man="1"/>
    <brk id="253" max="23" man="1"/>
    <brk id="290" max="2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V51"/>
  <sheetViews>
    <sheetView view="pageBreakPreview" zoomScale="80" zoomScaleNormal="71" zoomScaleSheetLayoutView="80" workbookViewId="0">
      <pane xSplit="3" ySplit="8" topLeftCell="G27" activePane="bottomRight" state="frozen"/>
      <selection pane="topRight" activeCell="D1" sqref="D1"/>
      <selection pane="bottomLeft" activeCell="A8" sqref="A8"/>
      <selection pane="bottomRight" activeCell="G34" sqref="G34"/>
    </sheetView>
  </sheetViews>
  <sheetFormatPr defaultRowHeight="12.75" x14ac:dyDescent="0.2"/>
  <cols>
    <col min="1" max="1" width="7.140625" style="23" customWidth="1"/>
    <col min="2" max="2" width="68.42578125" style="23" customWidth="1"/>
    <col min="3" max="3" width="7.42578125" style="145" customWidth="1"/>
    <col min="4" max="6" width="18.7109375" style="24" customWidth="1"/>
    <col min="7" max="7" width="17.85546875" style="24" customWidth="1"/>
    <col min="8" max="9" width="20.28515625" style="24" customWidth="1"/>
    <col min="10" max="11" width="20.140625" style="24" customWidth="1"/>
    <col min="12" max="13" width="21.140625" style="24" customWidth="1"/>
    <col min="14" max="14" width="20.5703125" style="24" customWidth="1"/>
    <col min="15" max="17" width="20.28515625" style="24" customWidth="1"/>
    <col min="18" max="19" width="19" style="24" customWidth="1"/>
    <col min="20" max="20" width="15.85546875" style="24" customWidth="1"/>
    <col min="21" max="21" width="16.7109375" style="23" customWidth="1"/>
    <col min="22" max="22" width="11.7109375" style="23" bestFit="1" customWidth="1"/>
    <col min="23" max="16384" width="9.140625" style="23"/>
  </cols>
  <sheetData>
    <row r="1" spans="1:22" ht="15.75" x14ac:dyDescent="0.25">
      <c r="A1" s="195"/>
      <c r="B1" s="195"/>
      <c r="C1" s="196"/>
      <c r="D1" s="197"/>
      <c r="E1" s="197"/>
      <c r="F1" s="197"/>
      <c r="G1" s="198" t="s">
        <v>431</v>
      </c>
      <c r="H1" s="197"/>
      <c r="I1" s="197"/>
      <c r="J1" s="197"/>
      <c r="K1" s="198" t="s">
        <v>431</v>
      </c>
      <c r="L1" s="197"/>
      <c r="M1" s="197"/>
      <c r="N1" s="197"/>
      <c r="O1" s="198" t="s">
        <v>431</v>
      </c>
      <c r="P1" s="197"/>
      <c r="Q1" s="197"/>
      <c r="R1" s="197"/>
      <c r="S1" s="198" t="s">
        <v>431</v>
      </c>
      <c r="U1" s="198" t="s">
        <v>431</v>
      </c>
    </row>
    <row r="2" spans="1:22" ht="40.5" customHeight="1" x14ac:dyDescent="0.2">
      <c r="A2" s="1739" t="s">
        <v>137</v>
      </c>
      <c r="B2" s="1740"/>
      <c r="C2" s="1741"/>
      <c r="D2" s="1745" t="s">
        <v>3033</v>
      </c>
      <c r="E2" s="1746"/>
      <c r="F2" s="1746"/>
      <c r="G2" s="1747"/>
      <c r="H2" s="1745" t="s">
        <v>3033</v>
      </c>
      <c r="I2" s="1746"/>
      <c r="J2" s="1746"/>
      <c r="K2" s="1747"/>
      <c r="L2" s="1745" t="s">
        <v>3033</v>
      </c>
      <c r="M2" s="1746"/>
      <c r="N2" s="1746"/>
      <c r="O2" s="1747"/>
      <c r="P2" s="1745" t="s">
        <v>3033</v>
      </c>
      <c r="Q2" s="1746"/>
      <c r="R2" s="1746"/>
      <c r="S2" s="1747"/>
      <c r="T2" s="1745" t="s">
        <v>3033</v>
      </c>
      <c r="U2" s="1747"/>
    </row>
    <row r="3" spans="1:22" ht="37.5" customHeight="1" x14ac:dyDescent="0.2">
      <c r="A3" s="1742"/>
      <c r="B3" s="1743"/>
      <c r="C3" s="1744"/>
      <c r="D3" s="1611" t="s">
        <v>273</v>
      </c>
      <c r="E3" s="1611" t="s">
        <v>1561</v>
      </c>
      <c r="F3" s="1611" t="s">
        <v>273</v>
      </c>
      <c r="G3" s="1611" t="s">
        <v>1561</v>
      </c>
      <c r="H3" s="1611" t="s">
        <v>273</v>
      </c>
      <c r="I3" s="1611" t="s">
        <v>1561</v>
      </c>
      <c r="J3" s="1611" t="s">
        <v>273</v>
      </c>
      <c r="K3" s="1611" t="s">
        <v>1561</v>
      </c>
      <c r="L3" s="1611" t="s">
        <v>273</v>
      </c>
      <c r="M3" s="1611" t="s">
        <v>1561</v>
      </c>
      <c r="N3" s="1611" t="s">
        <v>273</v>
      </c>
      <c r="O3" s="1611" t="s">
        <v>1561</v>
      </c>
      <c r="P3" s="1611" t="s">
        <v>273</v>
      </c>
      <c r="Q3" s="1611" t="s">
        <v>1561</v>
      </c>
      <c r="R3" s="1611" t="s">
        <v>273</v>
      </c>
      <c r="S3" s="1611" t="s">
        <v>1561</v>
      </c>
      <c r="T3" s="1611" t="s">
        <v>273</v>
      </c>
      <c r="U3" s="1611" t="s">
        <v>1561</v>
      </c>
    </row>
    <row r="4" spans="1:22" ht="104.25" customHeight="1" x14ac:dyDescent="0.2">
      <c r="A4" s="1748" t="s">
        <v>186</v>
      </c>
      <c r="B4" s="1749" t="s">
        <v>244</v>
      </c>
      <c r="C4" s="1749"/>
      <c r="D4" s="1604" t="s">
        <v>486</v>
      </c>
      <c r="E4" s="1604" t="s">
        <v>486</v>
      </c>
      <c r="F4" s="1604" t="s">
        <v>335</v>
      </c>
      <c r="G4" s="1604" t="s">
        <v>335</v>
      </c>
      <c r="H4" s="199" t="s">
        <v>336</v>
      </c>
      <c r="I4" s="199" t="s">
        <v>336</v>
      </c>
      <c r="J4" s="1604" t="s">
        <v>335</v>
      </c>
      <c r="K4" s="1604" t="s">
        <v>335</v>
      </c>
      <c r="L4" s="1604" t="s">
        <v>335</v>
      </c>
      <c r="M4" s="1604" t="s">
        <v>335</v>
      </c>
      <c r="N4" s="1604" t="s">
        <v>185</v>
      </c>
      <c r="O4" s="1604" t="s">
        <v>185</v>
      </c>
      <c r="P4" s="1604" t="s">
        <v>335</v>
      </c>
      <c r="Q4" s="1604" t="s">
        <v>335</v>
      </c>
      <c r="R4" s="1604" t="s">
        <v>335</v>
      </c>
      <c r="S4" s="1604" t="s">
        <v>335</v>
      </c>
      <c r="T4" s="1750" t="s">
        <v>139</v>
      </c>
      <c r="U4" s="1750" t="s">
        <v>139</v>
      </c>
    </row>
    <row r="5" spans="1:22" ht="25.5" customHeight="1" x14ac:dyDescent="0.2">
      <c r="A5" s="1748"/>
      <c r="B5" s="1749" t="s">
        <v>11</v>
      </c>
      <c r="C5" s="1749"/>
      <c r="D5" s="1604" t="s">
        <v>222</v>
      </c>
      <c r="E5" s="1604" t="s">
        <v>222</v>
      </c>
      <c r="F5" s="1604" t="s">
        <v>222</v>
      </c>
      <c r="G5" s="1604" t="s">
        <v>222</v>
      </c>
      <c r="H5" s="1604" t="s">
        <v>222</v>
      </c>
      <c r="I5" s="1604" t="s">
        <v>222</v>
      </c>
      <c r="J5" s="199" t="s">
        <v>222</v>
      </c>
      <c r="K5" s="199" t="s">
        <v>222</v>
      </c>
      <c r="L5" s="199" t="s">
        <v>222</v>
      </c>
      <c r="M5" s="199" t="s">
        <v>222</v>
      </c>
      <c r="N5" s="199" t="s">
        <v>222</v>
      </c>
      <c r="O5" s="199" t="s">
        <v>222</v>
      </c>
      <c r="P5" s="199" t="s">
        <v>222</v>
      </c>
      <c r="Q5" s="199" t="s">
        <v>222</v>
      </c>
      <c r="R5" s="199" t="s">
        <v>222</v>
      </c>
      <c r="S5" s="199" t="s">
        <v>222</v>
      </c>
      <c r="T5" s="1750"/>
      <c r="U5" s="1750"/>
    </row>
    <row r="6" spans="1:22" ht="15.75" customHeight="1" x14ac:dyDescent="0.2">
      <c r="A6" s="1748"/>
      <c r="B6" s="1719" t="s">
        <v>713</v>
      </c>
      <c r="C6" s="1719"/>
      <c r="D6" s="1738" t="s">
        <v>400</v>
      </c>
      <c r="E6" s="1738" t="s">
        <v>400</v>
      </c>
      <c r="F6" s="1738" t="s">
        <v>401</v>
      </c>
      <c r="G6" s="1738" t="s">
        <v>401</v>
      </c>
      <c r="H6" s="1738" t="s">
        <v>1355</v>
      </c>
      <c r="I6" s="1738" t="s">
        <v>1355</v>
      </c>
      <c r="J6" s="1738" t="s">
        <v>834</v>
      </c>
      <c r="K6" s="1738" t="s">
        <v>834</v>
      </c>
      <c r="L6" s="1752" t="s">
        <v>833</v>
      </c>
      <c r="M6" s="1752" t="s">
        <v>833</v>
      </c>
      <c r="N6" s="1738" t="s">
        <v>857</v>
      </c>
      <c r="O6" s="1738" t="s">
        <v>857</v>
      </c>
      <c r="P6" s="1738" t="s">
        <v>2995</v>
      </c>
      <c r="Q6" s="1738" t="s">
        <v>2995</v>
      </c>
      <c r="R6" s="1751" t="s">
        <v>500</v>
      </c>
      <c r="S6" s="1751" t="s">
        <v>500</v>
      </c>
      <c r="T6" s="1750"/>
      <c r="U6" s="1750"/>
    </row>
    <row r="7" spans="1:22" ht="105" customHeight="1" x14ac:dyDescent="0.2">
      <c r="A7" s="1748"/>
      <c r="B7" s="1606" t="s">
        <v>187</v>
      </c>
      <c r="C7" s="144" t="s">
        <v>245</v>
      </c>
      <c r="D7" s="1738"/>
      <c r="E7" s="1738"/>
      <c r="F7" s="1738"/>
      <c r="G7" s="1738"/>
      <c r="H7" s="1738"/>
      <c r="I7" s="1738"/>
      <c r="J7" s="1738"/>
      <c r="K7" s="1738"/>
      <c r="L7" s="1753"/>
      <c r="M7" s="1753"/>
      <c r="N7" s="1738"/>
      <c r="O7" s="1738"/>
      <c r="P7" s="1738"/>
      <c r="Q7" s="1738"/>
      <c r="R7" s="1751"/>
      <c r="S7" s="1751"/>
      <c r="T7" s="1750"/>
      <c r="U7" s="1750"/>
    </row>
    <row r="8" spans="1:22" ht="15.75" x14ac:dyDescent="0.2">
      <c r="A8" s="27" t="s">
        <v>188</v>
      </c>
      <c r="B8" s="28" t="s">
        <v>189</v>
      </c>
      <c r="C8" s="28" t="s">
        <v>190</v>
      </c>
      <c r="D8" s="419" t="s">
        <v>191</v>
      </c>
      <c r="E8" s="419" t="s">
        <v>192</v>
      </c>
      <c r="F8" s="419" t="s">
        <v>193</v>
      </c>
      <c r="G8" s="419" t="s">
        <v>194</v>
      </c>
      <c r="H8" s="419" t="s">
        <v>195</v>
      </c>
      <c r="I8" s="419" t="s">
        <v>196</v>
      </c>
      <c r="J8" s="419" t="s">
        <v>197</v>
      </c>
      <c r="K8" s="419" t="s">
        <v>198</v>
      </c>
      <c r="L8" s="419" t="s">
        <v>225</v>
      </c>
      <c r="M8" s="419" t="s">
        <v>226</v>
      </c>
      <c r="N8" s="419" t="s">
        <v>227</v>
      </c>
      <c r="O8" s="419" t="s">
        <v>228</v>
      </c>
      <c r="P8" s="419" t="s">
        <v>229</v>
      </c>
      <c r="Q8" s="419" t="s">
        <v>230</v>
      </c>
      <c r="R8" s="419" t="s">
        <v>231</v>
      </c>
      <c r="S8" s="419" t="s">
        <v>232</v>
      </c>
      <c r="T8" s="419" t="s">
        <v>233</v>
      </c>
      <c r="U8" s="419" t="s">
        <v>260</v>
      </c>
    </row>
    <row r="9" spans="1:22" ht="21.75" customHeight="1" x14ac:dyDescent="0.25">
      <c r="A9" s="29" t="s">
        <v>188</v>
      </c>
      <c r="B9" s="26" t="s">
        <v>329</v>
      </c>
      <c r="C9" s="146" t="s">
        <v>199</v>
      </c>
      <c r="D9" s="201"/>
      <c r="E9" s="201"/>
      <c r="F9" s="201">
        <v>311951905</v>
      </c>
      <c r="G9" s="201">
        <f>+F9-13106202+6900000+1008120-4000+4000+4300000-143000+143000-143000+143000-24543000+24400000+143000-8183-264116+121116+143000-24894+24894</f>
        <v>311045640</v>
      </c>
      <c r="H9" s="201"/>
      <c r="I9" s="201">
        <f>8722628+1000000+400000+243629+202065+2537880+300000-300000+300000+100000-75188+75188-579875+504687+75188-813496+737747+561+75188-15300+15300</f>
        <v>13506202</v>
      </c>
      <c r="J9" s="201"/>
      <c r="K9" s="201"/>
      <c r="L9" s="201"/>
      <c r="M9" s="201"/>
      <c r="N9" s="201"/>
      <c r="O9" s="201"/>
      <c r="P9" s="201"/>
      <c r="Q9" s="201"/>
      <c r="R9" s="201"/>
      <c r="S9" s="201"/>
      <c r="T9" s="201">
        <f>D9+F9+H9+R9+J9+L9+N9+P9</f>
        <v>311951905</v>
      </c>
      <c r="U9" s="201">
        <f>E9+G9+I9+S9+K9+M9+O9+Q9</f>
        <v>324551842</v>
      </c>
      <c r="V9" s="94"/>
    </row>
    <row r="10" spans="1:22" ht="21.75" customHeight="1" x14ac:dyDescent="0.25">
      <c r="A10" s="29" t="s">
        <v>189</v>
      </c>
      <c r="B10" s="31" t="s">
        <v>200</v>
      </c>
      <c r="C10" s="146" t="s">
        <v>201</v>
      </c>
      <c r="D10" s="201"/>
      <c r="E10" s="201"/>
      <c r="F10" s="201">
        <f>42461248+4700000+100000</f>
        <v>47261248</v>
      </c>
      <c r="G10" s="201">
        <f>+F10-1461052+897000+131056+1204000-64878</f>
        <v>47967374</v>
      </c>
      <c r="H10" s="201"/>
      <c r="I10" s="201">
        <f>1461052+39000-39000+39000+28000+64878</f>
        <v>1592930</v>
      </c>
      <c r="J10" s="201"/>
      <c r="K10" s="201"/>
      <c r="L10" s="201"/>
      <c r="M10" s="201"/>
      <c r="N10" s="201"/>
      <c r="O10" s="201"/>
      <c r="P10" s="201"/>
      <c r="Q10" s="201"/>
      <c r="R10" s="201"/>
      <c r="S10" s="201"/>
      <c r="T10" s="201">
        <f t="shared" ref="T10:T51" si="0">D10+F10+H10+R10+J10+L10+N10+P10</f>
        <v>47261248</v>
      </c>
      <c r="U10" s="201">
        <f t="shared" ref="U10:U51" si="1">E10+G10+I10+S10+K10+M10+O10+Q10</f>
        <v>49560304</v>
      </c>
      <c r="V10" s="94"/>
    </row>
    <row r="11" spans="1:22" ht="21.75" customHeight="1" x14ac:dyDescent="0.25">
      <c r="A11" s="29" t="s">
        <v>190</v>
      </c>
      <c r="B11" s="31" t="s">
        <v>330</v>
      </c>
      <c r="C11" s="146" t="s">
        <v>202</v>
      </c>
      <c r="D11" s="201"/>
      <c r="E11" s="201"/>
      <c r="F11" s="201">
        <f>+(74979110)+105560+5117846</f>
        <v>80202516</v>
      </c>
      <c r="G11" s="201">
        <f>+F11-500000+500000-100000+100000+20000+141185+38120+2238961+604519+3521039+950681+165000-100000-27000+200000-200000-54000-80000+80000+551181+148819-700000+700000+298494-198000-200000-54000-525069</f>
        <v>87722446</v>
      </c>
      <c r="H11" s="201">
        <v>762000</v>
      </c>
      <c r="I11" s="201">
        <f>+H11-500000-100000-162000</f>
        <v>0</v>
      </c>
      <c r="J11" s="201">
        <v>1016000</v>
      </c>
      <c r="K11" s="201">
        <f>+J11-26417+19417+7000-473583-216430-188193+99000+486294+8183</f>
        <v>731271</v>
      </c>
      <c r="L11" s="201"/>
      <c r="M11" s="201">
        <f>275591+74409+251969+68031-196757+196757+236220+63780-251969+251969-55212-2639+57851</f>
        <v>970000</v>
      </c>
      <c r="N11" s="201"/>
      <c r="O11" s="201"/>
      <c r="P11" s="201"/>
      <c r="Q11" s="201">
        <f>1248031+336969-228268-61632</f>
        <v>1295100</v>
      </c>
      <c r="R11" s="201"/>
      <c r="S11" s="201"/>
      <c r="T11" s="201">
        <f t="shared" si="0"/>
        <v>81980516</v>
      </c>
      <c r="U11" s="201">
        <f>E11+G11+I11+S11+K11+M11+O11+Q11</f>
        <v>90718817</v>
      </c>
      <c r="V11" s="94"/>
    </row>
    <row r="12" spans="1:22" ht="21.75" customHeight="1" x14ac:dyDescent="0.25">
      <c r="A12" s="29" t="s">
        <v>191</v>
      </c>
      <c r="B12" s="32" t="s">
        <v>331</v>
      </c>
      <c r="C12" s="146" t="s">
        <v>203</v>
      </c>
      <c r="D12" s="201"/>
      <c r="E12" s="201"/>
      <c r="F12" s="201"/>
      <c r="G12" s="201"/>
      <c r="H12" s="201"/>
      <c r="I12" s="201"/>
      <c r="J12" s="201"/>
      <c r="K12" s="201"/>
      <c r="L12" s="201"/>
      <c r="M12" s="201"/>
      <c r="N12" s="201"/>
      <c r="O12" s="201"/>
      <c r="P12" s="201"/>
      <c r="Q12" s="201"/>
      <c r="R12" s="201"/>
      <c r="S12" s="201"/>
      <c r="T12" s="201">
        <f t="shared" si="0"/>
        <v>0</v>
      </c>
      <c r="U12" s="201">
        <f t="shared" si="1"/>
        <v>0</v>
      </c>
    </row>
    <row r="13" spans="1:22" ht="21.75" customHeight="1" x14ac:dyDescent="0.25">
      <c r="A13" s="29" t="s">
        <v>192</v>
      </c>
      <c r="B13" s="32" t="s">
        <v>234</v>
      </c>
      <c r="C13" s="146" t="s">
        <v>204</v>
      </c>
      <c r="D13" s="201">
        <f t="shared" ref="D13:S13" si="2">SUM(D14:D16)</f>
        <v>0</v>
      </c>
      <c r="E13" s="201">
        <f t="shared" si="2"/>
        <v>11074052</v>
      </c>
      <c r="F13" s="201">
        <f>SUM(F14:F16)</f>
        <v>0</v>
      </c>
      <c r="G13" s="201">
        <f>SUM(G14:G16)</f>
        <v>0</v>
      </c>
      <c r="H13" s="201">
        <f t="shared" si="2"/>
        <v>0</v>
      </c>
      <c r="I13" s="201">
        <f t="shared" si="2"/>
        <v>0</v>
      </c>
      <c r="J13" s="201">
        <f t="shared" si="2"/>
        <v>0</v>
      </c>
      <c r="K13" s="201">
        <f t="shared" si="2"/>
        <v>0</v>
      </c>
      <c r="L13" s="201">
        <f t="shared" si="2"/>
        <v>0</v>
      </c>
      <c r="M13" s="201">
        <f t="shared" si="2"/>
        <v>0</v>
      </c>
      <c r="N13" s="201">
        <f t="shared" si="2"/>
        <v>0</v>
      </c>
      <c r="O13" s="201">
        <f t="shared" si="2"/>
        <v>0</v>
      </c>
      <c r="P13" s="201">
        <f t="shared" si="2"/>
        <v>0</v>
      </c>
      <c r="Q13" s="201">
        <f t="shared" si="2"/>
        <v>0</v>
      </c>
      <c r="R13" s="201">
        <f t="shared" si="2"/>
        <v>0</v>
      </c>
      <c r="S13" s="201">
        <f t="shared" si="2"/>
        <v>0</v>
      </c>
      <c r="T13" s="201">
        <f t="shared" si="0"/>
        <v>0</v>
      </c>
      <c r="U13" s="201">
        <f t="shared" si="1"/>
        <v>11074052</v>
      </c>
    </row>
    <row r="14" spans="1:22" ht="21.75" customHeight="1" x14ac:dyDescent="0.25">
      <c r="A14" s="29" t="s">
        <v>193</v>
      </c>
      <c r="B14" s="33" t="s">
        <v>570</v>
      </c>
      <c r="C14" s="146"/>
      <c r="D14" s="201"/>
      <c r="E14" s="201"/>
      <c r="F14" s="201"/>
      <c r="G14" s="201"/>
      <c r="H14" s="201"/>
      <c r="I14" s="201"/>
      <c r="J14" s="201"/>
      <c r="K14" s="201"/>
      <c r="L14" s="201"/>
      <c r="M14" s="201"/>
      <c r="N14" s="201"/>
      <c r="O14" s="201"/>
      <c r="P14" s="201"/>
      <c r="Q14" s="201"/>
      <c r="R14" s="201"/>
      <c r="S14" s="201"/>
      <c r="T14" s="201">
        <f t="shared" si="0"/>
        <v>0</v>
      </c>
      <c r="U14" s="201">
        <f t="shared" si="1"/>
        <v>0</v>
      </c>
    </row>
    <row r="15" spans="1:22" ht="21.75" customHeight="1" x14ac:dyDescent="0.25">
      <c r="A15" s="29" t="s">
        <v>194</v>
      </c>
      <c r="B15" s="33" t="s">
        <v>572</v>
      </c>
      <c r="C15" s="147"/>
      <c r="D15" s="201"/>
      <c r="E15" s="201"/>
      <c r="F15" s="201"/>
      <c r="G15" s="201"/>
      <c r="H15" s="201"/>
      <c r="I15" s="201"/>
      <c r="J15" s="201"/>
      <c r="K15" s="201"/>
      <c r="L15" s="201"/>
      <c r="M15" s="201"/>
      <c r="N15" s="201"/>
      <c r="O15" s="201"/>
      <c r="P15" s="201"/>
      <c r="Q15" s="201"/>
      <c r="R15" s="201"/>
      <c r="S15" s="201"/>
      <c r="T15" s="201">
        <f t="shared" si="0"/>
        <v>0</v>
      </c>
      <c r="U15" s="201">
        <f t="shared" si="1"/>
        <v>0</v>
      </c>
    </row>
    <row r="16" spans="1:22" ht="21.75" customHeight="1" x14ac:dyDescent="0.25">
      <c r="A16" s="29" t="s">
        <v>195</v>
      </c>
      <c r="B16" s="103" t="s">
        <v>571</v>
      </c>
      <c r="C16" s="147"/>
      <c r="D16" s="201"/>
      <c r="E16" s="201">
        <v>11074052</v>
      </c>
      <c r="F16" s="201"/>
      <c r="G16" s="201"/>
      <c r="H16" s="201"/>
      <c r="I16" s="201"/>
      <c r="J16" s="201"/>
      <c r="K16" s="201"/>
      <c r="L16" s="201"/>
      <c r="M16" s="201"/>
      <c r="N16" s="201"/>
      <c r="O16" s="201"/>
      <c r="P16" s="201"/>
      <c r="Q16" s="201"/>
      <c r="R16" s="201"/>
      <c r="S16" s="201"/>
      <c r="T16" s="201">
        <f t="shared" si="0"/>
        <v>0</v>
      </c>
      <c r="U16" s="201">
        <f t="shared" si="1"/>
        <v>11074052</v>
      </c>
    </row>
    <row r="17" spans="1:21" ht="21.75" customHeight="1" x14ac:dyDescent="0.25">
      <c r="A17" s="29" t="s">
        <v>196</v>
      </c>
      <c r="B17" s="35" t="s">
        <v>241</v>
      </c>
      <c r="C17" s="146" t="s">
        <v>205</v>
      </c>
      <c r="D17" s="201"/>
      <c r="E17" s="201"/>
      <c r="F17" s="203">
        <f>+'6.sz. Beruházások'!D150</f>
        <v>317500</v>
      </c>
      <c r="G17" s="203">
        <f>+F17-18452-4982+428386+115664+100000+27000+428386+115664+200000+54000+200000+54000</f>
        <v>2017166</v>
      </c>
      <c r="H17" s="201">
        <f>+'6.sz. Beruházások'!D151</f>
        <v>127000</v>
      </c>
      <c r="I17" s="201">
        <f>+H17-100000+855906+204094</f>
        <v>1087000</v>
      </c>
      <c r="J17" s="201"/>
      <c r="K17" s="201">
        <f>613548+165658+18452+4982</f>
        <v>802640</v>
      </c>
      <c r="L17" s="201"/>
      <c r="M17" s="201"/>
      <c r="N17" s="201"/>
      <c r="O17" s="201"/>
      <c r="P17" s="201"/>
      <c r="Q17" s="201">
        <f>228268+61632</f>
        <v>289900</v>
      </c>
      <c r="R17" s="201"/>
      <c r="S17" s="201"/>
      <c r="T17" s="201">
        <f t="shared" si="0"/>
        <v>444500</v>
      </c>
      <c r="U17" s="201">
        <f t="shared" si="1"/>
        <v>4196706</v>
      </c>
    </row>
    <row r="18" spans="1:21" ht="21.75" customHeight="1" x14ac:dyDescent="0.25">
      <c r="A18" s="29" t="s">
        <v>197</v>
      </c>
      <c r="B18" s="32" t="s">
        <v>332</v>
      </c>
      <c r="C18" s="146" t="s">
        <v>206</v>
      </c>
      <c r="D18" s="201"/>
      <c r="E18" s="201"/>
      <c r="F18" s="201"/>
      <c r="G18" s="201"/>
      <c r="H18" s="201"/>
      <c r="I18" s="201"/>
      <c r="J18" s="201"/>
      <c r="K18" s="201"/>
      <c r="L18" s="201"/>
      <c r="M18" s="201"/>
      <c r="N18" s="201"/>
      <c r="O18" s="201"/>
      <c r="P18" s="201"/>
      <c r="Q18" s="201"/>
      <c r="R18" s="201"/>
      <c r="S18" s="201"/>
      <c r="T18" s="201">
        <f t="shared" si="0"/>
        <v>0</v>
      </c>
      <c r="U18" s="201">
        <f t="shared" si="1"/>
        <v>0</v>
      </c>
    </row>
    <row r="19" spans="1:21" ht="21.75" customHeight="1" x14ac:dyDescent="0.25">
      <c r="A19" s="29" t="s">
        <v>198</v>
      </c>
      <c r="B19" s="32" t="s">
        <v>235</v>
      </c>
      <c r="C19" s="146" t="s">
        <v>207</v>
      </c>
      <c r="D19" s="201"/>
      <c r="E19" s="201"/>
      <c r="F19" s="201"/>
      <c r="G19" s="201"/>
      <c r="H19" s="201"/>
      <c r="I19" s="201"/>
      <c r="J19" s="201"/>
      <c r="K19" s="201"/>
      <c r="L19" s="201"/>
      <c r="M19" s="201"/>
      <c r="N19" s="201"/>
      <c r="O19" s="201"/>
      <c r="P19" s="201"/>
      <c r="Q19" s="201"/>
      <c r="R19" s="201"/>
      <c r="S19" s="201"/>
      <c r="T19" s="201">
        <f t="shared" si="0"/>
        <v>0</v>
      </c>
      <c r="U19" s="201">
        <f t="shared" si="1"/>
        <v>0</v>
      </c>
    </row>
    <row r="20" spans="1:21" ht="21.75" customHeight="1" x14ac:dyDescent="0.25">
      <c r="A20" s="29" t="s">
        <v>225</v>
      </c>
      <c r="B20" s="33" t="s">
        <v>573</v>
      </c>
      <c r="C20" s="146"/>
      <c r="D20" s="201"/>
      <c r="E20" s="201"/>
      <c r="F20" s="201"/>
      <c r="G20" s="201"/>
      <c r="H20" s="201"/>
      <c r="I20" s="201"/>
      <c r="J20" s="201"/>
      <c r="K20" s="201"/>
      <c r="L20" s="201"/>
      <c r="M20" s="201"/>
      <c r="N20" s="201"/>
      <c r="O20" s="201"/>
      <c r="P20" s="201"/>
      <c r="Q20" s="201"/>
      <c r="R20" s="201"/>
      <c r="S20" s="201"/>
      <c r="T20" s="201">
        <f t="shared" si="0"/>
        <v>0</v>
      </c>
      <c r="U20" s="201">
        <f t="shared" si="1"/>
        <v>0</v>
      </c>
    </row>
    <row r="21" spans="1:21" ht="21.75" customHeight="1" x14ac:dyDescent="0.25">
      <c r="A21" s="29" t="s">
        <v>226</v>
      </c>
      <c r="B21" s="35" t="s">
        <v>236</v>
      </c>
      <c r="C21" s="146" t="s">
        <v>208</v>
      </c>
      <c r="D21" s="202">
        <f t="shared" ref="D21:R21" si="3">+D9+D10+D11+D12+D13+D17+D18+D19</f>
        <v>0</v>
      </c>
      <c r="E21" s="202">
        <f>+E9+E10+E11+E12+E13+E17+E18+E19</f>
        <v>11074052</v>
      </c>
      <c r="F21" s="202">
        <f t="shared" si="3"/>
        <v>439733169</v>
      </c>
      <c r="G21" s="202">
        <f>+G9+G10+G11+G12+G13+G17+G18+G19</f>
        <v>448752626</v>
      </c>
      <c r="H21" s="202">
        <f t="shared" si="3"/>
        <v>889000</v>
      </c>
      <c r="I21" s="202">
        <f>+I9+I10+I11+I12+I13+I17+I18+I19</f>
        <v>16186132</v>
      </c>
      <c r="J21" s="202">
        <f t="shared" si="3"/>
        <v>1016000</v>
      </c>
      <c r="K21" s="202">
        <f>+K9+K10+K11+K12+K13+K17+K18+K19</f>
        <v>1533911</v>
      </c>
      <c r="L21" s="202">
        <f t="shared" si="3"/>
        <v>0</v>
      </c>
      <c r="M21" s="202">
        <f>+M9+M10+M11+M12+M13+M17+M18+M19</f>
        <v>970000</v>
      </c>
      <c r="N21" s="202">
        <f t="shared" si="3"/>
        <v>0</v>
      </c>
      <c r="O21" s="202">
        <f>+O9+O10+O11+O12+O13+O17+O18+O19</f>
        <v>0</v>
      </c>
      <c r="P21" s="202">
        <f t="shared" ref="P21:Q21" si="4">+P9+P10+P11+P12+P13+P17+P18+P19</f>
        <v>0</v>
      </c>
      <c r="Q21" s="202">
        <f t="shared" si="4"/>
        <v>1585000</v>
      </c>
      <c r="R21" s="202">
        <f t="shared" si="3"/>
        <v>0</v>
      </c>
      <c r="S21" s="202">
        <f>+S9+S10+S11+S12+S13+S17+S18+S19</f>
        <v>0</v>
      </c>
      <c r="T21" s="201">
        <f t="shared" si="0"/>
        <v>441638169</v>
      </c>
      <c r="U21" s="201">
        <f t="shared" si="1"/>
        <v>480101721</v>
      </c>
    </row>
    <row r="22" spans="1:21" ht="21.75" customHeight="1" x14ac:dyDescent="0.25">
      <c r="A22" s="29" t="s">
        <v>227</v>
      </c>
      <c r="B22" s="35" t="s">
        <v>221</v>
      </c>
      <c r="C22" s="146" t="s">
        <v>217</v>
      </c>
      <c r="D22" s="201">
        <f t="shared" ref="D22:R22" si="5">SUM(D23:D26)</f>
        <v>0</v>
      </c>
      <c r="E22" s="201">
        <f>SUM(E23:E26)</f>
        <v>0</v>
      </c>
      <c r="F22" s="201">
        <f t="shared" si="5"/>
        <v>0</v>
      </c>
      <c r="G22" s="201">
        <f>SUM(G23:G26)</f>
        <v>0</v>
      </c>
      <c r="H22" s="201">
        <f t="shared" si="5"/>
        <v>0</v>
      </c>
      <c r="I22" s="201">
        <f>SUM(I23:I26)</f>
        <v>0</v>
      </c>
      <c r="J22" s="201">
        <f t="shared" si="5"/>
        <v>0</v>
      </c>
      <c r="K22" s="201">
        <f>SUM(K23:K26)</f>
        <v>0</v>
      </c>
      <c r="L22" s="201">
        <f t="shared" si="5"/>
        <v>0</v>
      </c>
      <c r="M22" s="201">
        <f>SUM(M23:M26)</f>
        <v>0</v>
      </c>
      <c r="N22" s="201">
        <f t="shared" si="5"/>
        <v>0</v>
      </c>
      <c r="O22" s="201">
        <f>SUM(O23:O26)</f>
        <v>0</v>
      </c>
      <c r="P22" s="201">
        <f t="shared" ref="P22:Q22" si="6">SUM(P23:P26)</f>
        <v>0</v>
      </c>
      <c r="Q22" s="201">
        <f t="shared" si="6"/>
        <v>0</v>
      </c>
      <c r="R22" s="201">
        <f t="shared" si="5"/>
        <v>0</v>
      </c>
      <c r="S22" s="201">
        <f>SUM(S23:S26)</f>
        <v>0</v>
      </c>
      <c r="T22" s="201">
        <f t="shared" si="0"/>
        <v>0</v>
      </c>
      <c r="U22" s="201">
        <f t="shared" si="1"/>
        <v>0</v>
      </c>
    </row>
    <row r="23" spans="1:21" ht="21.75" customHeight="1" x14ac:dyDescent="0.25">
      <c r="A23" s="29" t="s">
        <v>228</v>
      </c>
      <c r="B23" s="105" t="s">
        <v>183</v>
      </c>
      <c r="C23" s="147"/>
      <c r="D23" s="201"/>
      <c r="E23" s="201"/>
      <c r="F23" s="201"/>
      <c r="G23" s="201"/>
      <c r="H23" s="201"/>
      <c r="I23" s="201"/>
      <c r="J23" s="201"/>
      <c r="K23" s="201"/>
      <c r="L23" s="201"/>
      <c r="M23" s="201"/>
      <c r="N23" s="201"/>
      <c r="O23" s="201"/>
      <c r="P23" s="201"/>
      <c r="Q23" s="201"/>
      <c r="R23" s="201"/>
      <c r="S23" s="201"/>
      <c r="T23" s="201">
        <f t="shared" si="0"/>
        <v>0</v>
      </c>
      <c r="U23" s="201">
        <f t="shared" si="1"/>
        <v>0</v>
      </c>
    </row>
    <row r="24" spans="1:21" ht="21.75" customHeight="1" x14ac:dyDescent="0.25">
      <c r="A24" s="29" t="s">
        <v>229</v>
      </c>
      <c r="B24" s="36" t="s">
        <v>553</v>
      </c>
      <c r="C24" s="147"/>
      <c r="D24" s="201"/>
      <c r="E24" s="201"/>
      <c r="F24" s="201"/>
      <c r="G24" s="201"/>
      <c r="H24" s="201"/>
      <c r="I24" s="201"/>
      <c r="J24" s="201"/>
      <c r="K24" s="201"/>
      <c r="L24" s="201"/>
      <c r="M24" s="201"/>
      <c r="N24" s="201"/>
      <c r="O24" s="201"/>
      <c r="P24" s="201"/>
      <c r="Q24" s="201"/>
      <c r="R24" s="201"/>
      <c r="S24" s="201"/>
      <c r="T24" s="201">
        <f t="shared" si="0"/>
        <v>0</v>
      </c>
      <c r="U24" s="201">
        <f t="shared" si="1"/>
        <v>0</v>
      </c>
    </row>
    <row r="25" spans="1:21" ht="21.75" customHeight="1" x14ac:dyDescent="0.25">
      <c r="A25" s="29" t="s">
        <v>230</v>
      </c>
      <c r="B25" s="36" t="s">
        <v>554</v>
      </c>
      <c r="C25" s="147"/>
      <c r="D25" s="201"/>
      <c r="E25" s="201"/>
      <c r="F25" s="201"/>
      <c r="G25" s="201"/>
      <c r="H25" s="201"/>
      <c r="I25" s="201"/>
      <c r="J25" s="201"/>
      <c r="K25" s="201"/>
      <c r="L25" s="201"/>
      <c r="M25" s="201"/>
      <c r="N25" s="201"/>
      <c r="O25" s="201"/>
      <c r="P25" s="201"/>
      <c r="Q25" s="201"/>
      <c r="R25" s="201"/>
      <c r="S25" s="201"/>
      <c r="T25" s="201">
        <f t="shared" si="0"/>
        <v>0</v>
      </c>
      <c r="U25" s="201">
        <f t="shared" si="1"/>
        <v>0</v>
      </c>
    </row>
    <row r="26" spans="1:21" ht="21.75" customHeight="1" x14ac:dyDescent="0.25">
      <c r="A26" s="29" t="s">
        <v>231</v>
      </c>
      <c r="B26" s="36" t="s">
        <v>127</v>
      </c>
      <c r="C26" s="147"/>
      <c r="D26" s="201"/>
      <c r="E26" s="201"/>
      <c r="F26" s="201"/>
      <c r="G26" s="201"/>
      <c r="H26" s="201"/>
      <c r="I26" s="201"/>
      <c r="J26" s="201"/>
      <c r="K26" s="201"/>
      <c r="L26" s="201"/>
      <c r="M26" s="201"/>
      <c r="N26" s="201"/>
      <c r="O26" s="201"/>
      <c r="P26" s="201"/>
      <c r="Q26" s="201"/>
      <c r="R26" s="201"/>
      <c r="S26" s="201"/>
      <c r="T26" s="201">
        <f t="shared" si="0"/>
        <v>0</v>
      </c>
      <c r="U26" s="201">
        <f t="shared" si="1"/>
        <v>0</v>
      </c>
    </row>
    <row r="27" spans="1:21" ht="21.75" customHeight="1" x14ac:dyDescent="0.25">
      <c r="A27" s="29" t="s">
        <v>232</v>
      </c>
      <c r="B27" s="267" t="s">
        <v>816</v>
      </c>
      <c r="C27" s="147"/>
      <c r="D27" s="201"/>
      <c r="E27" s="201"/>
      <c r="F27" s="201"/>
      <c r="G27" s="201"/>
      <c r="H27" s="201"/>
      <c r="I27" s="201"/>
      <c r="J27" s="201"/>
      <c r="K27" s="201"/>
      <c r="L27" s="201"/>
      <c r="M27" s="201"/>
      <c r="N27" s="201"/>
      <c r="O27" s="201"/>
      <c r="P27" s="201"/>
      <c r="Q27" s="201"/>
      <c r="R27" s="201"/>
      <c r="S27" s="201"/>
      <c r="T27" s="201">
        <f t="shared" si="0"/>
        <v>0</v>
      </c>
      <c r="U27" s="201">
        <f t="shared" si="1"/>
        <v>0</v>
      </c>
    </row>
    <row r="28" spans="1:21" s="39" customFormat="1" ht="21.75" customHeight="1" x14ac:dyDescent="0.25">
      <c r="A28" s="29" t="s">
        <v>233</v>
      </c>
      <c r="B28" s="37" t="s">
        <v>32</v>
      </c>
      <c r="C28" s="146"/>
      <c r="D28" s="202">
        <f t="shared" ref="D28:S28" si="7">+D9+D10+D11+D12+D13+D23+D24</f>
        <v>0</v>
      </c>
      <c r="E28" s="202">
        <f t="shared" si="7"/>
        <v>11074052</v>
      </c>
      <c r="F28" s="202">
        <f t="shared" si="7"/>
        <v>439415669</v>
      </c>
      <c r="G28" s="202">
        <f t="shared" si="7"/>
        <v>446735460</v>
      </c>
      <c r="H28" s="202">
        <f t="shared" si="7"/>
        <v>762000</v>
      </c>
      <c r="I28" s="202">
        <f t="shared" si="7"/>
        <v>15099132</v>
      </c>
      <c r="J28" s="202">
        <f t="shared" si="7"/>
        <v>1016000</v>
      </c>
      <c r="K28" s="202">
        <f t="shared" si="7"/>
        <v>731271</v>
      </c>
      <c r="L28" s="202">
        <f t="shared" si="7"/>
        <v>0</v>
      </c>
      <c r="M28" s="202">
        <f t="shared" si="7"/>
        <v>970000</v>
      </c>
      <c r="N28" s="202">
        <f t="shared" si="7"/>
        <v>0</v>
      </c>
      <c r="O28" s="202">
        <f t="shared" si="7"/>
        <v>0</v>
      </c>
      <c r="P28" s="202">
        <f t="shared" ref="P28:Q28" si="8">+P9+P10+P11+P12+P13+P23+P24</f>
        <v>0</v>
      </c>
      <c r="Q28" s="202">
        <f t="shared" si="8"/>
        <v>1295100</v>
      </c>
      <c r="R28" s="202">
        <f t="shared" si="7"/>
        <v>0</v>
      </c>
      <c r="S28" s="202">
        <f t="shared" si="7"/>
        <v>0</v>
      </c>
      <c r="T28" s="201">
        <f t="shared" si="0"/>
        <v>441193669</v>
      </c>
      <c r="U28" s="201">
        <f>E28+G28+I28+S28+K28+M28+O28+Q28</f>
        <v>475905015</v>
      </c>
    </row>
    <row r="29" spans="1:21" s="39" customFormat="1" ht="21.75" customHeight="1" x14ac:dyDescent="0.25">
      <c r="A29" s="29" t="s">
        <v>260</v>
      </c>
      <c r="B29" s="37" t="s">
        <v>33</v>
      </c>
      <c r="C29" s="146"/>
      <c r="D29" s="202">
        <f t="shared" ref="D29:R29" si="9">+D17+D18+D19+D25+D26</f>
        <v>0</v>
      </c>
      <c r="E29" s="202">
        <f>+E17+E18+E19+E25+E26</f>
        <v>0</v>
      </c>
      <c r="F29" s="202">
        <f t="shared" si="9"/>
        <v>317500</v>
      </c>
      <c r="G29" s="202">
        <f>+G17+G18+G19+G25+G26</f>
        <v>2017166</v>
      </c>
      <c r="H29" s="202">
        <f t="shared" si="9"/>
        <v>127000</v>
      </c>
      <c r="I29" s="202">
        <f>+I17+I18+I19+I25+I26</f>
        <v>1087000</v>
      </c>
      <c r="J29" s="202">
        <f t="shared" si="9"/>
        <v>0</v>
      </c>
      <c r="K29" s="202">
        <f>+K17+K18+K19+K25+K26</f>
        <v>802640</v>
      </c>
      <c r="L29" s="202">
        <f t="shared" si="9"/>
        <v>0</v>
      </c>
      <c r="M29" s="202">
        <f>+M17+M18+M19+M25+M26</f>
        <v>0</v>
      </c>
      <c r="N29" s="202">
        <f>+N17+N18+N19+N25+N26</f>
        <v>0</v>
      </c>
      <c r="O29" s="202">
        <f>+O17+O18+O19+O25+O26</f>
        <v>0</v>
      </c>
      <c r="P29" s="202">
        <f t="shared" ref="P29:Q29" si="10">+P17+P18+P19+P25+P26</f>
        <v>0</v>
      </c>
      <c r="Q29" s="202">
        <f t="shared" si="10"/>
        <v>289900</v>
      </c>
      <c r="R29" s="202">
        <f t="shared" si="9"/>
        <v>0</v>
      </c>
      <c r="S29" s="202">
        <f>+S17+S18+S19+S25+S26</f>
        <v>0</v>
      </c>
      <c r="T29" s="201">
        <f t="shared" si="0"/>
        <v>444500</v>
      </c>
      <c r="U29" s="201">
        <f t="shared" si="1"/>
        <v>4196706</v>
      </c>
    </row>
    <row r="30" spans="1:21" s="39" customFormat="1" ht="21.75" customHeight="1" x14ac:dyDescent="0.25">
      <c r="A30" s="29" t="s">
        <v>261</v>
      </c>
      <c r="B30" s="37" t="s">
        <v>327</v>
      </c>
      <c r="C30" s="146" t="s">
        <v>31</v>
      </c>
      <c r="D30" s="202">
        <f t="shared" ref="D30:R30" si="11">SUM(D28:D29)</f>
        <v>0</v>
      </c>
      <c r="E30" s="202">
        <f>SUM(E28:E29)</f>
        <v>11074052</v>
      </c>
      <c r="F30" s="202">
        <f t="shared" si="11"/>
        <v>439733169</v>
      </c>
      <c r="G30" s="202">
        <f>SUM(G28:G29)</f>
        <v>448752626</v>
      </c>
      <c r="H30" s="202">
        <f t="shared" si="11"/>
        <v>889000</v>
      </c>
      <c r="I30" s="202">
        <f>SUM(I28:I29)</f>
        <v>16186132</v>
      </c>
      <c r="J30" s="202">
        <f t="shared" si="11"/>
        <v>1016000</v>
      </c>
      <c r="K30" s="202">
        <f>SUM(K28:K29)</f>
        <v>1533911</v>
      </c>
      <c r="L30" s="202">
        <f t="shared" si="11"/>
        <v>0</v>
      </c>
      <c r="M30" s="202">
        <f>SUM(M28:M29)</f>
        <v>970000</v>
      </c>
      <c r="N30" s="202">
        <f>SUM(N28:N29)</f>
        <v>0</v>
      </c>
      <c r="O30" s="202">
        <f>SUM(O28:O29)</f>
        <v>0</v>
      </c>
      <c r="P30" s="202">
        <f t="shared" ref="P30:Q30" si="12">SUM(P28:P29)</f>
        <v>0</v>
      </c>
      <c r="Q30" s="202">
        <f t="shared" si="12"/>
        <v>1585000</v>
      </c>
      <c r="R30" s="202">
        <f t="shared" si="11"/>
        <v>0</v>
      </c>
      <c r="S30" s="202">
        <f>SUM(S28:S29)</f>
        <v>0</v>
      </c>
      <c r="T30" s="201">
        <f t="shared" si="0"/>
        <v>441638169</v>
      </c>
      <c r="U30" s="201">
        <f>E30+G30+I30+S30+K30+M30+O30+Q30</f>
        <v>480101721</v>
      </c>
    </row>
    <row r="31" spans="1:21" ht="21.75" customHeight="1" x14ac:dyDescent="0.25">
      <c r="A31" s="29" t="s">
        <v>262</v>
      </c>
      <c r="B31" s="31" t="s">
        <v>52</v>
      </c>
      <c r="C31" s="35" t="s">
        <v>209</v>
      </c>
      <c r="D31" s="201"/>
      <c r="E31" s="201"/>
      <c r="F31" s="201"/>
      <c r="G31" s="201"/>
      <c r="H31" s="201"/>
      <c r="I31" s="201"/>
      <c r="J31" s="201"/>
      <c r="K31" s="201"/>
      <c r="L31" s="201"/>
      <c r="M31" s="201">
        <v>350000</v>
      </c>
      <c r="N31" s="201"/>
      <c r="O31" s="201"/>
      <c r="P31" s="201"/>
      <c r="Q31" s="201"/>
      <c r="R31" s="201"/>
      <c r="S31" s="201"/>
      <c r="T31" s="201">
        <f t="shared" si="0"/>
        <v>0</v>
      </c>
      <c r="U31" s="201">
        <f t="shared" si="1"/>
        <v>350000</v>
      </c>
    </row>
    <row r="32" spans="1:21" ht="21.75" customHeight="1" x14ac:dyDescent="0.25">
      <c r="A32" s="29" t="s">
        <v>263</v>
      </c>
      <c r="B32" s="31" t="s">
        <v>220</v>
      </c>
      <c r="C32" s="35" t="s">
        <v>210</v>
      </c>
      <c r="D32" s="201"/>
      <c r="E32" s="201"/>
      <c r="F32" s="201"/>
      <c r="G32" s="201"/>
      <c r="H32" s="201"/>
      <c r="I32" s="201"/>
      <c r="J32" s="201"/>
      <c r="K32" s="201"/>
      <c r="L32" s="201"/>
      <c r="M32" s="201"/>
      <c r="N32" s="201"/>
      <c r="O32" s="201"/>
      <c r="P32" s="201"/>
      <c r="Q32" s="201"/>
      <c r="R32" s="201"/>
      <c r="S32" s="201"/>
      <c r="T32" s="201">
        <f t="shared" si="0"/>
        <v>0</v>
      </c>
      <c r="U32" s="201">
        <f t="shared" si="1"/>
        <v>0</v>
      </c>
    </row>
    <row r="33" spans="1:21" ht="21.75" customHeight="1" x14ac:dyDescent="0.25">
      <c r="A33" s="29" t="s">
        <v>264</v>
      </c>
      <c r="B33" s="31" t="s">
        <v>219</v>
      </c>
      <c r="C33" s="35" t="s">
        <v>211</v>
      </c>
      <c r="D33" s="201"/>
      <c r="E33" s="201"/>
      <c r="F33" s="201"/>
      <c r="G33" s="201"/>
      <c r="H33" s="201"/>
      <c r="I33" s="201"/>
      <c r="J33" s="201"/>
      <c r="K33" s="201"/>
      <c r="L33" s="201"/>
      <c r="M33" s="201"/>
      <c r="N33" s="201"/>
      <c r="O33" s="201"/>
      <c r="P33" s="201"/>
      <c r="Q33" s="201"/>
      <c r="R33" s="201"/>
      <c r="S33" s="201"/>
      <c r="T33" s="201">
        <f t="shared" si="0"/>
        <v>0</v>
      </c>
      <c r="U33" s="201">
        <f t="shared" si="1"/>
        <v>0</v>
      </c>
    </row>
    <row r="34" spans="1:21" ht="21.75" customHeight="1" x14ac:dyDescent="0.25">
      <c r="A34" s="29" t="s">
        <v>265</v>
      </c>
      <c r="B34" s="32" t="s">
        <v>0</v>
      </c>
      <c r="C34" s="35" t="s">
        <v>212</v>
      </c>
      <c r="D34" s="201"/>
      <c r="E34" s="201"/>
      <c r="F34" s="201">
        <v>300030</v>
      </c>
      <c r="G34" s="201">
        <f>+F34+20000+200000+700000+784788-11000-17-514052</f>
        <v>1479749</v>
      </c>
      <c r="H34" s="201"/>
      <c r="I34" s="201"/>
      <c r="J34" s="201"/>
      <c r="K34" s="201"/>
      <c r="L34" s="201"/>
      <c r="M34" s="201"/>
      <c r="N34" s="201"/>
      <c r="O34" s="201"/>
      <c r="P34" s="201"/>
      <c r="Q34" s="201"/>
      <c r="R34" s="201"/>
      <c r="S34" s="201"/>
      <c r="T34" s="201">
        <f t="shared" si="0"/>
        <v>300030</v>
      </c>
      <c r="U34" s="201">
        <f t="shared" si="1"/>
        <v>1479749</v>
      </c>
    </row>
    <row r="35" spans="1:21" ht="21.75" customHeight="1" x14ac:dyDescent="0.25">
      <c r="A35" s="29" t="s">
        <v>266</v>
      </c>
      <c r="B35" s="31" t="s">
        <v>242</v>
      </c>
      <c r="C35" s="35" t="s">
        <v>213</v>
      </c>
      <c r="D35" s="201"/>
      <c r="E35" s="201"/>
      <c r="F35" s="201"/>
      <c r="G35" s="201"/>
      <c r="H35" s="201"/>
      <c r="I35" s="201"/>
      <c r="J35" s="201"/>
      <c r="K35" s="201"/>
      <c r="L35" s="201"/>
      <c r="M35" s="201"/>
      <c r="N35" s="201"/>
      <c r="O35" s="201"/>
      <c r="P35" s="201"/>
      <c r="Q35" s="201"/>
      <c r="R35" s="201"/>
      <c r="S35" s="201"/>
      <c r="T35" s="201">
        <f t="shared" si="0"/>
        <v>0</v>
      </c>
      <c r="U35" s="201">
        <f t="shared" si="1"/>
        <v>0</v>
      </c>
    </row>
    <row r="36" spans="1:21" ht="21.75" customHeight="1" x14ac:dyDescent="0.25">
      <c r="A36" s="29" t="s">
        <v>267</v>
      </c>
      <c r="B36" s="31" t="s">
        <v>237</v>
      </c>
      <c r="C36" s="35" t="s">
        <v>214</v>
      </c>
      <c r="D36" s="201"/>
      <c r="E36" s="201"/>
      <c r="F36" s="201"/>
      <c r="G36" s="201"/>
      <c r="H36" s="201"/>
      <c r="I36" s="201"/>
      <c r="J36" s="201"/>
      <c r="K36" s="201"/>
      <c r="L36" s="201"/>
      <c r="M36" s="201"/>
      <c r="N36" s="201"/>
      <c r="O36" s="201"/>
      <c r="P36" s="201"/>
      <c r="Q36" s="201">
        <v>1585000</v>
      </c>
      <c r="R36" s="201"/>
      <c r="S36" s="201"/>
      <c r="T36" s="201">
        <f t="shared" si="0"/>
        <v>0</v>
      </c>
      <c r="U36" s="201">
        <f>E36+G36+I36+S36+K36+M36+O36+Q36</f>
        <v>1585000</v>
      </c>
    </row>
    <row r="37" spans="1:21" ht="21.75" customHeight="1" x14ac:dyDescent="0.25">
      <c r="A37" s="29" t="s">
        <v>268</v>
      </c>
      <c r="B37" s="31" t="s">
        <v>238</v>
      </c>
      <c r="C37" s="35" t="s">
        <v>215</v>
      </c>
      <c r="D37" s="201"/>
      <c r="E37" s="201"/>
      <c r="F37" s="201"/>
      <c r="G37" s="201"/>
      <c r="H37" s="201"/>
      <c r="I37" s="201"/>
      <c r="J37" s="201"/>
      <c r="K37" s="201"/>
      <c r="L37" s="201"/>
      <c r="M37" s="201"/>
      <c r="N37" s="201"/>
      <c r="O37" s="201"/>
      <c r="P37" s="201"/>
      <c r="Q37" s="201"/>
      <c r="R37" s="201"/>
      <c r="S37" s="201"/>
      <c r="T37" s="201">
        <f t="shared" si="0"/>
        <v>0</v>
      </c>
      <c r="U37" s="201">
        <f t="shared" si="1"/>
        <v>0</v>
      </c>
    </row>
    <row r="38" spans="1:21" ht="21.75" customHeight="1" x14ac:dyDescent="0.25">
      <c r="A38" s="29" t="s">
        <v>269</v>
      </c>
      <c r="B38" s="32" t="s">
        <v>239</v>
      </c>
      <c r="C38" s="35" t="s">
        <v>216</v>
      </c>
      <c r="D38" s="202">
        <f t="shared" ref="D38:R38" si="13">+D31+D32+D33+D34+D35+D36+D37</f>
        <v>0</v>
      </c>
      <c r="E38" s="202">
        <f>+E31+E32+E33+E34+E35+E36+E37</f>
        <v>0</v>
      </c>
      <c r="F38" s="202">
        <f t="shared" si="13"/>
        <v>300030</v>
      </c>
      <c r="G38" s="202">
        <f>+G31+G32+G33+G34+G35+G36+G37</f>
        <v>1479749</v>
      </c>
      <c r="H38" s="202">
        <f t="shared" si="13"/>
        <v>0</v>
      </c>
      <c r="I38" s="202">
        <f>+I31+I32+I33+I34+I35+I36+I37</f>
        <v>0</v>
      </c>
      <c r="J38" s="202">
        <f t="shared" si="13"/>
        <v>0</v>
      </c>
      <c r="K38" s="202">
        <f>+K31+K32+K33+K34+K35+K36+K37</f>
        <v>0</v>
      </c>
      <c r="L38" s="202">
        <f t="shared" si="13"/>
        <v>0</v>
      </c>
      <c r="M38" s="202">
        <f>+M31+M32+M33+M34+M35+M36+M37</f>
        <v>350000</v>
      </c>
      <c r="N38" s="202">
        <f>+N31+N32+N33+N34+N35+N36+N37</f>
        <v>0</v>
      </c>
      <c r="O38" s="202">
        <f>+O31+O32+O33+O34+O35+O36+O37</f>
        <v>0</v>
      </c>
      <c r="P38" s="202">
        <f t="shared" ref="P38:Q38" si="14">+P31+P32+P33+P34+P35+P36+P37</f>
        <v>0</v>
      </c>
      <c r="Q38" s="202">
        <f t="shared" si="14"/>
        <v>1585000</v>
      </c>
      <c r="R38" s="202">
        <f t="shared" si="13"/>
        <v>0</v>
      </c>
      <c r="S38" s="202">
        <f>+S31+S32+S33+S34+S35+S36+S37</f>
        <v>0</v>
      </c>
      <c r="T38" s="201">
        <f t="shared" si="0"/>
        <v>300030</v>
      </c>
      <c r="U38" s="201">
        <f>E38+G38+I38+S38+K38+M38+O38+Q38</f>
        <v>3414749</v>
      </c>
    </row>
    <row r="39" spans="1:21" ht="21.75" customHeight="1" x14ac:dyDescent="0.25">
      <c r="A39" s="29" t="s">
        <v>270</v>
      </c>
      <c r="B39" s="35" t="s">
        <v>240</v>
      </c>
      <c r="C39" s="146" t="s">
        <v>218</v>
      </c>
      <c r="D39" s="201">
        <f t="shared" ref="D39:R39" si="15">SUM(D41:D45)</f>
        <v>441338139</v>
      </c>
      <c r="E39" s="201">
        <f>SUM(E41:E45)</f>
        <v>476686972</v>
      </c>
      <c r="F39" s="201">
        <f t="shared" si="15"/>
        <v>0</v>
      </c>
      <c r="G39" s="201">
        <f>SUM(G41:G45)</f>
        <v>0</v>
      </c>
      <c r="H39" s="201">
        <f t="shared" si="15"/>
        <v>0</v>
      </c>
      <c r="I39" s="201">
        <f>SUM(I41:I45)</f>
        <v>0</v>
      </c>
      <c r="J39" s="201">
        <f t="shared" si="15"/>
        <v>0</v>
      </c>
      <c r="K39" s="201">
        <f>SUM(K41:K45)</f>
        <v>0</v>
      </c>
      <c r="L39" s="201">
        <f t="shared" si="15"/>
        <v>0</v>
      </c>
      <c r="M39" s="201">
        <f>SUM(M41:M45)</f>
        <v>0</v>
      </c>
      <c r="N39" s="201">
        <f>SUM(N41:N45)</f>
        <v>0</v>
      </c>
      <c r="O39" s="201">
        <f>SUM(O41:O45)</f>
        <v>0</v>
      </c>
      <c r="P39" s="201">
        <f t="shared" ref="P39:Q39" si="16">SUM(P41:P45)</f>
        <v>0</v>
      </c>
      <c r="Q39" s="201">
        <f t="shared" si="16"/>
        <v>0</v>
      </c>
      <c r="R39" s="201">
        <f t="shared" si="15"/>
        <v>0</v>
      </c>
      <c r="S39" s="201">
        <f>SUM(S41:S45)</f>
        <v>0</v>
      </c>
      <c r="T39" s="201">
        <f t="shared" si="0"/>
        <v>441338139</v>
      </c>
      <c r="U39" s="201">
        <f t="shared" si="1"/>
        <v>476686972</v>
      </c>
    </row>
    <row r="40" spans="1:21" ht="21.75" customHeight="1" x14ac:dyDescent="0.25">
      <c r="A40" s="29" t="s">
        <v>271</v>
      </c>
      <c r="B40" s="105" t="s">
        <v>566</v>
      </c>
      <c r="C40" s="146"/>
      <c r="D40" s="201"/>
      <c r="E40" s="201"/>
      <c r="F40" s="201"/>
      <c r="G40" s="201"/>
      <c r="H40" s="201"/>
      <c r="I40" s="201"/>
      <c r="J40" s="201"/>
      <c r="K40" s="201"/>
      <c r="L40" s="201"/>
      <c r="M40" s="201"/>
      <c r="N40" s="201"/>
      <c r="O40" s="201"/>
      <c r="P40" s="201"/>
      <c r="Q40" s="201"/>
      <c r="R40" s="201"/>
      <c r="S40" s="201"/>
      <c r="T40" s="201">
        <f t="shared" si="0"/>
        <v>0</v>
      </c>
      <c r="U40" s="201">
        <f t="shared" si="1"/>
        <v>0</v>
      </c>
    </row>
    <row r="41" spans="1:21" ht="21.75" customHeight="1" x14ac:dyDescent="0.25">
      <c r="A41" s="29" t="s">
        <v>272</v>
      </c>
      <c r="B41" s="36" t="s">
        <v>846</v>
      </c>
      <c r="C41" s="147"/>
      <c r="D41" s="201">
        <f>105560+5117846</f>
        <v>5223406</v>
      </c>
      <c r="E41" s="201">
        <f>+D41+11074052</f>
        <v>16297458</v>
      </c>
      <c r="F41" s="201"/>
      <c r="G41" s="201"/>
      <c r="H41" s="201"/>
      <c r="I41" s="201"/>
      <c r="J41" s="201"/>
      <c r="K41" s="201"/>
      <c r="L41" s="201"/>
      <c r="M41" s="201"/>
      <c r="N41" s="201"/>
      <c r="O41" s="201"/>
      <c r="P41" s="201"/>
      <c r="Q41" s="201"/>
      <c r="R41" s="201"/>
      <c r="S41" s="201"/>
      <c r="T41" s="201">
        <f t="shared" si="0"/>
        <v>5223406</v>
      </c>
      <c r="U41" s="201">
        <f t="shared" si="1"/>
        <v>16297458</v>
      </c>
    </row>
    <row r="42" spans="1:21" ht="21.75" customHeight="1" x14ac:dyDescent="0.25">
      <c r="A42" s="29" t="s">
        <v>276</v>
      </c>
      <c r="B42" s="36" t="s">
        <v>847</v>
      </c>
      <c r="C42" s="147"/>
      <c r="D42" s="201"/>
      <c r="E42" s="201"/>
      <c r="F42" s="201"/>
      <c r="G42" s="201"/>
      <c r="H42" s="201"/>
      <c r="I42" s="201"/>
      <c r="J42" s="201"/>
      <c r="K42" s="201"/>
      <c r="L42" s="201"/>
      <c r="M42" s="201"/>
      <c r="N42" s="201"/>
      <c r="O42" s="201"/>
      <c r="P42" s="201"/>
      <c r="Q42" s="201"/>
      <c r="R42" s="201"/>
      <c r="S42" s="201"/>
      <c r="T42" s="201">
        <f t="shared" si="0"/>
        <v>0</v>
      </c>
      <c r="U42" s="201">
        <f t="shared" si="1"/>
        <v>0</v>
      </c>
    </row>
    <row r="43" spans="1:21" ht="21.75" customHeight="1" x14ac:dyDescent="0.25">
      <c r="A43" s="29" t="s">
        <v>277</v>
      </c>
      <c r="B43" s="36" t="s">
        <v>539</v>
      </c>
      <c r="C43" s="147"/>
      <c r="D43" s="201">
        <f>+T28-T31-T33-T34-T36-T41</f>
        <v>435670233</v>
      </c>
      <c r="E43" s="201">
        <f>+U28-U31-U33-U34-U36-U41</f>
        <v>456192808</v>
      </c>
      <c r="F43" s="201"/>
      <c r="G43" s="201"/>
      <c r="H43" s="201"/>
      <c r="I43" s="201"/>
      <c r="J43" s="201"/>
      <c r="K43" s="201"/>
      <c r="L43" s="201"/>
      <c r="M43" s="201"/>
      <c r="N43" s="201"/>
      <c r="O43" s="201"/>
      <c r="P43" s="201"/>
      <c r="Q43" s="201"/>
      <c r="R43" s="201"/>
      <c r="S43" s="201"/>
      <c r="T43" s="201">
        <f t="shared" si="0"/>
        <v>435670233</v>
      </c>
      <c r="U43" s="201">
        <f t="shared" si="1"/>
        <v>456192808</v>
      </c>
    </row>
    <row r="44" spans="1:21" ht="21.75" customHeight="1" x14ac:dyDescent="0.25">
      <c r="A44" s="29" t="s">
        <v>278</v>
      </c>
      <c r="B44" s="36" t="s">
        <v>540</v>
      </c>
      <c r="C44" s="147"/>
      <c r="D44" s="201">
        <f>+T29-T32-T35-T37-T42</f>
        <v>444500</v>
      </c>
      <c r="E44" s="201">
        <f>+U29-U32-U35-U37-U42</f>
        <v>4196706</v>
      </c>
      <c r="F44" s="201"/>
      <c r="G44" s="201"/>
      <c r="H44" s="201"/>
      <c r="I44" s="201"/>
      <c r="J44" s="201"/>
      <c r="K44" s="201"/>
      <c r="L44" s="201"/>
      <c r="M44" s="201"/>
      <c r="N44" s="201"/>
      <c r="O44" s="201"/>
      <c r="P44" s="201"/>
      <c r="Q44" s="201"/>
      <c r="R44" s="201"/>
      <c r="S44" s="201"/>
      <c r="T44" s="201">
        <f t="shared" si="0"/>
        <v>444500</v>
      </c>
      <c r="U44" s="201">
        <f t="shared" si="1"/>
        <v>4196706</v>
      </c>
    </row>
    <row r="45" spans="1:21" ht="21.75" customHeight="1" x14ac:dyDescent="0.25">
      <c r="A45" s="29" t="s">
        <v>279</v>
      </c>
      <c r="B45" s="36" t="s">
        <v>574</v>
      </c>
      <c r="C45" s="147"/>
      <c r="D45" s="201"/>
      <c r="E45" s="201"/>
      <c r="F45" s="201"/>
      <c r="G45" s="201"/>
      <c r="H45" s="201"/>
      <c r="I45" s="201"/>
      <c r="J45" s="201"/>
      <c r="K45" s="201"/>
      <c r="L45" s="201"/>
      <c r="M45" s="201"/>
      <c r="N45" s="201"/>
      <c r="O45" s="201"/>
      <c r="P45" s="201"/>
      <c r="Q45" s="201"/>
      <c r="R45" s="201"/>
      <c r="S45" s="201"/>
      <c r="T45" s="201">
        <f t="shared" si="0"/>
        <v>0</v>
      </c>
      <c r="U45" s="201">
        <f t="shared" si="1"/>
        <v>0</v>
      </c>
    </row>
    <row r="46" spans="1:21" ht="21.75" customHeight="1" x14ac:dyDescent="0.25">
      <c r="A46" s="29" t="s">
        <v>280</v>
      </c>
      <c r="B46" s="267" t="s">
        <v>815</v>
      </c>
      <c r="C46" s="147"/>
      <c r="D46" s="201"/>
      <c r="E46" s="201"/>
      <c r="F46" s="201"/>
      <c r="G46" s="201"/>
      <c r="H46" s="201"/>
      <c r="I46" s="201"/>
      <c r="J46" s="201"/>
      <c r="K46" s="201"/>
      <c r="L46" s="201"/>
      <c r="M46" s="201"/>
      <c r="N46" s="201"/>
      <c r="O46" s="201"/>
      <c r="P46" s="201"/>
      <c r="Q46" s="201"/>
      <c r="R46" s="201"/>
      <c r="S46" s="201"/>
      <c r="T46" s="201">
        <f t="shared" si="0"/>
        <v>0</v>
      </c>
      <c r="U46" s="201">
        <f t="shared" si="1"/>
        <v>0</v>
      </c>
    </row>
    <row r="47" spans="1:21" s="39" customFormat="1" ht="21.75" customHeight="1" x14ac:dyDescent="0.25">
      <c r="A47" s="29" t="s">
        <v>281</v>
      </c>
      <c r="B47" s="37" t="s">
        <v>113</v>
      </c>
      <c r="C47" s="146"/>
      <c r="D47" s="202">
        <f t="shared" ref="D47:R47" si="17">+D31+D33+D34+D36+D41+D43</f>
        <v>440893639</v>
      </c>
      <c r="E47" s="202">
        <f>+E31+E33+E34+E36+E41+E43</f>
        <v>472490266</v>
      </c>
      <c r="F47" s="202">
        <f t="shared" si="17"/>
        <v>300030</v>
      </c>
      <c r="G47" s="202">
        <f>+G31+G33+G34+G36+G41+G43</f>
        <v>1479749</v>
      </c>
      <c r="H47" s="202">
        <f t="shared" si="17"/>
        <v>0</v>
      </c>
      <c r="I47" s="202">
        <f>+I31+I33+I34+I36+I41+I43</f>
        <v>0</v>
      </c>
      <c r="J47" s="202">
        <f t="shared" si="17"/>
        <v>0</v>
      </c>
      <c r="K47" s="202">
        <f>+K31+K33+K34+K36+K41+K43</f>
        <v>0</v>
      </c>
      <c r="L47" s="202">
        <f t="shared" si="17"/>
        <v>0</v>
      </c>
      <c r="M47" s="202">
        <f>+M31+M33+M34+M36+M41+M43</f>
        <v>350000</v>
      </c>
      <c r="N47" s="202">
        <f>+N31+N33+N34+N36+N41+N43</f>
        <v>0</v>
      </c>
      <c r="O47" s="202">
        <f>+O31+O33+O34+O36+O41+O43</f>
        <v>0</v>
      </c>
      <c r="P47" s="202">
        <f t="shared" ref="P47:Q47" si="18">+P31+P33+P34+P36+P41+P43</f>
        <v>0</v>
      </c>
      <c r="Q47" s="202">
        <f t="shared" si="18"/>
        <v>1585000</v>
      </c>
      <c r="R47" s="202">
        <f t="shared" si="17"/>
        <v>0</v>
      </c>
      <c r="S47" s="202">
        <f>+S31+S33+S34+S36+S41+S43</f>
        <v>0</v>
      </c>
      <c r="T47" s="201">
        <f t="shared" si="0"/>
        <v>441193669</v>
      </c>
      <c r="U47" s="201">
        <f>E47+G47+I47+S47+K47+M47+O47+Q47</f>
        <v>475905015</v>
      </c>
    </row>
    <row r="48" spans="1:21" s="39" customFormat="1" ht="21.75" customHeight="1" x14ac:dyDescent="0.25">
      <c r="A48" s="29" t="s">
        <v>282</v>
      </c>
      <c r="B48" s="37" t="s">
        <v>114</v>
      </c>
      <c r="C48" s="146"/>
      <c r="D48" s="202">
        <f t="shared" ref="D48:R48" si="19">+D32+D35+D37+D42+D429+D45+D44</f>
        <v>444500</v>
      </c>
      <c r="E48" s="202">
        <f>+E32+E35+E37+E42+E429+E45+E44</f>
        <v>4196706</v>
      </c>
      <c r="F48" s="202">
        <f t="shared" si="19"/>
        <v>0</v>
      </c>
      <c r="G48" s="202">
        <f>+G32+G35+G37+G42+G429+G45+G44</f>
        <v>0</v>
      </c>
      <c r="H48" s="202">
        <f t="shared" si="19"/>
        <v>0</v>
      </c>
      <c r="I48" s="202">
        <f>+I32+I35+I37+I42+I429+I45+I44</f>
        <v>0</v>
      </c>
      <c r="J48" s="202">
        <f t="shared" si="19"/>
        <v>0</v>
      </c>
      <c r="K48" s="202">
        <f>+K32+K35+K37+K42+K429+K45+K44</f>
        <v>0</v>
      </c>
      <c r="L48" s="202">
        <f t="shared" si="19"/>
        <v>0</v>
      </c>
      <c r="M48" s="202">
        <f>+M32+M35+M37+M42+M429+M45+M44</f>
        <v>0</v>
      </c>
      <c r="N48" s="202">
        <f>+N32+N35+N37+N42+N429+N45+N44</f>
        <v>0</v>
      </c>
      <c r="O48" s="202">
        <f>+O32+O35+O37+O42+O429+O45+O44</f>
        <v>0</v>
      </c>
      <c r="P48" s="202">
        <f t="shared" ref="P48:Q48" si="20">+P32+P35+P37+P42+P429+P45+P44</f>
        <v>0</v>
      </c>
      <c r="Q48" s="202">
        <f t="shared" si="20"/>
        <v>0</v>
      </c>
      <c r="R48" s="202">
        <f t="shared" si="19"/>
        <v>0</v>
      </c>
      <c r="S48" s="202">
        <f>+S32+S35+S37+S42+S429+S45+S44</f>
        <v>0</v>
      </c>
      <c r="T48" s="201">
        <f t="shared" si="0"/>
        <v>444500</v>
      </c>
      <c r="U48" s="201">
        <f t="shared" si="1"/>
        <v>4196706</v>
      </c>
    </row>
    <row r="49" spans="1:21" s="39" customFormat="1" ht="21.75" customHeight="1" x14ac:dyDescent="0.25">
      <c r="A49" s="29" t="s">
        <v>283</v>
      </c>
      <c r="B49" s="37" t="s">
        <v>328</v>
      </c>
      <c r="C49" s="146"/>
      <c r="D49" s="202">
        <f t="shared" ref="D49:R49" si="21">+D47+D48</f>
        <v>441338139</v>
      </c>
      <c r="E49" s="202">
        <f>+E47+E48</f>
        <v>476686972</v>
      </c>
      <c r="F49" s="202">
        <f t="shared" si="21"/>
        <v>300030</v>
      </c>
      <c r="G49" s="202">
        <f>+G47+G48</f>
        <v>1479749</v>
      </c>
      <c r="H49" s="202">
        <f t="shared" si="21"/>
        <v>0</v>
      </c>
      <c r="I49" s="202">
        <f>+I47+I48</f>
        <v>0</v>
      </c>
      <c r="J49" s="202">
        <f t="shared" si="21"/>
        <v>0</v>
      </c>
      <c r="K49" s="202">
        <f>+K47+K48</f>
        <v>0</v>
      </c>
      <c r="L49" s="202">
        <f t="shared" si="21"/>
        <v>0</v>
      </c>
      <c r="M49" s="202">
        <f>+M47+M48</f>
        <v>350000</v>
      </c>
      <c r="N49" s="202">
        <f>+N47+N48</f>
        <v>0</v>
      </c>
      <c r="O49" s="202">
        <f>+O47+O48</f>
        <v>0</v>
      </c>
      <c r="P49" s="202">
        <f t="shared" ref="P49:Q49" si="22">+P47+P48</f>
        <v>0</v>
      </c>
      <c r="Q49" s="202">
        <f t="shared" si="22"/>
        <v>1585000</v>
      </c>
      <c r="R49" s="202">
        <f t="shared" si="21"/>
        <v>0</v>
      </c>
      <c r="S49" s="202">
        <f>+S47+S48</f>
        <v>0</v>
      </c>
      <c r="T49" s="201">
        <f t="shared" si="0"/>
        <v>441638169</v>
      </c>
      <c r="U49" s="201">
        <f t="shared" si="1"/>
        <v>480101721</v>
      </c>
    </row>
    <row r="50" spans="1:21" ht="21.75" customHeight="1" x14ac:dyDescent="0.25">
      <c r="A50" s="29" t="s">
        <v>284</v>
      </c>
      <c r="B50" s="414" t="s">
        <v>437</v>
      </c>
      <c r="C50" s="204"/>
      <c r="D50" s="201"/>
      <c r="E50" s="201"/>
      <c r="F50" s="201">
        <v>48</v>
      </c>
      <c r="G50" s="201">
        <v>49</v>
      </c>
      <c r="H50" s="201">
        <v>4</v>
      </c>
      <c r="I50" s="201">
        <f>+H50</f>
        <v>4</v>
      </c>
      <c r="J50" s="201"/>
      <c r="K50" s="201"/>
      <c r="L50" s="201"/>
      <c r="M50" s="201"/>
      <c r="N50" s="201"/>
      <c r="O50" s="201"/>
      <c r="P50" s="201"/>
      <c r="Q50" s="201"/>
      <c r="R50" s="201"/>
      <c r="S50" s="201"/>
      <c r="T50" s="201">
        <f t="shared" si="0"/>
        <v>52</v>
      </c>
      <c r="U50" s="201">
        <f t="shared" si="1"/>
        <v>53</v>
      </c>
    </row>
    <row r="51" spans="1:21" ht="21.75" customHeight="1" x14ac:dyDescent="0.25">
      <c r="A51" s="29" t="s">
        <v>285</v>
      </c>
      <c r="B51" s="55" t="s">
        <v>1346</v>
      </c>
      <c r="C51" s="204"/>
      <c r="D51" s="242"/>
      <c r="E51" s="242"/>
      <c r="F51" s="242"/>
      <c r="G51" s="242"/>
      <c r="H51" s="242"/>
      <c r="I51" s="242"/>
      <c r="J51" s="242"/>
      <c r="K51" s="242"/>
      <c r="L51" s="242"/>
      <c r="M51" s="242"/>
      <c r="N51" s="242"/>
      <c r="O51" s="242"/>
      <c r="P51" s="242"/>
      <c r="Q51" s="242"/>
      <c r="R51" s="242"/>
      <c r="S51" s="242"/>
      <c r="T51" s="201">
        <f t="shared" si="0"/>
        <v>0</v>
      </c>
      <c r="U51" s="201">
        <f t="shared" si="1"/>
        <v>0</v>
      </c>
    </row>
  </sheetData>
  <mergeCells count="28">
    <mergeCell ref="A2:C3"/>
    <mergeCell ref="L2:O2"/>
    <mergeCell ref="M6:M7"/>
    <mergeCell ref="O6:O7"/>
    <mergeCell ref="S6:S7"/>
    <mergeCell ref="G6:G7"/>
    <mergeCell ref="D2:G2"/>
    <mergeCell ref="H2:K2"/>
    <mergeCell ref="I6:I7"/>
    <mergeCell ref="K6:K7"/>
    <mergeCell ref="B5:C5"/>
    <mergeCell ref="B6:C6"/>
    <mergeCell ref="A4:A7"/>
    <mergeCell ref="B4:C4"/>
    <mergeCell ref="P2:S2"/>
    <mergeCell ref="T2:U2"/>
    <mergeCell ref="D6:D7"/>
    <mergeCell ref="L6:L7"/>
    <mergeCell ref="J6:J7"/>
    <mergeCell ref="T4:T7"/>
    <mergeCell ref="F6:F7"/>
    <mergeCell ref="H6:H7"/>
    <mergeCell ref="R6:R7"/>
    <mergeCell ref="N6:N7"/>
    <mergeCell ref="E6:E7"/>
    <mergeCell ref="P6:P7"/>
    <mergeCell ref="Q6:Q7"/>
    <mergeCell ref="U4:U7"/>
  </mergeCells>
  <phoneticPr fontId="50" type="noConversion"/>
  <printOptions horizontalCentered="1" verticalCentered="1"/>
  <pageMargins left="0.35433070866141736" right="0.35433070866141736" top="0.19685039370078741" bottom="0.19685039370078741" header="0.51181102362204722" footer="0.51181102362204722"/>
  <pageSetup paperSize="9" scale="55" orientation="portrait" r:id="rId1"/>
  <headerFooter alignWithMargins="0">
    <oddHeader>&amp;C2023. évi költségvetés&amp;R&amp;A</oddHeader>
    <oddFooter>&amp;C&amp;P/&amp;N</oddFooter>
  </headerFooter>
  <colBreaks count="4" manualBreakCount="4">
    <brk id="7" max="50" man="1"/>
    <brk id="11" max="50" man="1"/>
    <brk id="15" max="50" man="1"/>
    <brk id="19" max="50"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X114"/>
  <sheetViews>
    <sheetView view="pageBreakPreview" topLeftCell="A67" zoomScale="90" zoomScaleNormal="100" zoomScaleSheetLayoutView="90" workbookViewId="0">
      <selection activeCell="R20" sqref="R20:T20"/>
    </sheetView>
  </sheetViews>
  <sheetFormatPr defaultRowHeight="12.75" x14ac:dyDescent="0.2"/>
  <cols>
    <col min="1" max="1" width="4.5703125" customWidth="1"/>
    <col min="2" max="2" width="4.85546875" customWidth="1"/>
    <col min="3" max="3" width="32.5703125" customWidth="1"/>
    <col min="4" max="4" width="6" customWidth="1"/>
    <col min="5" max="5" width="6.42578125" customWidth="1"/>
    <col min="6" max="6" width="5.42578125" customWidth="1"/>
    <col min="7" max="7" width="5.5703125" customWidth="1"/>
    <col min="8" max="8" width="12.140625" customWidth="1"/>
    <col min="9" max="9" width="13" customWidth="1"/>
    <col min="10" max="10" width="12.28515625" customWidth="1"/>
    <col min="11" max="11" width="11.140625" customWidth="1"/>
    <col min="12" max="12" width="11.7109375" customWidth="1"/>
    <col min="13" max="13" width="11.5703125" customWidth="1"/>
    <col min="14" max="14" width="11.140625" customWidth="1"/>
    <col min="15" max="15" width="12" customWidth="1"/>
    <col min="16" max="16" width="10.7109375" customWidth="1"/>
    <col min="17" max="17" width="13.28515625" customWidth="1"/>
    <col min="18" max="18" width="13.7109375" customWidth="1"/>
    <col min="19" max="19" width="11.140625" customWidth="1"/>
    <col min="20" max="21" width="11" customWidth="1"/>
    <col min="22" max="22" width="12.140625" customWidth="1"/>
    <col min="23" max="23" width="11.5703125" customWidth="1"/>
    <col min="24" max="24" width="11.7109375" customWidth="1"/>
  </cols>
  <sheetData>
    <row r="1" spans="1:24" ht="15.75" x14ac:dyDescent="0.25">
      <c r="A1" s="2069" t="s">
        <v>2024</v>
      </c>
      <c r="B1" s="2069"/>
      <c r="C1" s="2069"/>
      <c r="D1" s="2069"/>
      <c r="E1" s="2069"/>
      <c r="F1" s="2069"/>
      <c r="G1" s="2069"/>
      <c r="H1" s="2069"/>
      <c r="I1" s="2069"/>
      <c r="J1" s="2069"/>
      <c r="K1" s="2069"/>
      <c r="L1" s="2069"/>
      <c r="M1" s="2069"/>
      <c r="N1" s="2069"/>
      <c r="O1" s="2069"/>
      <c r="P1" s="2069"/>
      <c r="Q1" s="2069"/>
      <c r="R1" s="2069"/>
      <c r="S1" s="2069"/>
      <c r="T1" s="2069"/>
      <c r="U1" s="2069"/>
      <c r="V1" s="2069"/>
      <c r="W1" s="2069"/>
      <c r="X1" s="2069"/>
    </row>
    <row r="2" spans="1:24" ht="15" x14ac:dyDescent="0.25">
      <c r="A2" s="1237"/>
      <c r="B2" s="1237"/>
      <c r="C2" s="1195"/>
      <c r="D2" s="1195"/>
      <c r="E2" s="1195"/>
      <c r="F2" s="1195"/>
      <c r="G2" s="1195"/>
      <c r="H2" s="1195"/>
      <c r="I2" s="1195"/>
      <c r="J2" s="1195"/>
      <c r="K2" s="1195"/>
      <c r="L2" s="1195"/>
      <c r="M2" s="1195"/>
      <c r="N2" s="1195"/>
      <c r="O2" s="1195"/>
      <c r="P2" s="1195"/>
      <c r="Q2" s="1195"/>
      <c r="R2" s="1195"/>
      <c r="S2" s="1195"/>
      <c r="T2" s="1195"/>
      <c r="U2" s="1195"/>
      <c r="V2" s="1195"/>
      <c r="W2" s="1195"/>
      <c r="X2" s="1195"/>
    </row>
    <row r="3" spans="1:24" ht="15" x14ac:dyDescent="0.25">
      <c r="A3" s="2112" t="s">
        <v>1774</v>
      </c>
      <c r="B3" s="2112"/>
      <c r="C3" s="2112"/>
      <c r="D3" s="2112"/>
      <c r="E3" s="2112"/>
      <c r="F3" s="2112"/>
      <c r="G3" s="2112"/>
      <c r="H3" s="2112"/>
      <c r="I3" s="2112"/>
      <c r="J3" s="2112"/>
      <c r="K3" s="2112"/>
      <c r="L3" s="2112"/>
      <c r="M3" s="2112"/>
      <c r="N3" s="2112"/>
      <c r="O3" s="2112"/>
      <c r="P3" s="2112"/>
      <c r="Q3" s="2112"/>
      <c r="R3" s="2112"/>
      <c r="S3" s="2112"/>
      <c r="T3" s="2112"/>
      <c r="U3" s="2112"/>
      <c r="V3" s="2112"/>
      <c r="W3" s="2112"/>
      <c r="X3" s="2112"/>
    </row>
    <row r="4" spans="1:24" ht="15" x14ac:dyDescent="0.25">
      <c r="A4" s="1240"/>
      <c r="B4" s="1240"/>
      <c r="C4" s="1197"/>
      <c r="D4" s="1197"/>
      <c r="E4" s="1197"/>
      <c r="F4" s="1197"/>
      <c r="G4" s="1197"/>
      <c r="H4" s="1197"/>
      <c r="I4" s="1197"/>
      <c r="J4" s="1197"/>
      <c r="K4" s="1197"/>
      <c r="L4" s="1197"/>
      <c r="M4" s="1197"/>
      <c r="N4" s="1197"/>
      <c r="O4" s="1197"/>
      <c r="P4" s="1197"/>
      <c r="Q4" s="1198"/>
      <c r="R4" s="1197"/>
      <c r="S4" s="1197"/>
      <c r="T4" s="1197"/>
      <c r="U4" s="1197"/>
      <c r="V4" s="1197"/>
      <c r="W4" s="1197"/>
      <c r="X4" s="1197"/>
    </row>
    <row r="5" spans="1:24" ht="15" x14ac:dyDescent="0.25">
      <c r="A5" s="2113" t="s">
        <v>37</v>
      </c>
      <c r="B5" s="2093" t="s">
        <v>1726</v>
      </c>
      <c r="C5" s="2115" t="s">
        <v>2</v>
      </c>
      <c r="D5" s="2117" t="s">
        <v>1727</v>
      </c>
      <c r="E5" s="2117" t="s">
        <v>117</v>
      </c>
      <c r="F5" s="2117" t="s">
        <v>1775</v>
      </c>
      <c r="G5" s="2117" t="s">
        <v>1729</v>
      </c>
      <c r="H5" s="2119" t="s">
        <v>1730</v>
      </c>
      <c r="I5" s="2119"/>
      <c r="J5" s="2119"/>
      <c r="K5" s="2119"/>
      <c r="L5" s="2119"/>
      <c r="M5" s="2119"/>
      <c r="N5" s="2119"/>
      <c r="O5" s="2133"/>
      <c r="P5" s="1660"/>
      <c r="Q5" s="2135" t="s">
        <v>1731</v>
      </c>
      <c r="R5" s="2119"/>
      <c r="S5" s="2119"/>
      <c r="T5" s="2119"/>
      <c r="U5" s="2119"/>
      <c r="V5" s="2119"/>
      <c r="W5" s="2119"/>
      <c r="X5" s="2121"/>
    </row>
    <row r="6" spans="1:24" ht="87.75" customHeight="1" x14ac:dyDescent="0.2">
      <c r="A6" s="2114"/>
      <c r="B6" s="2094"/>
      <c r="C6" s="2116"/>
      <c r="D6" s="2118"/>
      <c r="E6" s="2118"/>
      <c r="F6" s="2118"/>
      <c r="G6" s="2118"/>
      <c r="H6" s="1154" t="s">
        <v>2383</v>
      </c>
      <c r="I6" s="1154" t="s">
        <v>1776</v>
      </c>
      <c r="J6" s="1154" t="s">
        <v>1777</v>
      </c>
      <c r="K6" s="1154" t="s">
        <v>1778</v>
      </c>
      <c r="L6" s="1154" t="s">
        <v>1755</v>
      </c>
      <c r="M6" s="1154" t="s">
        <v>1756</v>
      </c>
      <c r="N6" s="1154" t="s">
        <v>1757</v>
      </c>
      <c r="O6" s="1157" t="s">
        <v>1739</v>
      </c>
      <c r="P6" s="1157" t="s">
        <v>1758</v>
      </c>
      <c r="Q6" s="1158" t="s">
        <v>1741</v>
      </c>
      <c r="R6" s="1154" t="s">
        <v>1742</v>
      </c>
      <c r="S6" s="1154" t="s">
        <v>1779</v>
      </c>
      <c r="T6" s="1154" t="s">
        <v>1780</v>
      </c>
      <c r="U6" s="1154" t="s">
        <v>1745</v>
      </c>
      <c r="V6" s="1154" t="s">
        <v>1746</v>
      </c>
      <c r="W6" s="1154" t="s">
        <v>1747</v>
      </c>
      <c r="X6" s="1159" t="s">
        <v>1781</v>
      </c>
    </row>
    <row r="7" spans="1:24" ht="30.75" customHeight="1" x14ac:dyDescent="0.2">
      <c r="A7" s="1644" t="s">
        <v>188</v>
      </c>
      <c r="B7" s="1241" t="s">
        <v>193</v>
      </c>
      <c r="C7" s="1242" t="s">
        <v>1854</v>
      </c>
      <c r="D7" s="1201" t="s">
        <v>1855</v>
      </c>
      <c r="E7" s="1243" t="s">
        <v>176</v>
      </c>
      <c r="F7" s="1243" t="s">
        <v>151</v>
      </c>
      <c r="G7" s="1202" t="s">
        <v>1829</v>
      </c>
      <c r="H7" s="1165"/>
      <c r="I7" s="1165"/>
      <c r="J7" s="1165">
        <v>587449</v>
      </c>
      <c r="K7" s="1165"/>
      <c r="L7" s="1165"/>
      <c r="M7" s="1165"/>
      <c r="N7" s="1165"/>
      <c r="O7" s="1165"/>
      <c r="P7" s="1203"/>
      <c r="Q7" s="1204"/>
      <c r="R7" s="1165"/>
      <c r="S7" s="1165"/>
      <c r="T7" s="1165">
        <v>587449</v>
      </c>
      <c r="U7" s="1165"/>
      <c r="V7" s="1165"/>
      <c r="W7" s="1165"/>
      <c r="X7" s="1203"/>
    </row>
    <row r="8" spans="1:24" ht="33.75" customHeight="1" x14ac:dyDescent="0.2">
      <c r="A8" s="2099" t="s">
        <v>189</v>
      </c>
      <c r="B8" s="2104" t="s">
        <v>194</v>
      </c>
      <c r="C8" s="2102" t="s">
        <v>1931</v>
      </c>
      <c r="D8" s="1236" t="s">
        <v>1855</v>
      </c>
      <c r="E8" s="1232" t="s">
        <v>176</v>
      </c>
      <c r="F8" s="1232" t="s">
        <v>128</v>
      </c>
      <c r="G8" s="1228" t="s">
        <v>1829</v>
      </c>
      <c r="H8" s="1233"/>
      <c r="I8" s="1233"/>
      <c r="J8" s="1233"/>
      <c r="K8" s="1233"/>
      <c r="L8" s="1233"/>
      <c r="M8" s="1233"/>
      <c r="N8" s="1233"/>
      <c r="O8" s="1233"/>
      <c r="P8" s="1234"/>
      <c r="Q8" s="1235"/>
      <c r="R8" s="1233"/>
      <c r="S8" s="1233"/>
      <c r="T8" s="1233"/>
      <c r="U8" s="1233"/>
      <c r="V8" s="1233"/>
      <c r="W8" s="1233"/>
      <c r="X8" s="1234">
        <v>100000</v>
      </c>
    </row>
    <row r="9" spans="1:24" ht="33.75" customHeight="1" x14ac:dyDescent="0.2">
      <c r="A9" s="2101"/>
      <c r="B9" s="2105"/>
      <c r="C9" s="2103"/>
      <c r="D9" s="1206" t="s">
        <v>1855</v>
      </c>
      <c r="E9" s="1244" t="s">
        <v>176</v>
      </c>
      <c r="F9" s="1244" t="s">
        <v>135</v>
      </c>
      <c r="G9" s="1207" t="s">
        <v>1829</v>
      </c>
      <c r="H9" s="1245"/>
      <c r="I9" s="1245"/>
      <c r="J9" s="1245">
        <f>78740+21260</f>
        <v>100000</v>
      </c>
      <c r="K9" s="1245"/>
      <c r="L9" s="1245"/>
      <c r="M9" s="1245"/>
      <c r="N9" s="1245"/>
      <c r="O9" s="1245"/>
      <c r="P9" s="1246"/>
      <c r="Q9" s="1247"/>
      <c r="R9" s="1245"/>
      <c r="S9" s="1245"/>
      <c r="T9" s="1245"/>
      <c r="U9" s="1245"/>
      <c r="V9" s="1245"/>
      <c r="W9" s="1245"/>
      <c r="X9" s="1246"/>
    </row>
    <row r="10" spans="1:24" ht="27.75" customHeight="1" x14ac:dyDescent="0.2">
      <c r="A10" s="1647" t="s">
        <v>190</v>
      </c>
      <c r="B10" s="1372" t="s">
        <v>195</v>
      </c>
      <c r="C10" s="1211" t="s">
        <v>1952</v>
      </c>
      <c r="D10" s="1206" t="s">
        <v>1855</v>
      </c>
      <c r="E10" s="1244" t="s">
        <v>1953</v>
      </c>
      <c r="F10" s="1244" t="s">
        <v>91</v>
      </c>
      <c r="G10" s="1207" t="s">
        <v>1837</v>
      </c>
      <c r="H10" s="1245"/>
      <c r="I10" s="1245"/>
      <c r="J10" s="1245">
        <f>-100000+100000</f>
        <v>0</v>
      </c>
      <c r="K10" s="1245"/>
      <c r="L10" s="1245"/>
      <c r="M10" s="1245"/>
      <c r="N10" s="1245"/>
      <c r="O10" s="1245"/>
      <c r="P10" s="1246"/>
      <c r="Q10" s="1247"/>
      <c r="R10" s="1245"/>
      <c r="S10" s="1245"/>
      <c r="T10" s="1245"/>
      <c r="U10" s="1245"/>
      <c r="V10" s="1245"/>
      <c r="W10" s="1245"/>
      <c r="X10" s="1246"/>
    </row>
    <row r="11" spans="1:24" ht="39" customHeight="1" x14ac:dyDescent="0.2">
      <c r="A11" s="1647" t="s">
        <v>191</v>
      </c>
      <c r="B11" s="1372" t="s">
        <v>196</v>
      </c>
      <c r="C11" s="1211" t="s">
        <v>1954</v>
      </c>
      <c r="D11" s="1206" t="s">
        <v>1855</v>
      </c>
      <c r="E11" s="1244" t="s">
        <v>176</v>
      </c>
      <c r="F11" s="1244" t="s">
        <v>151</v>
      </c>
      <c r="G11" s="1207" t="s">
        <v>1829</v>
      </c>
      <c r="H11" s="1245"/>
      <c r="I11" s="1245"/>
      <c r="J11" s="1245">
        <v>15000</v>
      </c>
      <c r="K11" s="1245"/>
      <c r="L11" s="1245"/>
      <c r="M11" s="1245"/>
      <c r="N11" s="1245"/>
      <c r="O11" s="1245"/>
      <c r="P11" s="1246"/>
      <c r="Q11" s="1247"/>
      <c r="R11" s="1245"/>
      <c r="S11" s="1245"/>
      <c r="T11" s="1245">
        <v>15000</v>
      </c>
      <c r="U11" s="1245"/>
      <c r="V11" s="1245"/>
      <c r="W11" s="1245"/>
      <c r="X11" s="1246"/>
    </row>
    <row r="12" spans="1:24" ht="41.25" customHeight="1" x14ac:dyDescent="0.2">
      <c r="A12" s="1647" t="s">
        <v>192</v>
      </c>
      <c r="B12" s="1372" t="s">
        <v>197</v>
      </c>
      <c r="C12" s="1211" t="s">
        <v>2110</v>
      </c>
      <c r="D12" s="1206" t="s">
        <v>1855</v>
      </c>
      <c r="E12" s="1244" t="s">
        <v>176</v>
      </c>
      <c r="F12" s="1244" t="s">
        <v>135</v>
      </c>
      <c r="G12" s="1207" t="s">
        <v>1829</v>
      </c>
      <c r="H12" s="1245"/>
      <c r="I12" s="1245"/>
      <c r="J12" s="1245">
        <f>15748+4252</f>
        <v>20000</v>
      </c>
      <c r="K12" s="1245"/>
      <c r="L12" s="1245"/>
      <c r="M12" s="1245"/>
      <c r="N12" s="1245"/>
      <c r="O12" s="1245"/>
      <c r="P12" s="1246"/>
      <c r="Q12" s="1247">
        <v>20000</v>
      </c>
      <c r="R12" s="1245"/>
      <c r="S12" s="1245"/>
      <c r="T12" s="1245"/>
      <c r="U12" s="1245"/>
      <c r="V12" s="1245"/>
      <c r="W12" s="1245"/>
      <c r="X12" s="1246"/>
    </row>
    <row r="13" spans="1:24" ht="27" customHeight="1" x14ac:dyDescent="0.2">
      <c r="A13" s="1647" t="s">
        <v>193</v>
      </c>
      <c r="B13" s="1372" t="s">
        <v>198</v>
      </c>
      <c r="C13" s="1211" t="s">
        <v>2212</v>
      </c>
      <c r="D13" s="1206" t="s">
        <v>1855</v>
      </c>
      <c r="E13" s="1244" t="s">
        <v>1953</v>
      </c>
      <c r="F13" s="1244" t="s">
        <v>91</v>
      </c>
      <c r="G13" s="1207" t="s">
        <v>1829</v>
      </c>
      <c r="H13" s="1245"/>
      <c r="I13" s="1245"/>
      <c r="J13" s="1245">
        <v>51776</v>
      </c>
      <c r="K13" s="1245"/>
      <c r="L13" s="1245"/>
      <c r="M13" s="1245"/>
      <c r="N13" s="1245"/>
      <c r="O13" s="1245"/>
      <c r="P13" s="1246"/>
      <c r="Q13" s="1247"/>
      <c r="R13" s="1245"/>
      <c r="S13" s="1245"/>
      <c r="T13" s="1245">
        <v>51776</v>
      </c>
      <c r="U13" s="1245"/>
      <c r="V13" s="1245"/>
      <c r="W13" s="1245"/>
      <c r="X13" s="1246"/>
    </row>
    <row r="14" spans="1:24" ht="30.75" customHeight="1" x14ac:dyDescent="0.2">
      <c r="A14" s="1647" t="s">
        <v>194</v>
      </c>
      <c r="B14" s="1372" t="s">
        <v>225</v>
      </c>
      <c r="C14" s="1211" t="s">
        <v>2213</v>
      </c>
      <c r="D14" s="1212" t="s">
        <v>1855</v>
      </c>
      <c r="E14" s="1244" t="s">
        <v>176</v>
      </c>
      <c r="F14" s="1244" t="s">
        <v>151</v>
      </c>
      <c r="G14" s="1213" t="s">
        <v>1829</v>
      </c>
      <c r="H14" s="1245"/>
      <c r="I14" s="1245"/>
      <c r="J14" s="1245">
        <f>629921+170079</f>
        <v>800000</v>
      </c>
      <c r="K14" s="1245"/>
      <c r="L14" s="1245"/>
      <c r="M14" s="1245"/>
      <c r="N14" s="1245"/>
      <c r="O14" s="1245"/>
      <c r="P14" s="1246"/>
      <c r="Q14" s="1247"/>
      <c r="R14" s="1245"/>
      <c r="S14" s="1245"/>
      <c r="T14" s="1245">
        <v>800000</v>
      </c>
      <c r="U14" s="1245"/>
      <c r="V14" s="1245"/>
      <c r="W14" s="1245"/>
      <c r="X14" s="1246"/>
    </row>
    <row r="15" spans="1:24" ht="18.75" x14ac:dyDescent="0.3">
      <c r="A15" s="2082" t="s">
        <v>1749</v>
      </c>
      <c r="B15" s="2083"/>
      <c r="C15" s="2084"/>
      <c r="D15" s="1179"/>
      <c r="E15" s="1179"/>
      <c r="F15" s="1179"/>
      <c r="G15" s="1179"/>
      <c r="H15" s="1365">
        <f t="shared" ref="H15:X15" si="0">SUM(H7:H14)</f>
        <v>0</v>
      </c>
      <c r="I15" s="1365">
        <f t="shared" si="0"/>
        <v>0</v>
      </c>
      <c r="J15" s="1365">
        <f t="shared" si="0"/>
        <v>1574225</v>
      </c>
      <c r="K15" s="1365">
        <f t="shared" si="0"/>
        <v>0</v>
      </c>
      <c r="L15" s="1365">
        <f t="shared" si="0"/>
        <v>0</v>
      </c>
      <c r="M15" s="1365">
        <f t="shared" si="0"/>
        <v>0</v>
      </c>
      <c r="N15" s="1365">
        <f t="shared" si="0"/>
        <v>0</v>
      </c>
      <c r="O15" s="1365">
        <f t="shared" si="0"/>
        <v>0</v>
      </c>
      <c r="P15" s="1366">
        <f t="shared" si="0"/>
        <v>0</v>
      </c>
      <c r="Q15" s="1367">
        <f t="shared" si="0"/>
        <v>20000</v>
      </c>
      <c r="R15" s="1365">
        <f t="shared" si="0"/>
        <v>0</v>
      </c>
      <c r="S15" s="1365">
        <f t="shared" si="0"/>
        <v>0</v>
      </c>
      <c r="T15" s="1365">
        <f t="shared" si="0"/>
        <v>1454225</v>
      </c>
      <c r="U15" s="1365">
        <f t="shared" si="0"/>
        <v>0</v>
      </c>
      <c r="V15" s="1365">
        <f t="shared" si="0"/>
        <v>0</v>
      </c>
      <c r="W15" s="1365">
        <f t="shared" si="0"/>
        <v>0</v>
      </c>
      <c r="X15" s="1366">
        <f t="shared" si="0"/>
        <v>100000</v>
      </c>
    </row>
    <row r="16" spans="1:24" ht="17.25" customHeight="1" x14ac:dyDescent="0.25">
      <c r="A16" s="1220"/>
      <c r="B16" s="1220"/>
      <c r="C16" s="1248"/>
      <c r="D16" s="1195"/>
      <c r="E16" s="1249"/>
      <c r="F16" s="1249"/>
      <c r="G16" s="1239"/>
      <c r="H16" s="1250"/>
      <c r="I16" s="1250"/>
      <c r="J16" s="1250"/>
      <c r="K16" s="1250"/>
      <c r="L16" s="1250"/>
      <c r="M16" s="1250"/>
      <c r="N16" s="1250"/>
      <c r="O16" s="1250"/>
      <c r="P16" s="1250"/>
      <c r="Q16" s="1250"/>
      <c r="R16" s="1250"/>
      <c r="S16" s="1250"/>
      <c r="T16" s="1250"/>
      <c r="U16" s="1250"/>
      <c r="V16" s="1250"/>
      <c r="W16" s="1250"/>
      <c r="X16" s="1250"/>
    </row>
    <row r="17" spans="1:24" ht="20.25" customHeight="1" x14ac:dyDescent="0.25">
      <c r="A17" s="1220"/>
      <c r="B17" s="1220"/>
      <c r="C17" s="1248"/>
      <c r="D17" s="1195"/>
      <c r="E17" s="1249"/>
      <c r="F17" s="1249"/>
      <c r="G17" s="1239"/>
      <c r="H17" s="1250"/>
      <c r="I17" s="1250"/>
      <c r="J17" s="1250"/>
      <c r="K17" s="1250"/>
      <c r="L17" s="1250"/>
      <c r="M17" s="1250"/>
      <c r="N17" s="1250"/>
      <c r="O17" s="1250"/>
      <c r="P17" s="1250"/>
      <c r="Q17" s="1250"/>
      <c r="R17" s="1250"/>
      <c r="S17" s="1250"/>
      <c r="T17" s="1250"/>
      <c r="U17" s="1250"/>
      <c r="V17" s="1250"/>
      <c r="W17" s="1250"/>
      <c r="X17" s="1250"/>
    </row>
    <row r="18" spans="1:24" ht="15" x14ac:dyDescent="0.25">
      <c r="A18" s="1240"/>
      <c r="B18" s="1240"/>
      <c r="C18" s="1197"/>
      <c r="D18" s="1197"/>
      <c r="E18" s="1197"/>
      <c r="F18" s="1197"/>
      <c r="G18" s="1197"/>
      <c r="H18" s="1224"/>
      <c r="I18" s="1224"/>
      <c r="J18" s="1224"/>
      <c r="K18" s="1224"/>
      <c r="L18" s="1224"/>
      <c r="M18" s="1224"/>
      <c r="N18" s="1224"/>
      <c r="O18" s="1224"/>
      <c r="P18" s="1224"/>
      <c r="Q18" s="1224"/>
      <c r="R18" s="1224"/>
      <c r="S18" s="1224"/>
      <c r="T18" s="1224"/>
      <c r="U18" s="1224"/>
      <c r="V18" s="1224"/>
      <c r="W18" s="1224"/>
      <c r="X18" s="1224"/>
    </row>
    <row r="19" spans="1:24" ht="20.25" customHeight="1" x14ac:dyDescent="0.25">
      <c r="A19" s="1240"/>
      <c r="B19" s="1240"/>
      <c r="C19" s="1197"/>
      <c r="D19" s="1197"/>
      <c r="E19" s="1197"/>
      <c r="F19" s="1197"/>
      <c r="G19" s="1197"/>
      <c r="H19" s="1224"/>
      <c r="I19" s="2108" t="s">
        <v>1750</v>
      </c>
      <c r="J19" s="2108"/>
      <c r="K19" s="2108"/>
      <c r="L19" s="2108">
        <v>97984414</v>
      </c>
      <c r="M19" s="2108"/>
      <c r="N19" s="1225"/>
      <c r="O19" s="1225"/>
      <c r="P19" s="1225"/>
      <c r="Q19" s="1225"/>
      <c r="R19" s="2108" t="s">
        <v>1751</v>
      </c>
      <c r="S19" s="2108"/>
      <c r="T19" s="2108"/>
      <c r="U19" s="2108">
        <v>97984414</v>
      </c>
      <c r="V19" s="2108"/>
      <c r="W19" s="1224"/>
      <c r="X19" s="1224"/>
    </row>
    <row r="20" spans="1:24" ht="19.5" customHeight="1" x14ac:dyDescent="0.25">
      <c r="A20" s="1240"/>
      <c r="B20" s="1240"/>
      <c r="C20" s="1197"/>
      <c r="D20" s="1197"/>
      <c r="E20" s="1197"/>
      <c r="F20" s="1197"/>
      <c r="G20" s="1197"/>
      <c r="H20" s="1224"/>
      <c r="I20" s="2066" t="s">
        <v>3474</v>
      </c>
      <c r="J20" s="2066"/>
      <c r="K20" s="2066"/>
      <c r="L20" s="2108">
        <f>SUM(H15:P15)</f>
        <v>1574225</v>
      </c>
      <c r="M20" s="2108"/>
      <c r="N20" s="1225"/>
      <c r="O20" s="1225"/>
      <c r="P20" s="1225"/>
      <c r="Q20" s="1225"/>
      <c r="R20" s="2066" t="s">
        <v>3474</v>
      </c>
      <c r="S20" s="2066"/>
      <c r="T20" s="2066"/>
      <c r="U20" s="2108">
        <f>SUM(Q15:X15)</f>
        <v>1574225</v>
      </c>
      <c r="V20" s="2108"/>
      <c r="W20" s="1224"/>
      <c r="X20" s="1224"/>
    </row>
    <row r="21" spans="1:24" ht="22.5" customHeight="1" x14ac:dyDescent="0.25">
      <c r="A21" s="1240"/>
      <c r="B21" s="1240"/>
      <c r="C21" s="1197"/>
      <c r="D21" s="1197"/>
      <c r="E21" s="1197"/>
      <c r="F21" s="1197"/>
      <c r="G21" s="1197"/>
      <c r="H21" s="1224"/>
      <c r="I21" s="2108" t="s">
        <v>1561</v>
      </c>
      <c r="J21" s="2108"/>
      <c r="K21" s="2108"/>
      <c r="L21" s="2108">
        <f>+L19+L20</f>
        <v>99558639</v>
      </c>
      <c r="M21" s="2108"/>
      <c r="N21" s="1225"/>
      <c r="O21" s="1225"/>
      <c r="P21" s="1225"/>
      <c r="Q21" s="1225"/>
      <c r="R21" s="2108" t="s">
        <v>1561</v>
      </c>
      <c r="S21" s="2108"/>
      <c r="T21" s="2108"/>
      <c r="U21" s="2108">
        <f>+U19+U20</f>
        <v>99558639</v>
      </c>
      <c r="V21" s="2108"/>
      <c r="W21" s="1224"/>
      <c r="X21" s="1224"/>
    </row>
    <row r="22" spans="1:24" ht="22.5" customHeight="1" x14ac:dyDescent="0.25">
      <c r="A22" s="1240"/>
      <c r="B22" s="1240"/>
      <c r="C22" s="1197"/>
      <c r="D22" s="1197"/>
      <c r="E22" s="1197"/>
      <c r="F22" s="1197"/>
      <c r="G22" s="1197"/>
      <c r="H22" s="1224"/>
      <c r="I22" s="1465"/>
      <c r="J22" s="1465"/>
      <c r="K22" s="1465"/>
      <c r="L22" s="1465"/>
      <c r="M22" s="1465"/>
      <c r="N22" s="1225"/>
      <c r="O22" s="1225"/>
      <c r="P22" s="1225"/>
      <c r="Q22" s="1225"/>
      <c r="R22" s="1465"/>
      <c r="S22" s="1465"/>
      <c r="T22" s="1465"/>
      <c r="U22" s="1465"/>
      <c r="V22" s="1465"/>
      <c r="W22" s="1224"/>
      <c r="X22" s="1224"/>
    </row>
    <row r="23" spans="1:24" ht="15" x14ac:dyDescent="0.25">
      <c r="A23" s="1240"/>
      <c r="B23" s="1240"/>
      <c r="C23" s="1197"/>
      <c r="D23" s="1197"/>
      <c r="E23" s="1197"/>
      <c r="F23" s="1197"/>
      <c r="G23" s="1197"/>
      <c r="H23" s="1224"/>
      <c r="I23" s="1224"/>
      <c r="J23" s="1224"/>
      <c r="K23" s="1224"/>
      <c r="L23" s="1224"/>
      <c r="M23" s="1224"/>
      <c r="N23" s="1224"/>
      <c r="O23" s="1224"/>
      <c r="P23" s="1224"/>
      <c r="Q23" s="1224"/>
      <c r="R23" s="1224"/>
      <c r="S23" s="1224"/>
      <c r="T23" s="1224"/>
      <c r="U23" s="1224"/>
      <c r="V23" s="1224"/>
      <c r="W23" s="1224"/>
      <c r="X23" s="1224"/>
    </row>
    <row r="24" spans="1:24" ht="15.75" x14ac:dyDescent="0.25">
      <c r="A24" s="2069" t="s">
        <v>2641</v>
      </c>
      <c r="B24" s="2069"/>
      <c r="C24" s="2069"/>
      <c r="D24" s="2069"/>
      <c r="E24" s="2069"/>
      <c r="F24" s="2069"/>
      <c r="G24" s="2069"/>
      <c r="H24" s="2069"/>
      <c r="I24" s="2069"/>
      <c r="J24" s="2069"/>
      <c r="K24" s="2069"/>
      <c r="L24" s="2069"/>
      <c r="M24" s="2069"/>
      <c r="N24" s="2069"/>
      <c r="O24" s="2069"/>
      <c r="P24" s="2069"/>
      <c r="Q24" s="2069"/>
      <c r="R24" s="2069"/>
      <c r="S24" s="2069"/>
      <c r="T24" s="2069"/>
      <c r="U24" s="2069"/>
      <c r="V24" s="2069"/>
      <c r="W24" s="2069"/>
      <c r="X24" s="2069"/>
    </row>
    <row r="25" spans="1:24" ht="15" x14ac:dyDescent="0.25">
      <c r="A25" s="1237"/>
      <c r="B25" s="1237"/>
      <c r="C25" s="1195"/>
      <c r="D25" s="1195"/>
      <c r="E25" s="1195"/>
      <c r="F25" s="1195"/>
      <c r="G25" s="1195"/>
      <c r="H25" s="1195"/>
      <c r="I25" s="1195"/>
      <c r="J25" s="1195"/>
      <c r="K25" s="1195"/>
      <c r="L25" s="1195"/>
      <c r="M25" s="1195"/>
      <c r="N25" s="1195"/>
      <c r="O25" s="1195"/>
      <c r="P25" s="1195"/>
      <c r="Q25" s="1195"/>
      <c r="R25" s="1195"/>
      <c r="S25" s="1195"/>
      <c r="T25" s="1195"/>
      <c r="U25" s="1195"/>
      <c r="V25" s="1195"/>
      <c r="W25" s="1195"/>
      <c r="X25" s="1195"/>
    </row>
    <row r="26" spans="1:24" ht="15" x14ac:dyDescent="0.25">
      <c r="A26" s="2112" t="s">
        <v>1774</v>
      </c>
      <c r="B26" s="2112"/>
      <c r="C26" s="2112"/>
      <c r="D26" s="2112"/>
      <c r="E26" s="2112"/>
      <c r="F26" s="2112"/>
      <c r="G26" s="2112"/>
      <c r="H26" s="2112"/>
      <c r="I26" s="2112"/>
      <c r="J26" s="2112"/>
      <c r="K26" s="2112"/>
      <c r="L26" s="2112"/>
      <c r="M26" s="2112"/>
      <c r="N26" s="2112"/>
      <c r="O26" s="2112"/>
      <c r="P26" s="2112"/>
      <c r="Q26" s="2112"/>
      <c r="R26" s="2112"/>
      <c r="S26" s="2112"/>
      <c r="T26" s="2112"/>
      <c r="U26" s="2112"/>
      <c r="V26" s="2112"/>
      <c r="W26" s="2112"/>
      <c r="X26" s="2112"/>
    </row>
    <row r="27" spans="1:24" ht="15" x14ac:dyDescent="0.25">
      <c r="A27" s="1240"/>
      <c r="B27" s="1240"/>
      <c r="C27" s="1197"/>
      <c r="D27" s="1197"/>
      <c r="E27" s="1197"/>
      <c r="F27" s="1197"/>
      <c r="G27" s="1197"/>
      <c r="H27" s="1197"/>
      <c r="I27" s="1197"/>
      <c r="J27" s="1197"/>
      <c r="K27" s="1197"/>
      <c r="L27" s="1197"/>
      <c r="M27" s="1197"/>
      <c r="N27" s="1197"/>
      <c r="O27" s="1197"/>
      <c r="P27" s="1197"/>
      <c r="Q27" s="1198"/>
      <c r="R27" s="1197"/>
      <c r="S27" s="1197"/>
      <c r="T27" s="1197"/>
      <c r="U27" s="1197"/>
      <c r="V27" s="1197"/>
      <c r="W27" s="1197"/>
      <c r="X27" s="1197"/>
    </row>
    <row r="28" spans="1:24" ht="15" customHeight="1" x14ac:dyDescent="0.25">
      <c r="A28" s="2113" t="s">
        <v>37</v>
      </c>
      <c r="B28" s="2093" t="s">
        <v>1726</v>
      </c>
      <c r="C28" s="2115" t="s">
        <v>2</v>
      </c>
      <c r="D28" s="2117" t="s">
        <v>1727</v>
      </c>
      <c r="E28" s="2117" t="s">
        <v>117</v>
      </c>
      <c r="F28" s="2117" t="s">
        <v>1775</v>
      </c>
      <c r="G28" s="2117" t="s">
        <v>1729</v>
      </c>
      <c r="H28" s="2119" t="s">
        <v>1730</v>
      </c>
      <c r="I28" s="2119"/>
      <c r="J28" s="2119"/>
      <c r="K28" s="2119"/>
      <c r="L28" s="2119"/>
      <c r="M28" s="2119"/>
      <c r="N28" s="2119"/>
      <c r="O28" s="2133"/>
      <c r="P28" s="1661"/>
      <c r="Q28" s="2120" t="s">
        <v>1731</v>
      </c>
      <c r="R28" s="2119"/>
      <c r="S28" s="2119"/>
      <c r="T28" s="2119"/>
      <c r="U28" s="2119"/>
      <c r="V28" s="2119"/>
      <c r="W28" s="2119"/>
      <c r="X28" s="2121"/>
    </row>
    <row r="29" spans="1:24" ht="81.75" customHeight="1" x14ac:dyDescent="0.2">
      <c r="A29" s="2114"/>
      <c r="B29" s="2094"/>
      <c r="C29" s="2116"/>
      <c r="D29" s="2118"/>
      <c r="E29" s="2118"/>
      <c r="F29" s="2118"/>
      <c r="G29" s="2118"/>
      <c r="H29" s="1154" t="s">
        <v>2383</v>
      </c>
      <c r="I29" s="1154" t="s">
        <v>1776</v>
      </c>
      <c r="J29" s="1154" t="s">
        <v>1777</v>
      </c>
      <c r="K29" s="1154" t="s">
        <v>1778</v>
      </c>
      <c r="L29" s="1154" t="s">
        <v>1755</v>
      </c>
      <c r="M29" s="1154" t="s">
        <v>1756</v>
      </c>
      <c r="N29" s="1154" t="s">
        <v>1757</v>
      </c>
      <c r="O29" s="1157" t="s">
        <v>1739</v>
      </c>
      <c r="P29" s="1159" t="s">
        <v>1758</v>
      </c>
      <c r="Q29" s="1227" t="s">
        <v>1741</v>
      </c>
      <c r="R29" s="1154" t="s">
        <v>1742</v>
      </c>
      <c r="S29" s="1154" t="s">
        <v>1779</v>
      </c>
      <c r="T29" s="1154" t="s">
        <v>1780</v>
      </c>
      <c r="U29" s="1154" t="s">
        <v>1745</v>
      </c>
      <c r="V29" s="1154" t="s">
        <v>1746</v>
      </c>
      <c r="W29" s="1154" t="s">
        <v>1747</v>
      </c>
      <c r="X29" s="1159" t="s">
        <v>1781</v>
      </c>
    </row>
    <row r="30" spans="1:24" ht="18.75" customHeight="1" x14ac:dyDescent="0.2">
      <c r="A30" s="2124" t="s">
        <v>195</v>
      </c>
      <c r="B30" s="2123" t="s">
        <v>226</v>
      </c>
      <c r="C30" s="2122" t="s">
        <v>2252</v>
      </c>
      <c r="D30" s="1201" t="s">
        <v>1855</v>
      </c>
      <c r="E30" s="1243" t="s">
        <v>1288</v>
      </c>
      <c r="F30" s="1243" t="s">
        <v>128</v>
      </c>
      <c r="G30" s="1202" t="s">
        <v>1829</v>
      </c>
      <c r="H30" s="1165"/>
      <c r="I30" s="1165"/>
      <c r="J30" s="1165"/>
      <c r="K30" s="1165"/>
      <c r="L30" s="1165"/>
      <c r="M30" s="1165"/>
      <c r="N30" s="1165"/>
      <c r="O30" s="1165"/>
      <c r="P30" s="1203"/>
      <c r="Q30" s="1204"/>
      <c r="R30" s="1165"/>
      <c r="S30" s="1165"/>
      <c r="T30" s="1165"/>
      <c r="U30" s="1165"/>
      <c r="V30" s="1165"/>
      <c r="W30" s="1165"/>
      <c r="X30" s="1203">
        <v>1356000</v>
      </c>
    </row>
    <row r="31" spans="1:24" ht="18.75" customHeight="1" x14ac:dyDescent="0.2">
      <c r="A31" s="2101"/>
      <c r="B31" s="2105"/>
      <c r="C31" s="2103"/>
      <c r="D31" s="1236" t="s">
        <v>1855</v>
      </c>
      <c r="E31" s="1232" t="s">
        <v>176</v>
      </c>
      <c r="F31" s="1232" t="s">
        <v>151</v>
      </c>
      <c r="G31" s="1228" t="s">
        <v>1829</v>
      </c>
      <c r="H31" s="1233">
        <v>1200000</v>
      </c>
      <c r="I31" s="1233">
        <v>156000</v>
      </c>
      <c r="J31" s="1233"/>
      <c r="K31" s="1233"/>
      <c r="L31" s="1233"/>
      <c r="M31" s="1233"/>
      <c r="N31" s="1233"/>
      <c r="O31" s="1233"/>
      <c r="P31" s="1234"/>
      <c r="Q31" s="1235"/>
      <c r="R31" s="1233"/>
      <c r="S31" s="1233"/>
      <c r="T31" s="1233"/>
      <c r="U31" s="1233"/>
      <c r="V31" s="1233"/>
      <c r="W31" s="1233"/>
      <c r="X31" s="1234"/>
    </row>
    <row r="32" spans="1:24" ht="31.5" customHeight="1" x14ac:dyDescent="0.2">
      <c r="A32" s="1647" t="s">
        <v>196</v>
      </c>
      <c r="B32" s="1652" t="s">
        <v>2309</v>
      </c>
      <c r="C32" s="1651" t="s">
        <v>2317</v>
      </c>
      <c r="D32" s="1206" t="s">
        <v>1855</v>
      </c>
      <c r="E32" s="1244" t="s">
        <v>1288</v>
      </c>
      <c r="F32" s="1232" t="s">
        <v>128</v>
      </c>
      <c r="G32" s="1207" t="s">
        <v>1829</v>
      </c>
      <c r="H32" s="1233"/>
      <c r="I32" s="1245"/>
      <c r="J32" s="1245"/>
      <c r="K32" s="1245"/>
      <c r="L32" s="1245">
        <v>4638105</v>
      </c>
      <c r="M32" s="1245"/>
      <c r="N32" s="1245"/>
      <c r="O32" s="1245"/>
      <c r="P32" s="1246"/>
      <c r="Q32" s="1247"/>
      <c r="R32" s="1245"/>
      <c r="S32" s="1245"/>
      <c r="T32" s="1245"/>
      <c r="U32" s="1245"/>
      <c r="V32" s="1245"/>
      <c r="W32" s="1245"/>
      <c r="X32" s="1246">
        <v>4638105</v>
      </c>
    </row>
    <row r="33" spans="1:24" ht="42" customHeight="1" x14ac:dyDescent="0.2">
      <c r="A33" s="1647" t="s">
        <v>197</v>
      </c>
      <c r="B33" s="1372" t="s">
        <v>229</v>
      </c>
      <c r="C33" s="1651" t="s">
        <v>2598</v>
      </c>
      <c r="D33" s="1212" t="s">
        <v>1855</v>
      </c>
      <c r="E33" s="1244" t="s">
        <v>176</v>
      </c>
      <c r="F33" s="1244" t="s">
        <v>135</v>
      </c>
      <c r="G33" s="1213" t="s">
        <v>1837</v>
      </c>
      <c r="H33" s="1245"/>
      <c r="I33" s="1245"/>
      <c r="J33" s="1245">
        <f>-14488-24559+39047</f>
        <v>0</v>
      </c>
      <c r="K33" s="1245"/>
      <c r="L33" s="1245"/>
      <c r="M33" s="1245"/>
      <c r="N33" s="1245"/>
      <c r="O33" s="1245"/>
      <c r="P33" s="1246"/>
      <c r="Q33" s="1247"/>
      <c r="R33" s="1245"/>
      <c r="S33" s="1245"/>
      <c r="T33" s="1245"/>
      <c r="U33" s="1245"/>
      <c r="V33" s="1245"/>
      <c r="W33" s="1245"/>
      <c r="X33" s="1246"/>
    </row>
    <row r="34" spans="1:24" ht="18.75" x14ac:dyDescent="0.3">
      <c r="A34" s="2082" t="s">
        <v>1749</v>
      </c>
      <c r="B34" s="2083"/>
      <c r="C34" s="2084"/>
      <c r="D34" s="1179"/>
      <c r="E34" s="1179"/>
      <c r="F34" s="1179"/>
      <c r="G34" s="1179"/>
      <c r="H34" s="1365">
        <f t="shared" ref="H34:X34" si="1">SUM(H30:H33)+H15</f>
        <v>1200000</v>
      </c>
      <c r="I34" s="1365">
        <f t="shared" si="1"/>
        <v>156000</v>
      </c>
      <c r="J34" s="1365">
        <f t="shared" si="1"/>
        <v>1574225</v>
      </c>
      <c r="K34" s="1365">
        <f t="shared" si="1"/>
        <v>0</v>
      </c>
      <c r="L34" s="1365">
        <f t="shared" si="1"/>
        <v>4638105</v>
      </c>
      <c r="M34" s="1365">
        <f t="shared" si="1"/>
        <v>0</v>
      </c>
      <c r="N34" s="1365">
        <f t="shared" si="1"/>
        <v>0</v>
      </c>
      <c r="O34" s="1365">
        <f t="shared" si="1"/>
        <v>0</v>
      </c>
      <c r="P34" s="1366">
        <f t="shared" si="1"/>
        <v>0</v>
      </c>
      <c r="Q34" s="1367">
        <f t="shared" si="1"/>
        <v>20000</v>
      </c>
      <c r="R34" s="1365">
        <f t="shared" si="1"/>
        <v>0</v>
      </c>
      <c r="S34" s="1365">
        <f t="shared" si="1"/>
        <v>0</v>
      </c>
      <c r="T34" s="1365">
        <f t="shared" si="1"/>
        <v>1454225</v>
      </c>
      <c r="U34" s="1365">
        <f t="shared" si="1"/>
        <v>0</v>
      </c>
      <c r="V34" s="1365">
        <f t="shared" si="1"/>
        <v>0</v>
      </c>
      <c r="W34" s="1365">
        <f t="shared" si="1"/>
        <v>0</v>
      </c>
      <c r="X34" s="1366">
        <f t="shared" si="1"/>
        <v>6094105</v>
      </c>
    </row>
    <row r="35" spans="1:24" ht="17.25" customHeight="1" x14ac:dyDescent="0.25">
      <c r="A35" s="1220"/>
      <c r="B35" s="1220"/>
      <c r="C35" s="1248"/>
      <c r="D35" s="1195"/>
      <c r="E35" s="1249"/>
      <c r="F35" s="1249"/>
      <c r="G35" s="1239"/>
      <c r="H35" s="1250"/>
      <c r="I35" s="1250"/>
      <c r="J35" s="1250"/>
      <c r="K35" s="1250"/>
      <c r="L35" s="1250"/>
      <c r="M35" s="1250"/>
      <c r="N35" s="1250"/>
      <c r="O35" s="1250"/>
      <c r="P35" s="1250"/>
      <c r="Q35" s="1250"/>
      <c r="R35" s="1250"/>
      <c r="S35" s="1250"/>
      <c r="T35" s="1250"/>
      <c r="U35" s="1250"/>
      <c r="V35" s="1250"/>
      <c r="W35" s="1250"/>
      <c r="X35" s="1250"/>
    </row>
    <row r="36" spans="1:24" ht="17.25" customHeight="1" x14ac:dyDescent="0.25">
      <c r="A36" s="1220"/>
      <c r="B36" s="1220"/>
      <c r="C36" s="1248"/>
      <c r="D36" s="1195"/>
      <c r="E36" s="1249"/>
      <c r="F36" s="1249"/>
      <c r="G36" s="1239"/>
      <c r="H36" s="1250"/>
      <c r="I36" s="1250"/>
      <c r="J36" s="1250"/>
      <c r="K36" s="1250"/>
      <c r="L36" s="1250"/>
      <c r="M36" s="1250"/>
      <c r="N36" s="1250"/>
      <c r="O36" s="1250"/>
      <c r="P36" s="1250"/>
      <c r="Q36" s="1250"/>
      <c r="R36" s="1250"/>
      <c r="S36" s="1250"/>
      <c r="T36" s="1250"/>
      <c r="U36" s="1250"/>
      <c r="V36" s="1250"/>
      <c r="W36" s="1250"/>
      <c r="X36" s="1250"/>
    </row>
    <row r="37" spans="1:24" ht="15" x14ac:dyDescent="0.25">
      <c r="A37" s="1240"/>
      <c r="B37" s="1240"/>
      <c r="C37" s="1197"/>
      <c r="D37" s="1197"/>
      <c r="E37" s="1197"/>
      <c r="F37" s="1197"/>
      <c r="G37" s="1197"/>
      <c r="H37" s="1224"/>
      <c r="I37" s="1224"/>
      <c r="J37" s="1224"/>
      <c r="K37" s="1224"/>
      <c r="L37" s="1224"/>
      <c r="M37" s="1224"/>
      <c r="N37" s="1224"/>
      <c r="O37" s="1224"/>
      <c r="P37" s="1224"/>
      <c r="Q37" s="1224"/>
      <c r="R37" s="1224"/>
      <c r="S37" s="1224"/>
      <c r="T37" s="1224"/>
      <c r="U37" s="1224"/>
      <c r="V37" s="1224"/>
      <c r="W37" s="1224"/>
      <c r="X37" s="1224"/>
    </row>
    <row r="38" spans="1:24" ht="23.25" customHeight="1" x14ac:dyDescent="0.25">
      <c r="A38" s="1240"/>
      <c r="B38" s="1240"/>
      <c r="C38" s="1197"/>
      <c r="D38" s="1197"/>
      <c r="E38" s="1197"/>
      <c r="F38" s="1197"/>
      <c r="G38" s="1197"/>
      <c r="H38" s="1224"/>
      <c r="I38" s="2108" t="s">
        <v>1750</v>
      </c>
      <c r="J38" s="2108"/>
      <c r="K38" s="2108"/>
      <c r="L38" s="2108">
        <v>97984414</v>
      </c>
      <c r="M38" s="2108"/>
      <c r="N38" s="1225"/>
      <c r="O38" s="1225"/>
      <c r="P38" s="1225"/>
      <c r="Q38" s="1225"/>
      <c r="R38" s="2108" t="s">
        <v>1751</v>
      </c>
      <c r="S38" s="2108"/>
      <c r="T38" s="2108"/>
      <c r="U38" s="2108">
        <v>97984414</v>
      </c>
      <c r="V38" s="2108"/>
      <c r="W38" s="1224"/>
      <c r="X38" s="1224"/>
    </row>
    <row r="39" spans="1:24" ht="21.75" customHeight="1" x14ac:dyDescent="0.25">
      <c r="A39" s="1240"/>
      <c r="B39" s="1240"/>
      <c r="C39" s="1197"/>
      <c r="D39" s="1197"/>
      <c r="E39" s="1197"/>
      <c r="F39" s="1197"/>
      <c r="G39" s="1197"/>
      <c r="H39" s="1224"/>
      <c r="I39" s="2066" t="s">
        <v>3474</v>
      </c>
      <c r="J39" s="2066"/>
      <c r="K39" s="2066"/>
      <c r="L39" s="2108">
        <f>SUM(H34:P34)</f>
        <v>7568330</v>
      </c>
      <c r="M39" s="2108"/>
      <c r="N39" s="1225"/>
      <c r="O39" s="1225"/>
      <c r="P39" s="1225"/>
      <c r="Q39" s="1225"/>
      <c r="R39" s="2066" t="s">
        <v>3474</v>
      </c>
      <c r="S39" s="2066"/>
      <c r="T39" s="2066"/>
      <c r="U39" s="2108">
        <f>SUM(Q34:X34)</f>
        <v>7568330</v>
      </c>
      <c r="V39" s="2108"/>
      <c r="W39" s="1224"/>
      <c r="X39" s="1224"/>
    </row>
    <row r="40" spans="1:24" ht="22.5" customHeight="1" x14ac:dyDescent="0.25">
      <c r="A40" s="1240"/>
      <c r="B40" s="1240"/>
      <c r="C40" s="1197"/>
      <c r="D40" s="1197"/>
      <c r="E40" s="1197"/>
      <c r="F40" s="1197"/>
      <c r="G40" s="1197"/>
      <c r="H40" s="1224"/>
      <c r="I40" s="2108" t="s">
        <v>1561</v>
      </c>
      <c r="J40" s="2108"/>
      <c r="K40" s="2108"/>
      <c r="L40" s="2108">
        <f>+L38+L39</f>
        <v>105552744</v>
      </c>
      <c r="M40" s="2108"/>
      <c r="N40" s="1225"/>
      <c r="O40" s="1225"/>
      <c r="P40" s="1225"/>
      <c r="Q40" s="1225"/>
      <c r="R40" s="2108" t="s">
        <v>1561</v>
      </c>
      <c r="S40" s="2108"/>
      <c r="T40" s="2108"/>
      <c r="U40" s="2108">
        <f>+U38+U39</f>
        <v>105552744</v>
      </c>
      <c r="V40" s="2108"/>
      <c r="W40" s="1224"/>
      <c r="X40" s="1224"/>
    </row>
    <row r="41" spans="1:24" x14ac:dyDescent="0.2">
      <c r="A41" s="348"/>
      <c r="B41" s="348"/>
      <c r="C41" s="348"/>
      <c r="D41" s="348"/>
      <c r="E41" s="348"/>
      <c r="F41" s="348"/>
      <c r="G41" s="348"/>
      <c r="H41" s="348"/>
      <c r="I41" s="348"/>
      <c r="J41" s="348"/>
      <c r="K41" s="348"/>
      <c r="L41" s="348"/>
      <c r="M41" s="348"/>
      <c r="N41" s="348"/>
      <c r="O41" s="348"/>
      <c r="P41" s="348"/>
      <c r="Q41" s="348"/>
      <c r="R41" s="348"/>
      <c r="S41" s="348"/>
      <c r="T41" s="348"/>
      <c r="U41" s="348"/>
      <c r="V41" s="348"/>
      <c r="W41" s="348"/>
      <c r="X41" s="348"/>
    </row>
    <row r="42" spans="1:24" x14ac:dyDescent="0.2">
      <c r="A42" s="348"/>
      <c r="B42" s="348"/>
      <c r="C42" s="348"/>
      <c r="D42" s="348"/>
      <c r="E42" s="348"/>
      <c r="F42" s="348"/>
      <c r="G42" s="348"/>
      <c r="H42" s="348"/>
      <c r="I42" s="348"/>
      <c r="J42" s="348"/>
      <c r="K42" s="348"/>
      <c r="L42" s="348"/>
      <c r="M42" s="348"/>
      <c r="N42" s="348"/>
      <c r="O42" s="348"/>
      <c r="P42" s="348"/>
      <c r="Q42" s="348"/>
      <c r="R42" s="348"/>
      <c r="S42" s="348"/>
      <c r="T42" s="348"/>
      <c r="U42" s="348"/>
      <c r="V42" s="348"/>
      <c r="W42" s="348"/>
      <c r="X42" s="348"/>
    </row>
    <row r="43" spans="1:24" x14ac:dyDescent="0.2">
      <c r="A43" s="348"/>
      <c r="B43" s="348"/>
      <c r="C43" s="348"/>
      <c r="D43" s="348"/>
      <c r="E43" s="348"/>
      <c r="F43" s="348"/>
      <c r="G43" s="348"/>
      <c r="H43" s="348"/>
      <c r="I43" s="348"/>
      <c r="J43" s="348"/>
      <c r="K43" s="348"/>
      <c r="L43" s="348"/>
      <c r="M43" s="348"/>
      <c r="N43" s="348"/>
      <c r="O43" s="348"/>
      <c r="P43" s="348"/>
      <c r="Q43" s="348"/>
      <c r="R43" s="348"/>
      <c r="S43" s="348"/>
      <c r="T43" s="348"/>
      <c r="U43" s="348"/>
      <c r="V43" s="348"/>
      <c r="W43" s="348"/>
      <c r="X43" s="348"/>
    </row>
    <row r="44" spans="1:24" x14ac:dyDescent="0.2">
      <c r="A44" s="348"/>
      <c r="B44" s="348"/>
      <c r="C44" s="348"/>
      <c r="D44" s="348"/>
      <c r="E44" s="348"/>
      <c r="F44" s="348"/>
      <c r="G44" s="348"/>
      <c r="H44" s="348"/>
      <c r="I44" s="348"/>
      <c r="J44" s="348"/>
      <c r="K44" s="348"/>
      <c r="L44" s="348"/>
      <c r="M44" s="348"/>
      <c r="N44" s="348"/>
      <c r="O44" s="348"/>
      <c r="P44" s="348"/>
      <c r="Q44" s="348"/>
      <c r="R44" s="348"/>
      <c r="S44" s="348"/>
      <c r="T44" s="348"/>
      <c r="U44" s="348"/>
      <c r="V44" s="348"/>
      <c r="W44" s="348"/>
      <c r="X44" s="348"/>
    </row>
    <row r="45" spans="1:24" ht="15.75" x14ac:dyDescent="0.25">
      <c r="A45" s="2069" t="s">
        <v>2824</v>
      </c>
      <c r="B45" s="2069"/>
      <c r="C45" s="2069"/>
      <c r="D45" s="2069"/>
      <c r="E45" s="2069"/>
      <c r="F45" s="2069"/>
      <c r="G45" s="2069"/>
      <c r="H45" s="2069"/>
      <c r="I45" s="2069"/>
      <c r="J45" s="2069"/>
      <c r="K45" s="2069"/>
      <c r="L45" s="2069"/>
      <c r="M45" s="2069"/>
      <c r="N45" s="2069"/>
      <c r="O45" s="2069"/>
      <c r="P45" s="2069"/>
      <c r="Q45" s="2069"/>
      <c r="R45" s="2069"/>
      <c r="S45" s="2069"/>
      <c r="T45" s="2069"/>
      <c r="U45" s="2069"/>
      <c r="V45" s="2069"/>
      <c r="W45" s="2069"/>
      <c r="X45" s="2069"/>
    </row>
    <row r="46" spans="1:24" ht="15" x14ac:dyDescent="0.25">
      <c r="A46" s="1237"/>
      <c r="B46" s="1237"/>
      <c r="C46" s="1195"/>
      <c r="D46" s="1195"/>
      <c r="E46" s="1195"/>
      <c r="F46" s="1195"/>
      <c r="G46" s="1195"/>
      <c r="H46" s="1195"/>
      <c r="I46" s="1195"/>
      <c r="J46" s="1195"/>
      <c r="K46" s="1195"/>
      <c r="L46" s="1195"/>
      <c r="M46" s="1195"/>
      <c r="N46" s="1195"/>
      <c r="O46" s="1195"/>
      <c r="P46" s="1195"/>
      <c r="Q46" s="1195"/>
      <c r="R46" s="1195"/>
      <c r="S46" s="1195"/>
      <c r="T46" s="1195"/>
      <c r="U46" s="1195"/>
      <c r="V46" s="1195"/>
      <c r="W46" s="1195"/>
      <c r="X46" s="1195"/>
    </row>
    <row r="47" spans="1:24" ht="15" x14ac:dyDescent="0.25">
      <c r="A47" s="2112" t="s">
        <v>1774</v>
      </c>
      <c r="B47" s="2112"/>
      <c r="C47" s="2112"/>
      <c r="D47" s="2112"/>
      <c r="E47" s="2112"/>
      <c r="F47" s="2112"/>
      <c r="G47" s="2112"/>
      <c r="H47" s="2112"/>
      <c r="I47" s="2112"/>
      <c r="J47" s="2112"/>
      <c r="K47" s="2112"/>
      <c r="L47" s="2112"/>
      <c r="M47" s="2112"/>
      <c r="N47" s="2112"/>
      <c r="O47" s="2112"/>
      <c r="P47" s="2112"/>
      <c r="Q47" s="2112"/>
      <c r="R47" s="2112"/>
      <c r="S47" s="2112"/>
      <c r="T47" s="2112"/>
      <c r="U47" s="2112"/>
      <c r="V47" s="2112"/>
      <c r="W47" s="2112"/>
      <c r="X47" s="2112"/>
    </row>
    <row r="48" spans="1:24" ht="15" x14ac:dyDescent="0.25">
      <c r="A48" s="1240"/>
      <c r="B48" s="1240"/>
      <c r="C48" s="1197"/>
      <c r="D48" s="1197"/>
      <c r="E48" s="1197"/>
      <c r="F48" s="1197"/>
      <c r="G48" s="1197"/>
      <c r="H48" s="1197"/>
      <c r="I48" s="1197"/>
      <c r="J48" s="1197"/>
      <c r="K48" s="1197"/>
      <c r="L48" s="1197"/>
      <c r="M48" s="1197"/>
      <c r="N48" s="1197"/>
      <c r="O48" s="1197"/>
      <c r="P48" s="1197"/>
      <c r="Q48" s="1198"/>
      <c r="R48" s="1197"/>
      <c r="S48" s="1197"/>
      <c r="T48" s="1197"/>
      <c r="U48" s="1197"/>
      <c r="V48" s="1197"/>
      <c r="W48" s="1197"/>
      <c r="X48" s="1197"/>
    </row>
    <row r="49" spans="1:24" ht="15" customHeight="1" x14ac:dyDescent="0.25">
      <c r="A49" s="2113" t="s">
        <v>37</v>
      </c>
      <c r="B49" s="2093" t="s">
        <v>1726</v>
      </c>
      <c r="C49" s="2115" t="s">
        <v>2</v>
      </c>
      <c r="D49" s="2117" t="s">
        <v>1727</v>
      </c>
      <c r="E49" s="2117" t="s">
        <v>117</v>
      </c>
      <c r="F49" s="2117" t="s">
        <v>1775</v>
      </c>
      <c r="G49" s="2117" t="s">
        <v>1729</v>
      </c>
      <c r="H49" s="2119" t="s">
        <v>1730</v>
      </c>
      <c r="I49" s="2119"/>
      <c r="J49" s="2119"/>
      <c r="K49" s="2119"/>
      <c r="L49" s="2119"/>
      <c r="M49" s="2119"/>
      <c r="N49" s="2119"/>
      <c r="O49" s="2133"/>
      <c r="P49" s="1661"/>
      <c r="Q49" s="2120" t="s">
        <v>1731</v>
      </c>
      <c r="R49" s="2119"/>
      <c r="S49" s="2119"/>
      <c r="T49" s="2119"/>
      <c r="U49" s="2119"/>
      <c r="V49" s="2119"/>
      <c r="W49" s="2119"/>
      <c r="X49" s="2121"/>
    </row>
    <row r="50" spans="1:24" ht="88.5" customHeight="1" x14ac:dyDescent="0.2">
      <c r="A50" s="2114"/>
      <c r="B50" s="2094"/>
      <c r="C50" s="2116"/>
      <c r="D50" s="2118"/>
      <c r="E50" s="2118"/>
      <c r="F50" s="2118"/>
      <c r="G50" s="2118"/>
      <c r="H50" s="1154" t="s">
        <v>2383</v>
      </c>
      <c r="I50" s="1154" t="s">
        <v>1776</v>
      </c>
      <c r="J50" s="1154" t="s">
        <v>1777</v>
      </c>
      <c r="K50" s="1154" t="s">
        <v>1778</v>
      </c>
      <c r="L50" s="1154" t="s">
        <v>1755</v>
      </c>
      <c r="M50" s="1154" t="s">
        <v>1756</v>
      </c>
      <c r="N50" s="1154" t="s">
        <v>1757</v>
      </c>
      <c r="O50" s="1157" t="s">
        <v>1739</v>
      </c>
      <c r="P50" s="1159" t="s">
        <v>1758</v>
      </c>
      <c r="Q50" s="1227" t="s">
        <v>1741</v>
      </c>
      <c r="R50" s="1154" t="s">
        <v>1742</v>
      </c>
      <c r="S50" s="1154" t="s">
        <v>1779</v>
      </c>
      <c r="T50" s="1154" t="s">
        <v>1780</v>
      </c>
      <c r="U50" s="1154" t="s">
        <v>1745</v>
      </c>
      <c r="V50" s="1154" t="s">
        <v>1746</v>
      </c>
      <c r="W50" s="1154" t="s">
        <v>1747</v>
      </c>
      <c r="X50" s="1159" t="s">
        <v>1781</v>
      </c>
    </row>
    <row r="51" spans="1:24" ht="21" customHeight="1" x14ac:dyDescent="0.2">
      <c r="A51" s="2124" t="s">
        <v>198</v>
      </c>
      <c r="B51" s="2123" t="s">
        <v>230</v>
      </c>
      <c r="C51" s="2122" t="s">
        <v>2746</v>
      </c>
      <c r="D51" s="1201" t="s">
        <v>1855</v>
      </c>
      <c r="E51" s="1243" t="s">
        <v>1288</v>
      </c>
      <c r="F51" s="1243" t="s">
        <v>128</v>
      </c>
      <c r="G51" s="1202" t="s">
        <v>1829</v>
      </c>
      <c r="H51" s="1165"/>
      <c r="I51" s="1165"/>
      <c r="J51" s="1165"/>
      <c r="K51" s="1165"/>
      <c r="L51" s="1165"/>
      <c r="M51" s="1165"/>
      <c r="N51" s="1165"/>
      <c r="O51" s="1165"/>
      <c r="P51" s="1203"/>
      <c r="Q51" s="1204"/>
      <c r="R51" s="1165"/>
      <c r="S51" s="1165"/>
      <c r="T51" s="1165"/>
      <c r="U51" s="1165"/>
      <c r="V51" s="1165"/>
      <c r="W51" s="1165"/>
      <c r="X51" s="1203">
        <v>896000</v>
      </c>
    </row>
    <row r="52" spans="1:24" ht="21" customHeight="1" x14ac:dyDescent="0.2">
      <c r="A52" s="2101"/>
      <c r="B52" s="2105"/>
      <c r="C52" s="2103"/>
      <c r="D52" s="1236" t="s">
        <v>1855</v>
      </c>
      <c r="E52" s="1232" t="s">
        <v>176</v>
      </c>
      <c r="F52" s="1232" t="s">
        <v>151</v>
      </c>
      <c r="G52" s="1228" t="s">
        <v>1829</v>
      </c>
      <c r="H52" s="1233">
        <v>700000</v>
      </c>
      <c r="I52" s="1233">
        <v>196000</v>
      </c>
      <c r="J52" s="1233"/>
      <c r="K52" s="1233"/>
      <c r="L52" s="1233"/>
      <c r="M52" s="1233"/>
      <c r="N52" s="1233"/>
      <c r="O52" s="1233"/>
      <c r="P52" s="1234"/>
      <c r="Q52" s="1235"/>
      <c r="R52" s="1233"/>
      <c r="S52" s="1233"/>
      <c r="T52" s="1233"/>
      <c r="U52" s="1233"/>
      <c r="V52" s="1233"/>
      <c r="W52" s="1233"/>
      <c r="X52" s="1234"/>
    </row>
    <row r="53" spans="1:24" ht="29.25" customHeight="1" x14ac:dyDescent="0.2">
      <c r="A53" s="1647" t="s">
        <v>225</v>
      </c>
      <c r="B53" s="1652" t="s">
        <v>231</v>
      </c>
      <c r="C53" s="1205" t="s">
        <v>2213</v>
      </c>
      <c r="D53" s="1206" t="s">
        <v>1855</v>
      </c>
      <c r="E53" s="1232" t="s">
        <v>176</v>
      </c>
      <c r="F53" s="1232" t="s">
        <v>151</v>
      </c>
      <c r="G53" s="1207" t="s">
        <v>1829</v>
      </c>
      <c r="H53" s="1233"/>
      <c r="I53" s="1245"/>
      <c r="J53" s="1245">
        <f>236220+63780</f>
        <v>300000</v>
      </c>
      <c r="K53" s="1245"/>
      <c r="L53" s="1245"/>
      <c r="M53" s="1245"/>
      <c r="N53" s="1245"/>
      <c r="O53" s="1245"/>
      <c r="P53" s="1246"/>
      <c r="Q53" s="1247"/>
      <c r="R53" s="1245"/>
      <c r="S53" s="1245"/>
      <c r="T53" s="1245">
        <v>300000</v>
      </c>
      <c r="U53" s="1245"/>
      <c r="V53" s="1245"/>
      <c r="W53" s="1245"/>
      <c r="X53" s="1246"/>
    </row>
    <row r="54" spans="1:24" ht="29.25" customHeight="1" x14ac:dyDescent="0.2">
      <c r="A54" s="1647" t="s">
        <v>226</v>
      </c>
      <c r="B54" s="1652" t="s">
        <v>232</v>
      </c>
      <c r="C54" s="1211" t="s">
        <v>2856</v>
      </c>
      <c r="D54" s="1212" t="s">
        <v>1855</v>
      </c>
      <c r="E54" s="1244" t="s">
        <v>176</v>
      </c>
      <c r="F54" s="1244" t="s">
        <v>151</v>
      </c>
      <c r="G54" s="1213" t="s">
        <v>1837</v>
      </c>
      <c r="H54" s="1245">
        <f>-359685+359685</f>
        <v>0</v>
      </c>
      <c r="I54" s="1245"/>
      <c r="J54" s="1245"/>
      <c r="K54" s="1245"/>
      <c r="L54" s="1245"/>
      <c r="M54" s="1245"/>
      <c r="N54" s="1245"/>
      <c r="O54" s="1245"/>
      <c r="P54" s="1246"/>
      <c r="Q54" s="1247"/>
      <c r="R54" s="1245"/>
      <c r="S54" s="1245"/>
      <c r="T54" s="1245"/>
      <c r="U54" s="1245"/>
      <c r="V54" s="1245"/>
      <c r="W54" s="1245"/>
      <c r="X54" s="1246"/>
    </row>
    <row r="55" spans="1:24" ht="33.75" customHeight="1" x14ac:dyDescent="0.2">
      <c r="A55" s="1647" t="s">
        <v>227</v>
      </c>
      <c r="B55" s="1652" t="s">
        <v>233</v>
      </c>
      <c r="C55" s="1211" t="s">
        <v>2213</v>
      </c>
      <c r="D55" s="1212" t="s">
        <v>1855</v>
      </c>
      <c r="E55" s="1244" t="s">
        <v>176</v>
      </c>
      <c r="F55" s="1244" t="s">
        <v>151</v>
      </c>
      <c r="G55" s="1213" t="s">
        <v>1829</v>
      </c>
      <c r="H55" s="1245"/>
      <c r="I55" s="1245"/>
      <c r="J55" s="1245">
        <f>800000+216000</f>
        <v>1016000</v>
      </c>
      <c r="K55" s="1245"/>
      <c r="L55" s="1245"/>
      <c r="M55" s="1245"/>
      <c r="N55" s="1245"/>
      <c r="O55" s="1245"/>
      <c r="P55" s="1246"/>
      <c r="Q55" s="1247"/>
      <c r="R55" s="1245"/>
      <c r="S55" s="1245"/>
      <c r="T55" s="1245">
        <f>800000+216000</f>
        <v>1016000</v>
      </c>
      <c r="U55" s="1245"/>
      <c r="V55" s="1245"/>
      <c r="W55" s="1245"/>
      <c r="X55" s="1246"/>
    </row>
    <row r="56" spans="1:24" ht="33.75" customHeight="1" x14ac:dyDescent="0.2">
      <c r="A56" s="1647" t="s">
        <v>228</v>
      </c>
      <c r="B56" s="1652" t="s">
        <v>260</v>
      </c>
      <c r="C56" s="1211" t="s">
        <v>2989</v>
      </c>
      <c r="D56" s="1212" t="s">
        <v>1855</v>
      </c>
      <c r="E56" s="1244" t="s">
        <v>176</v>
      </c>
      <c r="F56" s="1244" t="s">
        <v>134</v>
      </c>
      <c r="G56" s="1213" t="s">
        <v>1829</v>
      </c>
      <c r="H56" s="1245"/>
      <c r="I56" s="1245"/>
      <c r="J56" s="1245">
        <v>507993</v>
      </c>
      <c r="K56" s="1245"/>
      <c r="L56" s="1245"/>
      <c r="M56" s="1245"/>
      <c r="N56" s="1245"/>
      <c r="O56" s="1245"/>
      <c r="P56" s="1246"/>
      <c r="Q56" s="1247"/>
      <c r="R56" s="1245"/>
      <c r="S56" s="1245"/>
      <c r="T56" s="1245"/>
      <c r="U56" s="1245"/>
      <c r="V56" s="1245">
        <v>507993</v>
      </c>
      <c r="W56" s="1245"/>
      <c r="X56" s="1246"/>
    </row>
    <row r="57" spans="1:24" ht="15" customHeight="1" x14ac:dyDescent="0.2">
      <c r="A57" s="1657"/>
      <c r="B57" s="1654"/>
      <c r="C57" s="1562"/>
      <c r="D57" s="1566"/>
      <c r="E57" s="1567"/>
      <c r="F57" s="1567"/>
      <c r="G57" s="1568"/>
      <c r="H57" s="1569"/>
      <c r="I57" s="1245"/>
      <c r="J57" s="1245"/>
      <c r="K57" s="1245"/>
      <c r="L57" s="1245"/>
      <c r="M57" s="1245"/>
      <c r="N57" s="1245"/>
      <c r="O57" s="1245"/>
      <c r="P57" s="1246"/>
      <c r="Q57" s="1247"/>
      <c r="R57" s="1245"/>
      <c r="S57" s="1245"/>
      <c r="T57" s="1245"/>
      <c r="U57" s="1245"/>
      <c r="V57" s="1245"/>
      <c r="W57" s="1245"/>
      <c r="X57" s="1246"/>
    </row>
    <row r="58" spans="1:24" ht="18.75" x14ac:dyDescent="0.3">
      <c r="A58" s="2082" t="s">
        <v>1749</v>
      </c>
      <c r="B58" s="2083"/>
      <c r="C58" s="2084"/>
      <c r="D58" s="1179"/>
      <c r="E58" s="1179"/>
      <c r="F58" s="1179"/>
      <c r="G58" s="1179"/>
      <c r="H58" s="1365">
        <f t="shared" ref="H58:X58" si="2">SUM(H51:H57)+H34</f>
        <v>1900000</v>
      </c>
      <c r="I58" s="1365">
        <f t="shared" si="2"/>
        <v>352000</v>
      </c>
      <c r="J58" s="1365">
        <f t="shared" si="2"/>
        <v>3398218</v>
      </c>
      <c r="K58" s="1365">
        <f t="shared" si="2"/>
        <v>0</v>
      </c>
      <c r="L58" s="1365">
        <f t="shared" si="2"/>
        <v>4638105</v>
      </c>
      <c r="M58" s="1365">
        <f t="shared" si="2"/>
        <v>0</v>
      </c>
      <c r="N58" s="1365">
        <f t="shared" si="2"/>
        <v>0</v>
      </c>
      <c r="O58" s="1365">
        <f t="shared" si="2"/>
        <v>0</v>
      </c>
      <c r="P58" s="1366">
        <f t="shared" si="2"/>
        <v>0</v>
      </c>
      <c r="Q58" s="1367">
        <f t="shared" si="2"/>
        <v>20000</v>
      </c>
      <c r="R58" s="1365">
        <f t="shared" si="2"/>
        <v>0</v>
      </c>
      <c r="S58" s="1365">
        <f t="shared" si="2"/>
        <v>0</v>
      </c>
      <c r="T58" s="1365">
        <f t="shared" si="2"/>
        <v>2770225</v>
      </c>
      <c r="U58" s="1365">
        <f t="shared" si="2"/>
        <v>0</v>
      </c>
      <c r="V58" s="1365">
        <f t="shared" si="2"/>
        <v>507993</v>
      </c>
      <c r="W58" s="1365">
        <f t="shared" si="2"/>
        <v>0</v>
      </c>
      <c r="X58" s="1366">
        <f t="shared" si="2"/>
        <v>6990105</v>
      </c>
    </row>
    <row r="59" spans="1:24" ht="17.25" customHeight="1" x14ac:dyDescent="0.25">
      <c r="A59" s="1220"/>
      <c r="B59" s="1220"/>
      <c r="C59" s="1248"/>
      <c r="D59" s="1195"/>
      <c r="E59" s="1249"/>
      <c r="F59" s="1249"/>
      <c r="G59" s="1239"/>
      <c r="H59" s="1250"/>
      <c r="I59" s="1250"/>
      <c r="J59" s="1250"/>
      <c r="K59" s="1250"/>
      <c r="L59" s="1250"/>
      <c r="M59" s="1250"/>
      <c r="N59" s="1250"/>
      <c r="O59" s="1250"/>
      <c r="P59" s="1250"/>
      <c r="Q59" s="1250"/>
      <c r="R59" s="1250"/>
      <c r="S59" s="1250"/>
      <c r="T59" s="1250"/>
      <c r="U59" s="1250"/>
      <c r="V59" s="1250"/>
      <c r="W59" s="1250"/>
      <c r="X59" s="1250"/>
    </row>
    <row r="60" spans="1:24" ht="17.25" customHeight="1" x14ac:dyDescent="0.25">
      <c r="A60" s="1220"/>
      <c r="B60" s="1220"/>
      <c r="C60" s="1248"/>
      <c r="D60" s="1195"/>
      <c r="E60" s="1249"/>
      <c r="F60" s="1249"/>
      <c r="G60" s="1239"/>
      <c r="H60" s="1250"/>
      <c r="I60" s="1250"/>
      <c r="J60" s="1250"/>
      <c r="K60" s="1250"/>
      <c r="L60" s="1250"/>
      <c r="M60" s="1250"/>
      <c r="N60" s="1250"/>
      <c r="O60" s="1250"/>
      <c r="P60" s="1250"/>
      <c r="Q60" s="1250"/>
      <c r="R60" s="1250"/>
      <c r="S60" s="1250"/>
      <c r="T60" s="1250"/>
      <c r="U60" s="1250"/>
      <c r="V60" s="1250"/>
      <c r="W60" s="1250"/>
      <c r="X60" s="1250"/>
    </row>
    <row r="61" spans="1:24" ht="15" x14ac:dyDescent="0.25">
      <c r="A61" s="1240"/>
      <c r="B61" s="1240"/>
      <c r="C61" s="1197"/>
      <c r="D61" s="1197"/>
      <c r="E61" s="1197"/>
      <c r="F61" s="1197"/>
      <c r="G61" s="1197"/>
      <c r="H61" s="1224"/>
      <c r="I61" s="1224"/>
      <c r="J61" s="1224"/>
      <c r="K61" s="1224"/>
      <c r="L61" s="1224"/>
      <c r="M61" s="1224"/>
      <c r="N61" s="1224"/>
      <c r="O61" s="1224"/>
      <c r="P61" s="1224"/>
      <c r="Q61" s="1224"/>
      <c r="R61" s="1224"/>
      <c r="S61" s="1224"/>
      <c r="T61" s="1224"/>
      <c r="U61" s="1224"/>
      <c r="V61" s="1224"/>
      <c r="W61" s="1224"/>
      <c r="X61" s="1224"/>
    </row>
    <row r="62" spans="1:24" ht="21" customHeight="1" x14ac:dyDescent="0.25">
      <c r="A62" s="1240"/>
      <c r="B62" s="1240"/>
      <c r="C62" s="1197"/>
      <c r="D62" s="1197"/>
      <c r="E62" s="1197"/>
      <c r="F62" s="1197"/>
      <c r="G62" s="1197"/>
      <c r="H62" s="1224"/>
      <c r="I62" s="2108" t="s">
        <v>1750</v>
      </c>
      <c r="J62" s="2108"/>
      <c r="K62" s="2108"/>
      <c r="L62" s="2108">
        <v>97984414</v>
      </c>
      <c r="M62" s="2108"/>
      <c r="N62" s="1225"/>
      <c r="O62" s="1225"/>
      <c r="P62" s="1225"/>
      <c r="Q62" s="1225"/>
      <c r="R62" s="2108" t="s">
        <v>1751</v>
      </c>
      <c r="S62" s="2108"/>
      <c r="T62" s="2108"/>
      <c r="U62" s="2108">
        <v>97984414</v>
      </c>
      <c r="V62" s="2108"/>
      <c r="W62" s="1224"/>
      <c r="X62" s="1224"/>
    </row>
    <row r="63" spans="1:24" ht="22.5" customHeight="1" x14ac:dyDescent="0.25">
      <c r="A63" s="1240"/>
      <c r="B63" s="1240"/>
      <c r="C63" s="1197"/>
      <c r="D63" s="1197"/>
      <c r="E63" s="1197"/>
      <c r="F63" s="1197"/>
      <c r="G63" s="1197"/>
      <c r="H63" s="1224"/>
      <c r="I63" s="2066" t="s">
        <v>3474</v>
      </c>
      <c r="J63" s="2066"/>
      <c r="K63" s="2066"/>
      <c r="L63" s="2108">
        <f>SUM(H58:P58)</f>
        <v>10288323</v>
      </c>
      <c r="M63" s="2108"/>
      <c r="N63" s="1225"/>
      <c r="O63" s="1225"/>
      <c r="P63" s="1225"/>
      <c r="Q63" s="1225"/>
      <c r="R63" s="2066" t="s">
        <v>3474</v>
      </c>
      <c r="S63" s="2066"/>
      <c r="T63" s="2066"/>
      <c r="U63" s="2108">
        <f>SUM(Q58:X58)</f>
        <v>10288323</v>
      </c>
      <c r="V63" s="2108"/>
      <c r="W63" s="1224"/>
      <c r="X63" s="1224"/>
    </row>
    <row r="64" spans="1:24" ht="21.75" customHeight="1" x14ac:dyDescent="0.25">
      <c r="A64" s="1240"/>
      <c r="B64" s="1240"/>
      <c r="C64" s="1197"/>
      <c r="D64" s="1197"/>
      <c r="E64" s="1197"/>
      <c r="F64" s="1197"/>
      <c r="G64" s="1197"/>
      <c r="H64" s="1224"/>
      <c r="I64" s="2108" t="s">
        <v>1561</v>
      </c>
      <c r="J64" s="2108"/>
      <c r="K64" s="2108"/>
      <c r="L64" s="2108">
        <f>+L62+L63</f>
        <v>108272737</v>
      </c>
      <c r="M64" s="2108"/>
      <c r="N64" s="1225"/>
      <c r="O64" s="1225"/>
      <c r="P64" s="1225"/>
      <c r="Q64" s="1225"/>
      <c r="R64" s="2108" t="s">
        <v>1561</v>
      </c>
      <c r="S64" s="2108"/>
      <c r="T64" s="2108"/>
      <c r="U64" s="2108">
        <f>+U62+U63</f>
        <v>108272737</v>
      </c>
      <c r="V64" s="2108"/>
      <c r="W64" s="1224"/>
      <c r="X64" s="1224"/>
    </row>
    <row r="65" spans="1:24" x14ac:dyDescent="0.2">
      <c r="A65" s="348"/>
      <c r="B65" s="348"/>
      <c r="C65" s="348"/>
      <c r="D65" s="348"/>
      <c r="E65" s="348"/>
      <c r="F65" s="348"/>
      <c r="G65" s="348"/>
      <c r="H65" s="348"/>
      <c r="I65" s="348"/>
      <c r="J65" s="348"/>
      <c r="K65" s="348"/>
      <c r="L65" s="348"/>
      <c r="M65" s="348"/>
      <c r="N65" s="348"/>
      <c r="O65" s="348"/>
      <c r="P65" s="348"/>
      <c r="Q65" s="348"/>
      <c r="R65" s="348"/>
      <c r="S65" s="348"/>
      <c r="T65" s="348"/>
      <c r="U65" s="348"/>
      <c r="V65" s="348"/>
      <c r="W65" s="348"/>
      <c r="X65" s="348"/>
    </row>
    <row r="66" spans="1:24" x14ac:dyDescent="0.2">
      <c r="A66" s="348"/>
      <c r="B66" s="348"/>
      <c r="C66" s="348"/>
      <c r="D66" s="348"/>
      <c r="E66" s="348"/>
      <c r="F66" s="348"/>
      <c r="G66" s="348"/>
      <c r="H66" s="348"/>
      <c r="I66" s="348"/>
      <c r="J66" s="348"/>
      <c r="K66" s="348"/>
      <c r="L66" s="348"/>
      <c r="M66" s="348"/>
      <c r="N66" s="348"/>
      <c r="O66" s="348"/>
      <c r="P66" s="348"/>
      <c r="Q66" s="348"/>
      <c r="R66" s="348"/>
      <c r="S66" s="348"/>
      <c r="T66" s="348"/>
      <c r="U66" s="348"/>
      <c r="V66" s="348"/>
      <c r="W66" s="348"/>
      <c r="X66" s="348"/>
    </row>
    <row r="67" spans="1:24" x14ac:dyDescent="0.2">
      <c r="A67" s="348"/>
      <c r="B67" s="348"/>
      <c r="C67" s="348"/>
      <c r="D67" s="348"/>
      <c r="E67" s="348"/>
      <c r="F67" s="348"/>
      <c r="G67" s="348"/>
      <c r="H67" s="348"/>
      <c r="I67" s="348"/>
      <c r="J67" s="348"/>
      <c r="K67" s="348"/>
      <c r="L67" s="348"/>
      <c r="M67" s="348"/>
      <c r="N67" s="348"/>
      <c r="O67" s="348"/>
      <c r="P67" s="348"/>
      <c r="Q67" s="348"/>
      <c r="R67" s="348"/>
      <c r="S67" s="348"/>
      <c r="T67" s="348"/>
      <c r="U67" s="348"/>
      <c r="V67" s="348"/>
      <c r="W67" s="348"/>
      <c r="X67" s="348"/>
    </row>
    <row r="68" spans="1:24" x14ac:dyDescent="0.2">
      <c r="A68" s="348"/>
      <c r="B68" s="348"/>
      <c r="C68" s="348"/>
      <c r="D68" s="348"/>
      <c r="E68" s="348"/>
      <c r="F68" s="348"/>
      <c r="G68" s="348"/>
      <c r="H68" s="348"/>
      <c r="I68" s="348"/>
      <c r="J68" s="348"/>
      <c r="K68" s="348"/>
      <c r="L68" s="348"/>
      <c r="M68" s="348"/>
      <c r="N68" s="348"/>
      <c r="O68" s="348"/>
      <c r="P68" s="348"/>
      <c r="Q68" s="348"/>
      <c r="R68" s="348"/>
      <c r="S68" s="348"/>
      <c r="T68" s="348"/>
      <c r="U68" s="348"/>
      <c r="V68" s="348"/>
      <c r="W68" s="348"/>
      <c r="X68" s="348"/>
    </row>
    <row r="69" spans="1:24" x14ac:dyDescent="0.2">
      <c r="A69" s="348"/>
      <c r="B69" s="348"/>
      <c r="C69" s="348"/>
      <c r="D69" s="348"/>
      <c r="E69" s="348"/>
      <c r="F69" s="348"/>
      <c r="G69" s="348"/>
      <c r="H69" s="348"/>
      <c r="I69" s="348"/>
      <c r="J69" s="348"/>
      <c r="K69" s="348"/>
      <c r="L69" s="348"/>
      <c r="M69" s="348"/>
      <c r="N69" s="348"/>
      <c r="O69" s="348"/>
      <c r="P69" s="348"/>
      <c r="Q69" s="348"/>
      <c r="R69" s="348"/>
      <c r="S69" s="348"/>
      <c r="T69" s="348"/>
      <c r="U69" s="348"/>
      <c r="V69" s="348"/>
      <c r="W69" s="348"/>
      <c r="X69" s="348"/>
    </row>
    <row r="70" spans="1:24" ht="15.75" x14ac:dyDescent="0.25">
      <c r="A70" s="2069" t="s">
        <v>3354</v>
      </c>
      <c r="B70" s="2069"/>
      <c r="C70" s="2069"/>
      <c r="D70" s="2069"/>
      <c r="E70" s="2069"/>
      <c r="F70" s="2069"/>
      <c r="G70" s="2069"/>
      <c r="H70" s="2069"/>
      <c r="I70" s="2069"/>
      <c r="J70" s="2069"/>
      <c r="K70" s="2069"/>
      <c r="L70" s="2069"/>
      <c r="M70" s="2069"/>
      <c r="N70" s="2069"/>
      <c r="O70" s="2069"/>
      <c r="P70" s="2069"/>
      <c r="Q70" s="2069"/>
      <c r="R70" s="2069"/>
      <c r="S70" s="2069"/>
      <c r="T70" s="2069"/>
      <c r="U70" s="2069"/>
      <c r="V70" s="2069"/>
      <c r="W70" s="2069"/>
      <c r="X70" s="2069"/>
    </row>
    <row r="71" spans="1:24" ht="15" x14ac:dyDescent="0.25">
      <c r="A71" s="1237"/>
      <c r="B71" s="1237"/>
      <c r="C71" s="1195"/>
      <c r="D71" s="1195"/>
      <c r="E71" s="1195"/>
      <c r="F71" s="1195"/>
      <c r="G71" s="1195"/>
      <c r="H71" s="1195"/>
      <c r="I71" s="1195"/>
      <c r="J71" s="1195"/>
      <c r="K71" s="1195"/>
      <c r="L71" s="1195"/>
      <c r="M71" s="1195"/>
      <c r="N71" s="1195"/>
      <c r="O71" s="1195"/>
      <c r="P71" s="1195"/>
      <c r="Q71" s="1195"/>
      <c r="R71" s="1195"/>
      <c r="S71" s="1195"/>
      <c r="T71" s="1195"/>
      <c r="U71" s="1195"/>
      <c r="V71" s="1195"/>
      <c r="W71" s="1195"/>
      <c r="X71" s="1195"/>
    </row>
    <row r="72" spans="1:24" ht="15" x14ac:dyDescent="0.25">
      <c r="A72" s="2112" t="s">
        <v>1774</v>
      </c>
      <c r="B72" s="2112"/>
      <c r="C72" s="2112"/>
      <c r="D72" s="2112"/>
      <c r="E72" s="2112"/>
      <c r="F72" s="2112"/>
      <c r="G72" s="2112"/>
      <c r="H72" s="2112"/>
      <c r="I72" s="2112"/>
      <c r="J72" s="2112"/>
      <c r="K72" s="2112"/>
      <c r="L72" s="2112"/>
      <c r="M72" s="2112"/>
      <c r="N72" s="2112"/>
      <c r="O72" s="2112"/>
      <c r="P72" s="2112"/>
      <c r="Q72" s="2112"/>
      <c r="R72" s="2112"/>
      <c r="S72" s="2112"/>
      <c r="T72" s="2112"/>
      <c r="U72" s="2112"/>
      <c r="V72" s="2112"/>
      <c r="W72" s="2112"/>
      <c r="X72" s="2112"/>
    </row>
    <row r="73" spans="1:24" ht="15" x14ac:dyDescent="0.25">
      <c r="A73" s="1240"/>
      <c r="B73" s="1240"/>
      <c r="C73" s="1197"/>
      <c r="D73" s="1197"/>
      <c r="E73" s="1197"/>
      <c r="F73" s="1197"/>
      <c r="G73" s="1197"/>
      <c r="H73" s="1197"/>
      <c r="I73" s="1197"/>
      <c r="J73" s="1197"/>
      <c r="K73" s="1197"/>
      <c r="L73" s="1197"/>
      <c r="M73" s="1197"/>
      <c r="N73" s="1197"/>
      <c r="O73" s="1197"/>
      <c r="P73" s="1197"/>
      <c r="Q73" s="1198"/>
      <c r="R73" s="1197"/>
      <c r="S73" s="1197"/>
      <c r="T73" s="1197"/>
      <c r="U73" s="1197"/>
      <c r="V73" s="1197"/>
      <c r="W73" s="1197"/>
      <c r="X73" s="1197"/>
    </row>
    <row r="74" spans="1:24" ht="15" x14ac:dyDescent="0.25">
      <c r="A74" s="2113" t="s">
        <v>37</v>
      </c>
      <c r="B74" s="2093" t="s">
        <v>1726</v>
      </c>
      <c r="C74" s="2115" t="s">
        <v>2</v>
      </c>
      <c r="D74" s="2117" t="s">
        <v>1727</v>
      </c>
      <c r="E74" s="2117" t="s">
        <v>117</v>
      </c>
      <c r="F74" s="2117" t="s">
        <v>1775</v>
      </c>
      <c r="G74" s="2117" t="s">
        <v>1729</v>
      </c>
      <c r="H74" s="2119" t="s">
        <v>1730</v>
      </c>
      <c r="I74" s="2119"/>
      <c r="J74" s="2119"/>
      <c r="K74" s="2119"/>
      <c r="L74" s="2119"/>
      <c r="M74" s="2119"/>
      <c r="N74" s="2119"/>
      <c r="O74" s="2133"/>
      <c r="P74" s="1661"/>
      <c r="Q74" s="2120" t="s">
        <v>1731</v>
      </c>
      <c r="R74" s="2119"/>
      <c r="S74" s="2119"/>
      <c r="T74" s="2119"/>
      <c r="U74" s="2119"/>
      <c r="V74" s="2119"/>
      <c r="W74" s="2119"/>
      <c r="X74" s="2121"/>
    </row>
    <row r="75" spans="1:24" ht="91.5" customHeight="1" x14ac:dyDescent="0.2">
      <c r="A75" s="2114"/>
      <c r="B75" s="2094"/>
      <c r="C75" s="2116"/>
      <c r="D75" s="2118"/>
      <c r="E75" s="2118"/>
      <c r="F75" s="2118"/>
      <c r="G75" s="2118"/>
      <c r="H75" s="1154" t="s">
        <v>2383</v>
      </c>
      <c r="I75" s="1154" t="s">
        <v>1776</v>
      </c>
      <c r="J75" s="1154" t="s">
        <v>1777</v>
      </c>
      <c r="K75" s="1154" t="s">
        <v>1778</v>
      </c>
      <c r="L75" s="1154" t="s">
        <v>1755</v>
      </c>
      <c r="M75" s="1154" t="s">
        <v>1756</v>
      </c>
      <c r="N75" s="1154" t="s">
        <v>1757</v>
      </c>
      <c r="O75" s="1157" t="s">
        <v>1739</v>
      </c>
      <c r="P75" s="1159" t="s">
        <v>1758</v>
      </c>
      <c r="Q75" s="1227" t="s">
        <v>1741</v>
      </c>
      <c r="R75" s="1154" t="s">
        <v>1742</v>
      </c>
      <c r="S75" s="1154" t="s">
        <v>1779</v>
      </c>
      <c r="T75" s="1154" t="s">
        <v>1780</v>
      </c>
      <c r="U75" s="1154" t="s">
        <v>1745</v>
      </c>
      <c r="V75" s="1154" t="s">
        <v>1746</v>
      </c>
      <c r="W75" s="1154" t="s">
        <v>1747</v>
      </c>
      <c r="X75" s="1159" t="s">
        <v>1781</v>
      </c>
    </row>
    <row r="76" spans="1:24" ht="43.5" customHeight="1" x14ac:dyDescent="0.2">
      <c r="A76" s="1656" t="s">
        <v>229</v>
      </c>
      <c r="B76" s="1653" t="s">
        <v>261</v>
      </c>
      <c r="C76" s="1200" t="s">
        <v>3118</v>
      </c>
      <c r="D76" s="1201" t="s">
        <v>1855</v>
      </c>
      <c r="E76" s="1243" t="s">
        <v>176</v>
      </c>
      <c r="F76" s="1243" t="s">
        <v>151</v>
      </c>
      <c r="G76" s="1202" t="s">
        <v>1837</v>
      </c>
      <c r="H76" s="1165"/>
      <c r="I76" s="1165"/>
      <c r="J76" s="1165">
        <f>-400000+400000</f>
        <v>0</v>
      </c>
      <c r="K76" s="1165"/>
      <c r="L76" s="1165"/>
      <c r="M76" s="1165"/>
      <c r="N76" s="1165"/>
      <c r="O76" s="1165"/>
      <c r="P76" s="1203"/>
      <c r="Q76" s="1204"/>
      <c r="R76" s="1165"/>
      <c r="S76" s="1165"/>
      <c r="T76" s="1165"/>
      <c r="U76" s="1165"/>
      <c r="V76" s="1165"/>
      <c r="W76" s="1165"/>
      <c r="X76" s="1203"/>
    </row>
    <row r="77" spans="1:24" ht="43.5" customHeight="1" x14ac:dyDescent="0.2">
      <c r="A77" s="1646" t="s">
        <v>230</v>
      </c>
      <c r="B77" s="1643" t="s">
        <v>262</v>
      </c>
      <c r="C77" s="1284" t="s">
        <v>3157</v>
      </c>
      <c r="D77" s="1236" t="s">
        <v>1855</v>
      </c>
      <c r="E77" s="1256" t="s">
        <v>1953</v>
      </c>
      <c r="F77" s="1256" t="s">
        <v>91</v>
      </c>
      <c r="G77" s="1228" t="s">
        <v>1837</v>
      </c>
      <c r="H77" s="1285"/>
      <c r="I77" s="1285"/>
      <c r="J77" s="1285">
        <f>-1561900+1561900</f>
        <v>0</v>
      </c>
      <c r="K77" s="1285"/>
      <c r="L77" s="1285"/>
      <c r="M77" s="1285"/>
      <c r="N77" s="1285"/>
      <c r="O77" s="1285"/>
      <c r="P77" s="1286"/>
      <c r="Q77" s="1287"/>
      <c r="R77" s="1285"/>
      <c r="S77" s="1285"/>
      <c r="T77" s="1285"/>
      <c r="U77" s="1285"/>
      <c r="V77" s="1285"/>
      <c r="W77" s="1285"/>
      <c r="X77" s="1286"/>
    </row>
    <row r="78" spans="1:24" ht="36" customHeight="1" x14ac:dyDescent="0.2">
      <c r="A78" s="1650" t="s">
        <v>231</v>
      </c>
      <c r="B78" s="1649" t="s">
        <v>263</v>
      </c>
      <c r="C78" s="1205" t="s">
        <v>3181</v>
      </c>
      <c r="D78" s="1206" t="s">
        <v>1855</v>
      </c>
      <c r="E78" s="1232" t="s">
        <v>176</v>
      </c>
      <c r="F78" s="1232" t="s">
        <v>151</v>
      </c>
      <c r="G78" s="1207" t="s">
        <v>1837</v>
      </c>
      <c r="H78" s="1208">
        <f>-4000000+4000000</f>
        <v>0</v>
      </c>
      <c r="I78" s="1208"/>
      <c r="J78" s="1208"/>
      <c r="K78" s="1208"/>
      <c r="L78" s="1208"/>
      <c r="M78" s="1208"/>
      <c r="N78" s="1208"/>
      <c r="O78" s="1208"/>
      <c r="P78" s="1209"/>
      <c r="Q78" s="1210"/>
      <c r="R78" s="1208"/>
      <c r="S78" s="1208"/>
      <c r="T78" s="1208"/>
      <c r="U78" s="1208"/>
      <c r="V78" s="1208"/>
      <c r="W78" s="1208"/>
      <c r="X78" s="1209"/>
    </row>
    <row r="79" spans="1:24" ht="36" customHeight="1" x14ac:dyDescent="0.2">
      <c r="A79" s="1650" t="s">
        <v>232</v>
      </c>
      <c r="B79" s="1649" t="s">
        <v>188</v>
      </c>
      <c r="C79" s="1205" t="s">
        <v>3373</v>
      </c>
      <c r="D79" s="1206" t="s">
        <v>1855</v>
      </c>
      <c r="E79" s="1232" t="s">
        <v>176</v>
      </c>
      <c r="F79" s="1232" t="s">
        <v>151</v>
      </c>
      <c r="G79" s="1207" t="s">
        <v>1837</v>
      </c>
      <c r="H79" s="1208">
        <f>-1700000-350000-251447+1894462+200000+96993</f>
        <v>-109992</v>
      </c>
      <c r="I79" s="1208">
        <v>109992</v>
      </c>
      <c r="J79" s="1208"/>
      <c r="K79" s="1208"/>
      <c r="L79" s="1208"/>
      <c r="M79" s="1208"/>
      <c r="N79" s="1208"/>
      <c r="O79" s="1208"/>
      <c r="P79" s="1209"/>
      <c r="Q79" s="1210"/>
      <c r="R79" s="1208"/>
      <c r="S79" s="1208"/>
      <c r="T79" s="1208"/>
      <c r="U79" s="1208"/>
      <c r="V79" s="1208"/>
      <c r="W79" s="1208"/>
      <c r="X79" s="1209"/>
    </row>
    <row r="80" spans="1:24" ht="41.25" customHeight="1" x14ac:dyDescent="0.2">
      <c r="A80" s="1650" t="s">
        <v>233</v>
      </c>
      <c r="B80" s="1649" t="s">
        <v>189</v>
      </c>
      <c r="C80" s="1205" t="s">
        <v>3403</v>
      </c>
      <c r="D80" s="1206" t="s">
        <v>1855</v>
      </c>
      <c r="E80" s="1232" t="s">
        <v>1953</v>
      </c>
      <c r="F80" s="1232" t="s">
        <v>91</v>
      </c>
      <c r="G80" s="1207" t="s">
        <v>1837</v>
      </c>
      <c r="H80" s="1208"/>
      <c r="I80" s="1208"/>
      <c r="J80" s="1208">
        <f>-80000+80000</f>
        <v>0</v>
      </c>
      <c r="K80" s="1208"/>
      <c r="L80" s="1208"/>
      <c r="M80" s="1208"/>
      <c r="N80" s="1208"/>
      <c r="O80" s="1208"/>
      <c r="P80" s="1209"/>
      <c r="Q80" s="1210"/>
      <c r="R80" s="1208"/>
      <c r="S80" s="1208"/>
      <c r="T80" s="1208"/>
      <c r="U80" s="1208"/>
      <c r="V80" s="1208"/>
      <c r="W80" s="1208"/>
      <c r="X80" s="1209"/>
    </row>
    <row r="81" spans="1:24" ht="43.5" customHeight="1" x14ac:dyDescent="0.2">
      <c r="A81" s="1650" t="s">
        <v>260</v>
      </c>
      <c r="B81" s="1649" t="s">
        <v>190</v>
      </c>
      <c r="C81" s="1205" t="s">
        <v>3438</v>
      </c>
      <c r="D81" s="1206" t="s">
        <v>1855</v>
      </c>
      <c r="E81" s="1232" t="s">
        <v>176</v>
      </c>
      <c r="F81" s="1232" t="s">
        <v>134</v>
      </c>
      <c r="G81" s="1207" t="s">
        <v>1837</v>
      </c>
      <c r="H81" s="1208"/>
      <c r="I81" s="1208"/>
      <c r="J81" s="1208">
        <v>756</v>
      </c>
      <c r="K81" s="1208"/>
      <c r="L81" s="1208"/>
      <c r="M81" s="1208">
        <f>-15323+14567</f>
        <v>-756</v>
      </c>
      <c r="N81" s="1208"/>
      <c r="O81" s="1208"/>
      <c r="P81" s="1209"/>
      <c r="Q81" s="1210"/>
      <c r="R81" s="1208"/>
      <c r="S81" s="1208"/>
      <c r="T81" s="1208"/>
      <c r="U81" s="1208"/>
      <c r="V81" s="1208"/>
      <c r="W81" s="1208"/>
      <c r="X81" s="1209"/>
    </row>
    <row r="82" spans="1:24" ht="24.75" customHeight="1" x14ac:dyDescent="0.2">
      <c r="A82" s="2099" t="s">
        <v>261</v>
      </c>
      <c r="B82" s="2129" t="s">
        <v>3469</v>
      </c>
      <c r="C82" s="2102" t="s">
        <v>3468</v>
      </c>
      <c r="D82" s="1206" t="s">
        <v>1855</v>
      </c>
      <c r="E82" s="1232" t="s">
        <v>176</v>
      </c>
      <c r="F82" s="1232" t="s">
        <v>151</v>
      </c>
      <c r="G82" s="1207" t="s">
        <v>1828</v>
      </c>
      <c r="H82" s="1208"/>
      <c r="I82" s="1173"/>
      <c r="J82" s="1173">
        <f>-346507-157677</f>
        <v>-504184</v>
      </c>
      <c r="K82" s="1173"/>
      <c r="L82" s="1173"/>
      <c r="M82" s="1173"/>
      <c r="N82" s="1173"/>
      <c r="O82" s="1173"/>
      <c r="P82" s="1174"/>
      <c r="Q82" s="1214"/>
      <c r="R82" s="1173"/>
      <c r="S82" s="1173"/>
      <c r="T82" s="1173">
        <f>-1191-39282-157677-96-305938</f>
        <v>-504184</v>
      </c>
      <c r="U82" s="1173"/>
      <c r="V82" s="1173"/>
      <c r="W82" s="1173"/>
      <c r="X82" s="1174"/>
    </row>
    <row r="83" spans="1:24" ht="24.75" customHeight="1" x14ac:dyDescent="0.2">
      <c r="A83" s="2101"/>
      <c r="B83" s="2131"/>
      <c r="C83" s="2103"/>
      <c r="D83" s="1206" t="s">
        <v>1855</v>
      </c>
      <c r="E83" s="1232" t="s">
        <v>176</v>
      </c>
      <c r="F83" s="1232" t="s">
        <v>830</v>
      </c>
      <c r="G83" s="1207" t="s">
        <v>1828</v>
      </c>
      <c r="H83" s="1208"/>
      <c r="I83" s="1173"/>
      <c r="J83" s="1173">
        <f>-100000-27000</f>
        <v>-127000</v>
      </c>
      <c r="K83" s="1173"/>
      <c r="L83" s="1173"/>
      <c r="M83" s="1173"/>
      <c r="N83" s="1173"/>
      <c r="O83" s="1173"/>
      <c r="P83" s="1174"/>
      <c r="Q83" s="1214"/>
      <c r="R83" s="1173"/>
      <c r="S83" s="1173"/>
      <c r="T83" s="1173">
        <f>-100000-27000</f>
        <v>-127000</v>
      </c>
      <c r="U83" s="1173"/>
      <c r="V83" s="1173"/>
      <c r="W83" s="1173"/>
      <c r="X83" s="1174"/>
    </row>
    <row r="84" spans="1:24" ht="30" customHeight="1" x14ac:dyDescent="0.2">
      <c r="A84" s="1657"/>
      <c r="B84" s="1654"/>
      <c r="C84" s="1654"/>
      <c r="D84" s="1206"/>
      <c r="E84" s="1232"/>
      <c r="F84" s="1232"/>
      <c r="G84" s="1207"/>
      <c r="H84" s="1233"/>
      <c r="I84" s="1245"/>
      <c r="J84" s="1245"/>
      <c r="K84" s="1245"/>
      <c r="L84" s="1245"/>
      <c r="M84" s="1245"/>
      <c r="N84" s="1245"/>
      <c r="O84" s="1245"/>
      <c r="P84" s="1246"/>
      <c r="Q84" s="1247"/>
      <c r="R84" s="1245"/>
      <c r="S84" s="1245"/>
      <c r="T84" s="1245"/>
      <c r="U84" s="1245"/>
      <c r="V84" s="1245"/>
      <c r="W84" s="1245"/>
      <c r="X84" s="1246"/>
    </row>
    <row r="85" spans="1:24" ht="18.75" x14ac:dyDescent="0.3">
      <c r="A85" s="2082" t="s">
        <v>1749</v>
      </c>
      <c r="B85" s="2083"/>
      <c r="C85" s="2084"/>
      <c r="D85" s="1179"/>
      <c r="E85" s="1179"/>
      <c r="F85" s="1179"/>
      <c r="G85" s="1179"/>
      <c r="H85" s="1365">
        <f t="shared" ref="H85:X85" si="3">SUM(H76:H84)+H58</f>
        <v>1790008</v>
      </c>
      <c r="I85" s="1365">
        <f t="shared" si="3"/>
        <v>461992</v>
      </c>
      <c r="J85" s="1365">
        <f t="shared" si="3"/>
        <v>2767790</v>
      </c>
      <c r="K85" s="1365">
        <f t="shared" si="3"/>
        <v>0</v>
      </c>
      <c r="L85" s="1365">
        <f t="shared" si="3"/>
        <v>4638105</v>
      </c>
      <c r="M85" s="1365">
        <f t="shared" si="3"/>
        <v>-756</v>
      </c>
      <c r="N85" s="1365">
        <f t="shared" si="3"/>
        <v>0</v>
      </c>
      <c r="O85" s="1365">
        <f t="shared" si="3"/>
        <v>0</v>
      </c>
      <c r="P85" s="1366">
        <f t="shared" si="3"/>
        <v>0</v>
      </c>
      <c r="Q85" s="1367">
        <f t="shared" si="3"/>
        <v>20000</v>
      </c>
      <c r="R85" s="1365">
        <f t="shared" si="3"/>
        <v>0</v>
      </c>
      <c r="S85" s="1365">
        <f t="shared" si="3"/>
        <v>0</v>
      </c>
      <c r="T85" s="1365">
        <f t="shared" si="3"/>
        <v>2139041</v>
      </c>
      <c r="U85" s="1365">
        <f t="shared" si="3"/>
        <v>0</v>
      </c>
      <c r="V85" s="1365">
        <f t="shared" si="3"/>
        <v>507993</v>
      </c>
      <c r="W85" s="1365">
        <f t="shared" si="3"/>
        <v>0</v>
      </c>
      <c r="X85" s="1366">
        <f t="shared" si="3"/>
        <v>6990105</v>
      </c>
    </row>
    <row r="86" spans="1:24" ht="17.25" customHeight="1" x14ac:dyDescent="0.25">
      <c r="A86" s="1220"/>
      <c r="B86" s="1220"/>
      <c r="C86" s="1248"/>
      <c r="D86" s="1195"/>
      <c r="E86" s="1249"/>
      <c r="F86" s="1249"/>
      <c r="G86" s="1239"/>
      <c r="H86" s="1250">
        <f>+'2.7. sz. Könyvtár'!W9-'2.7. sz. Könyvtár'!V9</f>
        <v>1790008</v>
      </c>
      <c r="I86" s="1250">
        <f>+'2.7. sz. Könyvtár'!W10-'2.7. sz. Könyvtár'!V10</f>
        <v>461992</v>
      </c>
      <c r="J86" s="1250">
        <f>+'2.7. sz. Könyvtár'!W11-'2.7. sz. Könyvtár'!V11</f>
        <v>2767790</v>
      </c>
      <c r="K86" s="1250">
        <f>+'2.7. sz. Könyvtár'!W12-'2.7. sz. Könyvtár'!V12</f>
        <v>0</v>
      </c>
      <c r="L86" s="1250">
        <f>+'2.7. sz. Könyvtár'!W13-'2.7. sz. Könyvtár'!V13</f>
        <v>4638105</v>
      </c>
      <c r="M86" s="1250">
        <f>+'2.7. sz. Könyvtár'!W17-'2.7. sz. Könyvtár'!V17</f>
        <v>-756</v>
      </c>
      <c r="N86" s="1250">
        <f>+'2.7. sz. Könyvtár'!W18-'2.7. sz. Könyvtár'!V18</f>
        <v>0</v>
      </c>
      <c r="O86" s="1250">
        <f>+'2.7. sz. Könyvtár'!W19-'2.7. sz. Könyvtár'!V19</f>
        <v>0</v>
      </c>
      <c r="P86" s="1250">
        <f>+'2.7. sz. Könyvtár'!W22-'2.7. sz. Könyvtár'!V22</f>
        <v>0</v>
      </c>
      <c r="Q86" s="1250">
        <f>+'2.7. sz. Könyvtár'!W31-'2.7. sz. Könyvtár'!V31</f>
        <v>20000</v>
      </c>
      <c r="R86" s="1250">
        <f>+'2.7. sz. Könyvtár'!W32-'2.7. sz. Könyvtár'!V32</f>
        <v>0</v>
      </c>
      <c r="S86" s="1250">
        <f>+'2.7. sz. Könyvtár'!W33-'2.7. sz. Könyvtár'!V33</f>
        <v>0</v>
      </c>
      <c r="T86" s="1250">
        <f>+'2.7. sz. Könyvtár'!W34-'2.7. sz. Könyvtár'!V34</f>
        <v>2139041</v>
      </c>
      <c r="U86" s="1250">
        <f>+'2.7. sz. Könyvtár'!W35-'2.7. sz. Könyvtár'!V35</f>
        <v>0</v>
      </c>
      <c r="V86" s="1250">
        <f>+'2.7. sz. Könyvtár'!W36-'2.7. sz. Könyvtár'!V36</f>
        <v>507993</v>
      </c>
      <c r="W86" s="1250">
        <f>+'2.7. sz. Könyvtár'!W37-'2.7. sz. Könyvtár'!V37</f>
        <v>0</v>
      </c>
      <c r="X86" s="1250">
        <f>+'2.7. sz. Könyvtár'!W39-'2.7. sz. Könyvtár'!V39</f>
        <v>6990105</v>
      </c>
    </row>
    <row r="87" spans="1:24" ht="17.25" customHeight="1" x14ac:dyDescent="0.25">
      <c r="A87" s="1220"/>
      <c r="B87" s="1220"/>
      <c r="C87" s="1248"/>
      <c r="D87" s="1195"/>
      <c r="E87" s="1249"/>
      <c r="F87" s="1249"/>
      <c r="G87" s="1239"/>
      <c r="H87" s="1250">
        <f>+H86-H85</f>
        <v>0</v>
      </c>
      <c r="I87" s="1250">
        <f t="shared" ref="I87" si="4">+I86-I85</f>
        <v>0</v>
      </c>
      <c r="J87" s="1250">
        <f>+J86-J85</f>
        <v>0</v>
      </c>
      <c r="K87" s="1250">
        <f t="shared" ref="K87:U87" si="5">+K86-K85</f>
        <v>0</v>
      </c>
      <c r="L87" s="1250">
        <f t="shared" si="5"/>
        <v>0</v>
      </c>
      <c r="M87" s="1250">
        <f t="shared" si="5"/>
        <v>0</v>
      </c>
      <c r="N87" s="1250">
        <f t="shared" si="5"/>
        <v>0</v>
      </c>
      <c r="O87" s="1250">
        <f t="shared" si="5"/>
        <v>0</v>
      </c>
      <c r="P87" s="1250">
        <f t="shared" si="5"/>
        <v>0</v>
      </c>
      <c r="Q87" s="1250">
        <f t="shared" si="5"/>
        <v>0</v>
      </c>
      <c r="R87" s="1250">
        <f t="shared" si="5"/>
        <v>0</v>
      </c>
      <c r="S87" s="1250">
        <f t="shared" si="5"/>
        <v>0</v>
      </c>
      <c r="T87" s="1250">
        <f t="shared" si="5"/>
        <v>0</v>
      </c>
      <c r="U87" s="1250">
        <f t="shared" si="5"/>
        <v>0</v>
      </c>
      <c r="V87" s="1250">
        <f>+V86-V85</f>
        <v>0</v>
      </c>
      <c r="W87" s="1250">
        <f>+W86-W85</f>
        <v>0</v>
      </c>
      <c r="X87" s="1250">
        <f>+X86-X85</f>
        <v>0</v>
      </c>
    </row>
    <row r="88" spans="1:24" ht="15" x14ac:dyDescent="0.25">
      <c r="A88" s="1240"/>
      <c r="B88" s="1240"/>
      <c r="C88" s="1197"/>
      <c r="D88" s="1197"/>
      <c r="E88" s="1197"/>
      <c r="F88" s="1197"/>
      <c r="G88" s="1197"/>
      <c r="H88" s="1224"/>
      <c r="I88" s="1224"/>
      <c r="J88" s="1224"/>
      <c r="K88" s="1224"/>
      <c r="L88" s="1224"/>
      <c r="M88" s="1224"/>
      <c r="N88" s="1224"/>
      <c r="O88" s="1224"/>
      <c r="P88" s="1224"/>
      <c r="Q88" s="1224"/>
      <c r="R88" s="1224"/>
      <c r="S88" s="1224"/>
      <c r="T88" s="1224"/>
      <c r="U88" s="1224"/>
      <c r="V88" s="1224"/>
      <c r="W88" s="1224"/>
      <c r="X88" s="1224"/>
    </row>
    <row r="89" spans="1:24" ht="23.25" customHeight="1" x14ac:dyDescent="0.25">
      <c r="A89" s="1240"/>
      <c r="B89" s="1240"/>
      <c r="C89" s="1197"/>
      <c r="D89" s="1197"/>
      <c r="E89" s="1197"/>
      <c r="F89" s="1197"/>
      <c r="G89" s="1197"/>
      <c r="H89" s="1224"/>
      <c r="I89" s="2108" t="s">
        <v>1750</v>
      </c>
      <c r="J89" s="2108"/>
      <c r="K89" s="2108"/>
      <c r="L89" s="2108">
        <v>97984414</v>
      </c>
      <c r="M89" s="2108"/>
      <c r="N89" s="1225"/>
      <c r="O89" s="1225"/>
      <c r="P89" s="1225"/>
      <c r="Q89" s="1225"/>
      <c r="R89" s="2108" t="s">
        <v>1751</v>
      </c>
      <c r="S89" s="2108"/>
      <c r="T89" s="2108"/>
      <c r="U89" s="2108">
        <v>97984414</v>
      </c>
      <c r="V89" s="2108"/>
      <c r="W89" s="1224"/>
      <c r="X89" s="1224"/>
    </row>
    <row r="90" spans="1:24" ht="22.5" customHeight="1" x14ac:dyDescent="0.25">
      <c r="A90" s="1240"/>
      <c r="B90" s="1240"/>
      <c r="C90" s="1197"/>
      <c r="D90" s="1197"/>
      <c r="E90" s="1197"/>
      <c r="F90" s="1197"/>
      <c r="G90" s="1197"/>
      <c r="H90" s="1224"/>
      <c r="I90" s="2066" t="s">
        <v>3474</v>
      </c>
      <c r="J90" s="2066"/>
      <c r="K90" s="2066"/>
      <c r="L90" s="2108">
        <f>SUM(H85:P85)</f>
        <v>9657139</v>
      </c>
      <c r="M90" s="2108"/>
      <c r="N90" s="1225"/>
      <c r="O90" s="1225"/>
      <c r="P90" s="1225"/>
      <c r="Q90" s="1225"/>
      <c r="R90" s="2066" t="s">
        <v>3474</v>
      </c>
      <c r="S90" s="2066"/>
      <c r="T90" s="2066"/>
      <c r="U90" s="2108">
        <f>SUM(Q85:X85)</f>
        <v>9657139</v>
      </c>
      <c r="V90" s="2108"/>
      <c r="W90" s="1224"/>
      <c r="X90" s="1224"/>
    </row>
    <row r="91" spans="1:24" ht="22.5" customHeight="1" x14ac:dyDescent="0.25">
      <c r="A91" s="1240"/>
      <c r="B91" s="1240"/>
      <c r="C91" s="1197"/>
      <c r="D91" s="1197"/>
      <c r="E91" s="1197"/>
      <c r="F91" s="1197"/>
      <c r="G91" s="1197"/>
      <c r="H91" s="1224"/>
      <c r="I91" s="2108" t="s">
        <v>1561</v>
      </c>
      <c r="J91" s="2108"/>
      <c r="K91" s="2108"/>
      <c r="L91" s="2108">
        <f>+L89+L90</f>
        <v>107641553</v>
      </c>
      <c r="M91" s="2108"/>
      <c r="N91" s="1225"/>
      <c r="O91" s="1225"/>
      <c r="P91" s="1225"/>
      <c r="Q91" s="1225"/>
      <c r="R91" s="2108" t="s">
        <v>1561</v>
      </c>
      <c r="S91" s="2108"/>
      <c r="T91" s="2108"/>
      <c r="U91" s="2108">
        <f>+U89+U90</f>
        <v>107641553</v>
      </c>
      <c r="V91" s="2108"/>
      <c r="W91" s="1224"/>
      <c r="X91" s="1224"/>
    </row>
    <row r="92" spans="1:24" x14ac:dyDescent="0.2">
      <c r="A92" s="348"/>
      <c r="B92" s="348"/>
      <c r="C92" s="348"/>
      <c r="D92" s="348"/>
      <c r="E92" s="348"/>
      <c r="F92" s="348"/>
      <c r="G92" s="348"/>
      <c r="H92" s="348"/>
      <c r="I92" s="348"/>
      <c r="J92" s="348"/>
      <c r="K92" s="348"/>
      <c r="L92" s="348"/>
      <c r="M92" s="348"/>
      <c r="N92" s="348"/>
      <c r="O92" s="348"/>
      <c r="P92" s="348"/>
      <c r="Q92" s="348"/>
      <c r="R92" s="348"/>
      <c r="S92" s="348"/>
      <c r="T92" s="348"/>
      <c r="U92" s="348"/>
      <c r="V92" s="348"/>
      <c r="W92" s="348"/>
      <c r="X92" s="348"/>
    </row>
    <row r="93" spans="1:24" x14ac:dyDescent="0.2">
      <c r="A93" s="348"/>
      <c r="B93" s="348"/>
      <c r="C93" s="348"/>
      <c r="D93" s="348"/>
      <c r="E93" s="348"/>
      <c r="F93" s="348"/>
      <c r="G93" s="348"/>
      <c r="H93" s="348"/>
      <c r="I93" s="348"/>
      <c r="J93" s="348"/>
      <c r="K93" s="348"/>
      <c r="L93" s="348"/>
      <c r="M93" s="348"/>
      <c r="N93" s="348"/>
      <c r="O93" s="348"/>
      <c r="P93" s="348"/>
      <c r="Q93" s="348"/>
      <c r="R93" s="348"/>
      <c r="S93" s="348"/>
      <c r="T93" s="348"/>
      <c r="U93" s="348"/>
      <c r="V93" s="348"/>
      <c r="W93" s="348"/>
      <c r="X93" s="348"/>
    </row>
    <row r="94" spans="1:24" x14ac:dyDescent="0.2">
      <c r="A94" s="348"/>
      <c r="B94" s="348"/>
      <c r="C94" s="348"/>
      <c r="D94" s="348"/>
      <c r="E94" s="348"/>
      <c r="F94" s="348"/>
      <c r="G94" s="348"/>
      <c r="H94" s="348"/>
      <c r="I94" s="348"/>
      <c r="J94" s="348"/>
      <c r="K94" s="348"/>
      <c r="L94" s="348"/>
      <c r="M94" s="348"/>
      <c r="N94" s="348"/>
      <c r="O94" s="348"/>
      <c r="P94" s="348"/>
      <c r="Q94" s="348"/>
      <c r="R94" s="348"/>
      <c r="S94" s="348"/>
      <c r="T94" s="348"/>
      <c r="U94" s="348"/>
      <c r="V94" s="348"/>
      <c r="W94" s="348"/>
      <c r="X94" s="348"/>
    </row>
    <row r="95" spans="1:24" x14ac:dyDescent="0.2">
      <c r="A95" s="348"/>
      <c r="B95" s="348"/>
      <c r="C95" s="348"/>
      <c r="D95" s="348"/>
      <c r="E95" s="348"/>
      <c r="F95" s="348"/>
      <c r="G95" s="348"/>
      <c r="H95" s="348"/>
      <c r="I95" s="348"/>
      <c r="J95" s="348"/>
      <c r="K95" s="348"/>
      <c r="L95" s="348"/>
      <c r="M95" s="348"/>
      <c r="N95" s="348"/>
      <c r="O95" s="348"/>
      <c r="P95" s="348"/>
      <c r="Q95" s="348"/>
      <c r="R95" s="348"/>
      <c r="S95" s="348"/>
      <c r="T95" s="348"/>
      <c r="U95" s="348"/>
      <c r="V95" s="348"/>
      <c r="W95" s="348"/>
      <c r="X95" s="348"/>
    </row>
    <row r="96" spans="1:24" x14ac:dyDescent="0.2">
      <c r="A96" s="348"/>
      <c r="B96" s="348"/>
      <c r="C96" s="348"/>
      <c r="D96" s="348"/>
      <c r="E96" s="348"/>
      <c r="F96" s="348"/>
      <c r="G96" s="348"/>
      <c r="H96" s="348"/>
      <c r="I96" s="348"/>
      <c r="J96" s="348"/>
      <c r="K96" s="348"/>
      <c r="L96" s="348"/>
      <c r="M96" s="348"/>
      <c r="N96" s="348"/>
      <c r="O96" s="348"/>
      <c r="P96" s="348"/>
      <c r="Q96" s="348"/>
      <c r="R96" s="348"/>
      <c r="S96" s="348"/>
      <c r="T96" s="348"/>
      <c r="U96" s="348"/>
      <c r="V96" s="348"/>
      <c r="W96" s="348"/>
      <c r="X96" s="348"/>
    </row>
    <row r="97" spans="1:24" x14ac:dyDescent="0.2">
      <c r="A97" s="348"/>
      <c r="B97" s="348"/>
      <c r="C97" s="348"/>
      <c r="D97" s="348"/>
      <c r="E97" s="348"/>
      <c r="F97" s="348"/>
      <c r="G97" s="348"/>
      <c r="H97" s="348"/>
      <c r="I97" s="348"/>
      <c r="J97" s="348"/>
      <c r="K97" s="348"/>
      <c r="L97" s="348"/>
      <c r="M97" s="348"/>
      <c r="N97" s="348"/>
      <c r="O97" s="348"/>
      <c r="P97" s="348"/>
      <c r="Q97" s="348"/>
      <c r="R97" s="348"/>
      <c r="S97" s="348"/>
      <c r="T97" s="348"/>
      <c r="U97" s="348"/>
      <c r="V97" s="348"/>
      <c r="W97" s="348"/>
      <c r="X97" s="348"/>
    </row>
    <row r="98" spans="1:24" x14ac:dyDescent="0.2">
      <c r="A98" s="348"/>
      <c r="B98" s="348"/>
      <c r="C98" s="348"/>
      <c r="D98" s="348"/>
      <c r="E98" s="348"/>
      <c r="F98" s="348"/>
      <c r="G98" s="348"/>
      <c r="H98" s="348"/>
      <c r="I98" s="348"/>
      <c r="J98" s="348"/>
      <c r="K98" s="348"/>
      <c r="L98" s="348"/>
      <c r="M98" s="348"/>
      <c r="N98" s="348"/>
      <c r="O98" s="348"/>
      <c r="P98" s="348"/>
      <c r="Q98" s="348"/>
      <c r="R98" s="348"/>
      <c r="S98" s="348"/>
      <c r="T98" s="348"/>
      <c r="U98" s="348"/>
      <c r="V98" s="348"/>
      <c r="W98" s="348"/>
      <c r="X98" s="348"/>
    </row>
    <row r="99" spans="1:24" x14ac:dyDescent="0.2">
      <c r="A99" s="348"/>
      <c r="B99" s="348"/>
      <c r="C99" s="348"/>
      <c r="D99" s="348"/>
      <c r="E99" s="348"/>
      <c r="F99" s="348"/>
      <c r="G99" s="348"/>
      <c r="H99" s="348"/>
      <c r="I99" s="348"/>
      <c r="J99" s="348"/>
      <c r="K99" s="348"/>
      <c r="L99" s="348"/>
      <c r="M99" s="348"/>
      <c r="N99" s="348"/>
      <c r="O99" s="348"/>
      <c r="P99" s="348"/>
      <c r="Q99" s="348"/>
      <c r="R99" s="348"/>
      <c r="S99" s="348"/>
      <c r="T99" s="348"/>
      <c r="U99" s="348"/>
      <c r="V99" s="348"/>
      <c r="W99" s="348"/>
      <c r="X99" s="348"/>
    </row>
    <row r="100" spans="1:24" x14ac:dyDescent="0.2">
      <c r="A100" s="348"/>
      <c r="B100" s="348"/>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row>
    <row r="101" spans="1:24" x14ac:dyDescent="0.2">
      <c r="A101" s="348"/>
      <c r="B101" s="348"/>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row>
    <row r="102" spans="1:24" x14ac:dyDescent="0.2">
      <c r="A102" s="348"/>
      <c r="B102" s="348"/>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row>
    <row r="103" spans="1:24" x14ac:dyDescent="0.2">
      <c r="A103" s="348"/>
      <c r="B103" s="348"/>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row>
    <row r="104" spans="1:24" x14ac:dyDescent="0.2">
      <c r="A104" s="348"/>
      <c r="B104" s="348"/>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row>
    <row r="105" spans="1:24" x14ac:dyDescent="0.2">
      <c r="A105" s="348"/>
      <c r="B105" s="348"/>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row>
    <row r="106" spans="1:24" x14ac:dyDescent="0.2">
      <c r="A106" s="348"/>
      <c r="B106" s="348"/>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row>
    <row r="107" spans="1:24" x14ac:dyDescent="0.2">
      <c r="A107" s="348"/>
      <c r="B107" s="348"/>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row>
    <row r="108" spans="1:24" x14ac:dyDescent="0.2">
      <c r="A108" s="348"/>
      <c r="B108" s="348"/>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row>
    <row r="109" spans="1:24" x14ac:dyDescent="0.2">
      <c r="A109" s="348"/>
      <c r="B109" s="348"/>
      <c r="C109" s="348"/>
      <c r="D109" s="348"/>
      <c r="E109" s="348"/>
      <c r="F109" s="348"/>
      <c r="G109" s="348"/>
      <c r="H109" s="348"/>
      <c r="I109" s="348"/>
      <c r="J109" s="348"/>
      <c r="K109" s="348"/>
      <c r="L109" s="348"/>
      <c r="M109" s="348"/>
      <c r="N109" s="348"/>
      <c r="O109" s="348"/>
      <c r="P109" s="348"/>
      <c r="Q109" s="348"/>
      <c r="R109" s="348"/>
      <c r="S109" s="348"/>
      <c r="T109" s="348"/>
      <c r="U109" s="348"/>
      <c r="V109" s="348"/>
      <c r="W109" s="348"/>
      <c r="X109" s="348"/>
    </row>
    <row r="110" spans="1:24" x14ac:dyDescent="0.2">
      <c r="A110" s="348"/>
      <c r="B110" s="348"/>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row>
    <row r="111" spans="1:24" x14ac:dyDescent="0.2">
      <c r="A111" s="348"/>
      <c r="B111" s="348"/>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row>
    <row r="112" spans="1:24" x14ac:dyDescent="0.2">
      <c r="A112" s="348"/>
      <c r="B112" s="348"/>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row>
    <row r="113" spans="1:24" x14ac:dyDescent="0.2">
      <c r="A113" s="348"/>
      <c r="B113" s="348"/>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row>
    <row r="114" spans="1:24" x14ac:dyDescent="0.2">
      <c r="A114" s="348"/>
      <c r="B114" s="348"/>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row>
  </sheetData>
  <mergeCells count="108">
    <mergeCell ref="A34:C34"/>
    <mergeCell ref="I38:K38"/>
    <mergeCell ref="R40:T40"/>
    <mergeCell ref="U40:V40"/>
    <mergeCell ref="L38:M38"/>
    <mergeCell ref="R38:T38"/>
    <mergeCell ref="U38:V38"/>
    <mergeCell ref="L39:M39"/>
    <mergeCell ref="R39:T39"/>
    <mergeCell ref="U39:V39"/>
    <mergeCell ref="I40:K40"/>
    <mergeCell ref="L40:M40"/>
    <mergeCell ref="I39:K39"/>
    <mergeCell ref="C30:C31"/>
    <mergeCell ref="B30:B31"/>
    <mergeCell ref="A30:A31"/>
    <mergeCell ref="A15:C15"/>
    <mergeCell ref="I19:K19"/>
    <mergeCell ref="I21:K21"/>
    <mergeCell ref="A24:X24"/>
    <mergeCell ref="A26:X26"/>
    <mergeCell ref="A28:A29"/>
    <mergeCell ref="B28:B29"/>
    <mergeCell ref="C28:C29"/>
    <mergeCell ref="D28:D29"/>
    <mergeCell ref="E28:E29"/>
    <mergeCell ref="F28:F29"/>
    <mergeCell ref="G28:G29"/>
    <mergeCell ref="H28:O28"/>
    <mergeCell ref="Q28:X28"/>
    <mergeCell ref="L21:M21"/>
    <mergeCell ref="R21:T21"/>
    <mergeCell ref="U21:V21"/>
    <mergeCell ref="I20:K20"/>
    <mergeCell ref="L20:M20"/>
    <mergeCell ref="L19:M19"/>
    <mergeCell ref="R20:T20"/>
    <mergeCell ref="U20:V20"/>
    <mergeCell ref="R19:T19"/>
    <mergeCell ref="U19:V19"/>
    <mergeCell ref="C8:C9"/>
    <mergeCell ref="B8:B9"/>
    <mergeCell ref="A8:A9"/>
    <mergeCell ref="A1:X1"/>
    <mergeCell ref="A3:X3"/>
    <mergeCell ref="A5:A6"/>
    <mergeCell ref="B5:B6"/>
    <mergeCell ref="C5:C6"/>
    <mergeCell ref="D5:D6"/>
    <mergeCell ref="E5:E6"/>
    <mergeCell ref="F5:F6"/>
    <mergeCell ref="G5:G6"/>
    <mergeCell ref="H5:O5"/>
    <mergeCell ref="Q5:X5"/>
    <mergeCell ref="A58:C58"/>
    <mergeCell ref="I62:K62"/>
    <mergeCell ref="A45:X45"/>
    <mergeCell ref="A47:X47"/>
    <mergeCell ref="A49:A50"/>
    <mergeCell ref="B49:B50"/>
    <mergeCell ref="C49:C50"/>
    <mergeCell ref="D49:D50"/>
    <mergeCell ref="E49:E50"/>
    <mergeCell ref="F49:F50"/>
    <mergeCell ref="G49:G50"/>
    <mergeCell ref="H49:O49"/>
    <mergeCell ref="Q49:X49"/>
    <mergeCell ref="C51:C52"/>
    <mergeCell ref="B51:B52"/>
    <mergeCell ref="A51:A52"/>
    <mergeCell ref="I64:K64"/>
    <mergeCell ref="L64:M64"/>
    <mergeCell ref="R64:T64"/>
    <mergeCell ref="U64:V64"/>
    <mergeCell ref="L62:M62"/>
    <mergeCell ref="R62:T62"/>
    <mergeCell ref="U62:V62"/>
    <mergeCell ref="I63:K63"/>
    <mergeCell ref="L63:M63"/>
    <mergeCell ref="R63:T63"/>
    <mergeCell ref="U63:V63"/>
    <mergeCell ref="A85:C85"/>
    <mergeCell ref="I89:K89"/>
    <mergeCell ref="A70:X70"/>
    <mergeCell ref="A72:X72"/>
    <mergeCell ref="A74:A75"/>
    <mergeCell ref="B74:B75"/>
    <mergeCell ref="C74:C75"/>
    <mergeCell ref="D74:D75"/>
    <mergeCell ref="E74:E75"/>
    <mergeCell ref="F74:F75"/>
    <mergeCell ref="G74:G75"/>
    <mergeCell ref="H74:O74"/>
    <mergeCell ref="Q74:X74"/>
    <mergeCell ref="C82:C83"/>
    <mergeCell ref="B82:B83"/>
    <mergeCell ref="A82:A83"/>
    <mergeCell ref="I91:K91"/>
    <mergeCell ref="L91:M91"/>
    <mergeCell ref="R91:T91"/>
    <mergeCell ref="U91:V91"/>
    <mergeCell ref="L89:M89"/>
    <mergeCell ref="R89:T89"/>
    <mergeCell ref="U89:V89"/>
    <mergeCell ref="I90:K90"/>
    <mergeCell ref="L90:M90"/>
    <mergeCell ref="R90:T90"/>
    <mergeCell ref="U90:V90"/>
  </mergeCells>
  <pageMargins left="0.51181102362204722" right="0.51181102362204722" top="0.74803149606299213" bottom="0.74803149606299213" header="0.31496062992125984" footer="0.31496062992125984"/>
  <pageSetup paperSize="9" scale="52" orientation="landscape" r:id="rId1"/>
  <headerFooter>
    <oddHeader>&amp;C2023. évi költségvetés&amp;RDunaharaszti Városi Könyvtár előirányzat-módosítása</oddHeader>
    <oddFooter>&amp;C&amp;P/&amp;N</oddFooter>
  </headerFooter>
  <rowBreaks count="2" manualBreakCount="2">
    <brk id="32" max="23" man="1"/>
    <brk id="64" max="2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X149"/>
  <sheetViews>
    <sheetView view="pageBreakPreview" topLeftCell="A94" zoomScale="90" zoomScaleNormal="100" zoomScaleSheetLayoutView="90" workbookViewId="0">
      <selection activeCell="R27" sqref="R27:T27"/>
    </sheetView>
  </sheetViews>
  <sheetFormatPr defaultRowHeight="12.75" x14ac:dyDescent="0.2"/>
  <cols>
    <col min="1" max="1" width="4.85546875" customWidth="1"/>
    <col min="2" max="2" width="4.42578125" customWidth="1"/>
    <col min="3" max="3" width="34.5703125" customWidth="1"/>
    <col min="4" max="4" width="6" customWidth="1"/>
    <col min="5" max="5" width="6.7109375" customWidth="1"/>
    <col min="6" max="7" width="5.5703125" customWidth="1"/>
    <col min="8" max="8" width="12" customWidth="1"/>
    <col min="9" max="9" width="12.28515625" customWidth="1"/>
    <col min="10" max="10" width="11.5703125" customWidth="1"/>
    <col min="11" max="11" width="11.42578125" customWidth="1"/>
    <col min="12" max="12" width="11.7109375" customWidth="1"/>
    <col min="13" max="13" width="11.140625" customWidth="1"/>
    <col min="14" max="14" width="10.85546875" customWidth="1"/>
    <col min="15" max="15" width="11.7109375" customWidth="1"/>
    <col min="16" max="16" width="11" customWidth="1"/>
    <col min="17" max="17" width="13.5703125" customWidth="1"/>
    <col min="18" max="18" width="13.42578125" customWidth="1"/>
    <col min="19" max="20" width="11" customWidth="1"/>
    <col min="21" max="21" width="11.28515625" customWidth="1"/>
    <col min="22" max="22" width="12.140625" customWidth="1"/>
    <col min="23" max="23" width="11.5703125" customWidth="1"/>
    <col min="24" max="24" width="12" customWidth="1"/>
  </cols>
  <sheetData>
    <row r="1" spans="1:24" ht="15.75" x14ac:dyDescent="0.25">
      <c r="A1" s="2069" t="s">
        <v>2024</v>
      </c>
      <c r="B1" s="2069"/>
      <c r="C1" s="2069"/>
      <c r="D1" s="2069"/>
      <c r="E1" s="2069"/>
      <c r="F1" s="2069"/>
      <c r="G1" s="2069"/>
      <c r="H1" s="2069"/>
      <c r="I1" s="2069"/>
      <c r="J1" s="2069"/>
      <c r="K1" s="2069"/>
      <c r="L1" s="2069"/>
      <c r="M1" s="2069"/>
      <c r="N1" s="2069"/>
      <c r="O1" s="2069"/>
      <c r="P1" s="2069"/>
      <c r="Q1" s="2069"/>
      <c r="R1" s="2069"/>
      <c r="S1" s="2069"/>
      <c r="T1" s="2069"/>
      <c r="U1" s="2069"/>
      <c r="V1" s="2069"/>
      <c r="W1" s="2069"/>
      <c r="X1" s="2069"/>
    </row>
    <row r="2" spans="1:24" ht="15" x14ac:dyDescent="0.25">
      <c r="A2" s="1195"/>
      <c r="B2" s="1195"/>
      <c r="C2" s="1195"/>
      <c r="D2" s="1195"/>
      <c r="E2" s="1195"/>
      <c r="F2" s="1195"/>
      <c r="G2" s="1195"/>
      <c r="H2" s="1195"/>
      <c r="I2" s="1195"/>
      <c r="J2" s="1195"/>
      <c r="K2" s="1195"/>
      <c r="L2" s="1195"/>
      <c r="M2" s="1195"/>
      <c r="N2" s="1195"/>
      <c r="O2" s="1195"/>
      <c r="P2" s="1195"/>
      <c r="Q2" s="1195"/>
      <c r="R2" s="1195"/>
      <c r="S2" s="1195"/>
      <c r="T2" s="1195"/>
      <c r="U2" s="1195"/>
      <c r="V2" s="1195"/>
      <c r="W2" s="1195"/>
      <c r="X2" s="1195"/>
    </row>
    <row r="3" spans="1:24" ht="15" x14ac:dyDescent="0.25">
      <c r="A3" s="2112" t="s">
        <v>24</v>
      </c>
      <c r="B3" s="2112"/>
      <c r="C3" s="2112"/>
      <c r="D3" s="2112"/>
      <c r="E3" s="2112"/>
      <c r="F3" s="2112"/>
      <c r="G3" s="2112"/>
      <c r="H3" s="2112"/>
      <c r="I3" s="2112"/>
      <c r="J3" s="2112"/>
      <c r="K3" s="2112"/>
      <c r="L3" s="2112"/>
      <c r="M3" s="2112"/>
      <c r="N3" s="2112"/>
      <c r="O3" s="2112"/>
      <c r="P3" s="2112"/>
      <c r="Q3" s="2112"/>
      <c r="R3" s="2112"/>
      <c r="S3" s="2112"/>
      <c r="T3" s="2112"/>
      <c r="U3" s="2112"/>
      <c r="V3" s="2112"/>
      <c r="W3" s="2112"/>
      <c r="X3" s="2112"/>
    </row>
    <row r="4" spans="1:24" ht="15" x14ac:dyDescent="0.25">
      <c r="A4" s="1197"/>
      <c r="B4" s="1197"/>
      <c r="C4" s="1197"/>
      <c r="D4" s="1197"/>
      <c r="E4" s="1197"/>
      <c r="F4" s="1197"/>
      <c r="G4" s="1197"/>
      <c r="H4" s="1197"/>
      <c r="I4" s="1197"/>
      <c r="J4" s="1197"/>
      <c r="K4" s="1197"/>
      <c r="L4" s="1197"/>
      <c r="M4" s="1197"/>
      <c r="N4" s="1197"/>
      <c r="O4" s="1197"/>
      <c r="P4" s="1197"/>
      <c r="Q4" s="1198"/>
      <c r="R4" s="1197"/>
      <c r="S4" s="1197"/>
      <c r="T4" s="1197"/>
      <c r="U4" s="1197"/>
      <c r="V4" s="1197"/>
      <c r="W4" s="1197"/>
      <c r="X4" s="1197"/>
    </row>
    <row r="5" spans="1:24" ht="15" x14ac:dyDescent="0.25">
      <c r="A5" s="2113" t="s">
        <v>37</v>
      </c>
      <c r="B5" s="2093" t="s">
        <v>1726</v>
      </c>
      <c r="C5" s="2115" t="s">
        <v>2</v>
      </c>
      <c r="D5" s="2117" t="s">
        <v>1727</v>
      </c>
      <c r="E5" s="2117" t="s">
        <v>117</v>
      </c>
      <c r="F5" s="2117" t="s">
        <v>1728</v>
      </c>
      <c r="G5" s="2117" t="s">
        <v>1729</v>
      </c>
      <c r="H5" s="2119" t="s">
        <v>1730</v>
      </c>
      <c r="I5" s="2119"/>
      <c r="J5" s="2119"/>
      <c r="K5" s="2119"/>
      <c r="L5" s="2119"/>
      <c r="M5" s="2119"/>
      <c r="N5" s="2119"/>
      <c r="O5" s="2133"/>
      <c r="P5" s="1660"/>
      <c r="Q5" s="2135" t="s">
        <v>1731</v>
      </c>
      <c r="R5" s="2119"/>
      <c r="S5" s="2119"/>
      <c r="T5" s="2119"/>
      <c r="U5" s="2119"/>
      <c r="V5" s="2119"/>
      <c r="W5" s="2119"/>
      <c r="X5" s="2121"/>
    </row>
    <row r="6" spans="1:24" ht="86.25" customHeight="1" x14ac:dyDescent="0.2">
      <c r="A6" s="2114"/>
      <c r="B6" s="2094"/>
      <c r="C6" s="2116"/>
      <c r="D6" s="2118"/>
      <c r="E6" s="2118"/>
      <c r="F6" s="2118"/>
      <c r="G6" s="2118"/>
      <c r="H6" s="1154" t="s">
        <v>2384</v>
      </c>
      <c r="I6" s="1154" t="s">
        <v>1733</v>
      </c>
      <c r="J6" s="1154" t="s">
        <v>1753</v>
      </c>
      <c r="K6" s="1154" t="s">
        <v>1782</v>
      </c>
      <c r="L6" s="1154" t="s">
        <v>1783</v>
      </c>
      <c r="M6" s="1154" t="s">
        <v>1756</v>
      </c>
      <c r="N6" s="1154" t="s">
        <v>1757</v>
      </c>
      <c r="O6" s="1157" t="s">
        <v>1739</v>
      </c>
      <c r="P6" s="1157" t="s">
        <v>1758</v>
      </c>
      <c r="Q6" s="1158" t="s">
        <v>1741</v>
      </c>
      <c r="R6" s="1154" t="s">
        <v>1742</v>
      </c>
      <c r="S6" s="1154" t="s">
        <v>1779</v>
      </c>
      <c r="T6" s="1154" t="s">
        <v>1784</v>
      </c>
      <c r="U6" s="1154" t="s">
        <v>1745</v>
      </c>
      <c r="V6" s="1154" t="s">
        <v>1746</v>
      </c>
      <c r="W6" s="1154" t="s">
        <v>1747</v>
      </c>
      <c r="X6" s="1159" t="s">
        <v>1762</v>
      </c>
    </row>
    <row r="7" spans="1:24" ht="21.75" customHeight="1" x14ac:dyDescent="0.2">
      <c r="A7" s="2124" t="s">
        <v>188</v>
      </c>
      <c r="B7" s="2123" t="s">
        <v>196</v>
      </c>
      <c r="C7" s="2122" t="s">
        <v>1836</v>
      </c>
      <c r="D7" s="1201" t="s">
        <v>1840</v>
      </c>
      <c r="E7" s="1201" t="s">
        <v>162</v>
      </c>
      <c r="F7" s="1201" t="s">
        <v>91</v>
      </c>
      <c r="G7" s="1232" t="s">
        <v>1828</v>
      </c>
      <c r="H7" s="1165">
        <v>-13106202</v>
      </c>
      <c r="I7" s="1165">
        <v>-1461052</v>
      </c>
      <c r="J7" s="1165"/>
      <c r="K7" s="1165"/>
      <c r="L7" s="1165"/>
      <c r="M7" s="1165"/>
      <c r="N7" s="1165"/>
      <c r="O7" s="1165"/>
      <c r="P7" s="1203"/>
      <c r="Q7" s="1204"/>
      <c r="R7" s="1165"/>
      <c r="S7" s="1165"/>
      <c r="T7" s="1165"/>
      <c r="U7" s="1165"/>
      <c r="V7" s="1165"/>
      <c r="W7" s="1165"/>
      <c r="X7" s="1203"/>
    </row>
    <row r="8" spans="1:24" ht="21.75" customHeight="1" x14ac:dyDescent="0.2">
      <c r="A8" s="2101"/>
      <c r="B8" s="2105"/>
      <c r="C8" s="2103"/>
      <c r="D8" s="1236" t="s">
        <v>1840</v>
      </c>
      <c r="E8" s="1244" t="s">
        <v>760</v>
      </c>
      <c r="F8" s="1232" t="s">
        <v>132</v>
      </c>
      <c r="G8" s="1232" t="s">
        <v>1829</v>
      </c>
      <c r="H8" s="1208">
        <f>8722628+1000000+400000+243629+202065+2537880</f>
        <v>13106202</v>
      </c>
      <c r="I8" s="1208">
        <v>1461052</v>
      </c>
      <c r="J8" s="1208"/>
      <c r="K8" s="1208"/>
      <c r="L8" s="1208"/>
      <c r="M8" s="1208"/>
      <c r="N8" s="1208"/>
      <c r="O8" s="1208"/>
      <c r="P8" s="1209"/>
      <c r="Q8" s="1210"/>
      <c r="R8" s="1208"/>
      <c r="S8" s="1208"/>
      <c r="T8" s="1208"/>
      <c r="U8" s="1208"/>
      <c r="V8" s="1208"/>
      <c r="W8" s="1208"/>
      <c r="X8" s="1209"/>
    </row>
    <row r="9" spans="1:24" ht="39.75" customHeight="1" x14ac:dyDescent="0.2">
      <c r="A9" s="1650" t="s">
        <v>189</v>
      </c>
      <c r="B9" s="1251" t="s">
        <v>197</v>
      </c>
      <c r="C9" s="1205" t="s">
        <v>2174</v>
      </c>
      <c r="D9" s="1236" t="s">
        <v>1840</v>
      </c>
      <c r="E9" s="1244" t="s">
        <v>162</v>
      </c>
      <c r="F9" s="1232" t="s">
        <v>91</v>
      </c>
      <c r="G9" s="1232" t="s">
        <v>1837</v>
      </c>
      <c r="H9" s="1173"/>
      <c r="I9" s="1173"/>
      <c r="J9" s="1173">
        <f>-500000+500000</f>
        <v>0</v>
      </c>
      <c r="K9" s="1173"/>
      <c r="L9" s="1173"/>
      <c r="M9" s="1173"/>
      <c r="N9" s="1173"/>
      <c r="O9" s="1173"/>
      <c r="P9" s="1174"/>
      <c r="Q9" s="1214"/>
      <c r="R9" s="1173"/>
      <c r="S9" s="1173"/>
      <c r="T9" s="1173"/>
      <c r="U9" s="1173"/>
      <c r="V9" s="1173"/>
      <c r="W9" s="1173"/>
      <c r="X9" s="1174"/>
    </row>
    <row r="10" spans="1:24" ht="54.75" customHeight="1" x14ac:dyDescent="0.2">
      <c r="A10" s="1650" t="s">
        <v>190</v>
      </c>
      <c r="B10" s="1251" t="s">
        <v>198</v>
      </c>
      <c r="C10" s="1205" t="s">
        <v>1934</v>
      </c>
      <c r="D10" s="1236" t="s">
        <v>1840</v>
      </c>
      <c r="E10" s="1244" t="s">
        <v>162</v>
      </c>
      <c r="F10" s="1232" t="s">
        <v>152</v>
      </c>
      <c r="G10" s="1232" t="s">
        <v>1829</v>
      </c>
      <c r="H10" s="1208"/>
      <c r="I10" s="1208"/>
      <c r="J10" s="1208">
        <f>275591+74409</f>
        <v>350000</v>
      </c>
      <c r="K10" s="1208"/>
      <c r="L10" s="1208"/>
      <c r="M10" s="1208"/>
      <c r="N10" s="1208"/>
      <c r="O10" s="1208"/>
      <c r="P10" s="1209"/>
      <c r="Q10" s="1210">
        <v>350000</v>
      </c>
      <c r="R10" s="1208"/>
      <c r="S10" s="1208"/>
      <c r="T10" s="1208"/>
      <c r="U10" s="1208"/>
      <c r="V10" s="1208"/>
      <c r="W10" s="1208"/>
      <c r="X10" s="1209"/>
    </row>
    <row r="11" spans="1:24" ht="43.5" customHeight="1" x14ac:dyDescent="0.2">
      <c r="A11" s="1650" t="s">
        <v>191</v>
      </c>
      <c r="B11" s="1251" t="s">
        <v>225</v>
      </c>
      <c r="C11" s="1205" t="s">
        <v>1938</v>
      </c>
      <c r="D11" s="1236" t="s">
        <v>1840</v>
      </c>
      <c r="E11" s="1244" t="s">
        <v>162</v>
      </c>
      <c r="F11" s="1232" t="s">
        <v>151</v>
      </c>
      <c r="G11" s="1232" t="s">
        <v>1837</v>
      </c>
      <c r="H11" s="1173"/>
      <c r="I11" s="1173"/>
      <c r="J11" s="1173">
        <f>-26417+19417+7000</f>
        <v>0</v>
      </c>
      <c r="K11" s="1173"/>
      <c r="L11" s="1173"/>
      <c r="M11" s="1173"/>
      <c r="N11" s="1173"/>
      <c r="O11" s="1173"/>
      <c r="P11" s="1174"/>
      <c r="Q11" s="1214"/>
      <c r="R11" s="1173"/>
      <c r="S11" s="1173"/>
      <c r="T11" s="1173"/>
      <c r="U11" s="1173"/>
      <c r="V11" s="1173"/>
      <c r="W11" s="1173"/>
      <c r="X11" s="1174"/>
    </row>
    <row r="12" spans="1:24" ht="31.5" customHeight="1" x14ac:dyDescent="0.2">
      <c r="A12" s="1650" t="s">
        <v>192</v>
      </c>
      <c r="B12" s="1649" t="s">
        <v>226</v>
      </c>
      <c r="C12" s="1205" t="s">
        <v>2175</v>
      </c>
      <c r="D12" s="1206" t="s">
        <v>1840</v>
      </c>
      <c r="E12" s="1232" t="s">
        <v>162</v>
      </c>
      <c r="F12" s="1232" t="s">
        <v>91</v>
      </c>
      <c r="G12" s="1402" t="s">
        <v>1837</v>
      </c>
      <c r="H12" s="1173"/>
      <c r="I12" s="1173"/>
      <c r="J12" s="1173">
        <f>-100000+100000</f>
        <v>0</v>
      </c>
      <c r="K12" s="1173"/>
      <c r="L12" s="1173"/>
      <c r="M12" s="1173"/>
      <c r="N12" s="1173"/>
      <c r="O12" s="1173"/>
      <c r="P12" s="1174"/>
      <c r="Q12" s="1214"/>
      <c r="R12" s="1173"/>
      <c r="S12" s="1173"/>
      <c r="T12" s="1173"/>
      <c r="U12" s="1173"/>
      <c r="V12" s="1173"/>
      <c r="W12" s="1173"/>
      <c r="X12" s="1174"/>
    </row>
    <row r="13" spans="1:24" ht="39.75" customHeight="1" x14ac:dyDescent="0.2">
      <c r="A13" s="1650" t="s">
        <v>193</v>
      </c>
      <c r="B13" s="1649" t="s">
        <v>227</v>
      </c>
      <c r="C13" s="1205" t="s">
        <v>2176</v>
      </c>
      <c r="D13" s="1206" t="s">
        <v>1840</v>
      </c>
      <c r="E13" s="1232" t="s">
        <v>162</v>
      </c>
      <c r="F13" s="1232" t="s">
        <v>91</v>
      </c>
      <c r="G13" s="1402" t="s">
        <v>1829</v>
      </c>
      <c r="H13" s="1173"/>
      <c r="I13" s="1173"/>
      <c r="J13" s="1173">
        <v>20000</v>
      </c>
      <c r="K13" s="1173"/>
      <c r="L13" s="1173"/>
      <c r="M13" s="1173"/>
      <c r="N13" s="1173"/>
      <c r="O13" s="1173"/>
      <c r="P13" s="1174"/>
      <c r="Q13" s="1214"/>
      <c r="R13" s="1173"/>
      <c r="S13" s="1173"/>
      <c r="T13" s="1173">
        <v>20000</v>
      </c>
      <c r="U13" s="1173"/>
      <c r="V13" s="1173"/>
      <c r="W13" s="1173"/>
      <c r="X13" s="1174"/>
    </row>
    <row r="14" spans="1:24" ht="27" customHeight="1" x14ac:dyDescent="0.2">
      <c r="A14" s="2099" t="s">
        <v>194</v>
      </c>
      <c r="B14" s="2104" t="s">
        <v>228</v>
      </c>
      <c r="C14" s="2102" t="s">
        <v>2177</v>
      </c>
      <c r="D14" s="1206" t="s">
        <v>1840</v>
      </c>
      <c r="E14" s="1232" t="s">
        <v>1288</v>
      </c>
      <c r="F14" s="1232" t="s">
        <v>128</v>
      </c>
      <c r="G14" s="1402" t="s">
        <v>1829</v>
      </c>
      <c r="H14" s="1173"/>
      <c r="I14" s="1173"/>
      <c r="J14" s="1173"/>
      <c r="K14" s="1173"/>
      <c r="L14" s="1173"/>
      <c r="M14" s="1173"/>
      <c r="N14" s="1173"/>
      <c r="O14" s="1173"/>
      <c r="P14" s="1174"/>
      <c r="Q14" s="1214"/>
      <c r="R14" s="1173"/>
      <c r="S14" s="1173"/>
      <c r="T14" s="1173"/>
      <c r="U14" s="1173"/>
      <c r="V14" s="1173"/>
      <c r="W14" s="1173"/>
      <c r="X14" s="1174">
        <v>320000</v>
      </c>
    </row>
    <row r="15" spans="1:24" ht="27" customHeight="1" x14ac:dyDescent="0.2">
      <c r="A15" s="2101"/>
      <c r="B15" s="2105"/>
      <c r="C15" s="2103"/>
      <c r="D15" s="1206" t="s">
        <v>1840</v>
      </c>
      <c r="E15" s="1206" t="s">
        <v>162</v>
      </c>
      <c r="F15" s="1206" t="s">
        <v>152</v>
      </c>
      <c r="G15" s="1232" t="s">
        <v>1829</v>
      </c>
      <c r="H15" s="1173"/>
      <c r="I15" s="1173"/>
      <c r="J15" s="1173">
        <f>251969+68031</f>
        <v>320000</v>
      </c>
      <c r="K15" s="1173"/>
      <c r="L15" s="1173"/>
      <c r="M15" s="1173"/>
      <c r="N15" s="1173"/>
      <c r="O15" s="1173"/>
      <c r="P15" s="1174"/>
      <c r="Q15" s="1214"/>
      <c r="R15" s="1173"/>
      <c r="S15" s="1173"/>
      <c r="T15" s="1173"/>
      <c r="U15" s="1173"/>
      <c r="V15" s="1173"/>
      <c r="W15" s="1173"/>
      <c r="X15" s="1174"/>
    </row>
    <row r="16" spans="1:24" ht="22.5" customHeight="1" x14ac:dyDescent="0.2">
      <c r="A16" s="2099" t="s">
        <v>195</v>
      </c>
      <c r="B16" s="2104" t="s">
        <v>229</v>
      </c>
      <c r="C16" s="2102" t="s">
        <v>2178</v>
      </c>
      <c r="D16" s="1236" t="s">
        <v>1840</v>
      </c>
      <c r="E16" s="1206" t="s">
        <v>1288</v>
      </c>
      <c r="F16" s="1206" t="s">
        <v>128</v>
      </c>
      <c r="G16" s="1232" t="s">
        <v>1829</v>
      </c>
      <c r="H16" s="1173"/>
      <c r="I16" s="1173"/>
      <c r="J16" s="1173"/>
      <c r="K16" s="1173"/>
      <c r="L16" s="1173"/>
      <c r="M16" s="1173"/>
      <c r="N16" s="1173"/>
      <c r="O16" s="1173"/>
      <c r="P16" s="1174"/>
      <c r="Q16" s="1214"/>
      <c r="R16" s="1173"/>
      <c r="S16" s="1173"/>
      <c r="T16" s="1173"/>
      <c r="U16" s="1173"/>
      <c r="V16" s="1173"/>
      <c r="W16" s="1173"/>
      <c r="X16" s="1174">
        <v>179305</v>
      </c>
    </row>
    <row r="17" spans="1:24" ht="22.5" customHeight="1" x14ac:dyDescent="0.2">
      <c r="A17" s="2101"/>
      <c r="B17" s="2105"/>
      <c r="C17" s="2103"/>
      <c r="D17" s="1236" t="s">
        <v>1840</v>
      </c>
      <c r="E17" s="1206" t="s">
        <v>162</v>
      </c>
      <c r="F17" s="1206" t="s">
        <v>91</v>
      </c>
      <c r="G17" s="1232" t="s">
        <v>1829</v>
      </c>
      <c r="H17" s="1173"/>
      <c r="I17" s="1173"/>
      <c r="J17" s="1173">
        <f>141185+38120</f>
        <v>179305</v>
      </c>
      <c r="K17" s="1173"/>
      <c r="L17" s="1173"/>
      <c r="M17" s="1173"/>
      <c r="N17" s="1173"/>
      <c r="O17" s="1173"/>
      <c r="P17" s="1174"/>
      <c r="Q17" s="1214"/>
      <c r="R17" s="1173"/>
      <c r="S17" s="1173"/>
      <c r="T17" s="1173"/>
      <c r="U17" s="1173"/>
      <c r="V17" s="1173"/>
      <c r="W17" s="1173"/>
      <c r="X17" s="1174"/>
    </row>
    <row r="18" spans="1:24" ht="19.5" customHeight="1" x14ac:dyDescent="0.2">
      <c r="A18" s="2099" t="s">
        <v>196</v>
      </c>
      <c r="B18" s="2104" t="s">
        <v>230</v>
      </c>
      <c r="C18" s="2102" t="s">
        <v>2179</v>
      </c>
      <c r="D18" s="1236" t="s">
        <v>1840</v>
      </c>
      <c r="E18" s="1206" t="s">
        <v>1288</v>
      </c>
      <c r="F18" s="1206" t="s">
        <v>128</v>
      </c>
      <c r="G18" s="1232" t="s">
        <v>1829</v>
      </c>
      <c r="H18" s="1173"/>
      <c r="I18" s="1173"/>
      <c r="J18" s="1173"/>
      <c r="K18" s="1173"/>
      <c r="L18" s="1173"/>
      <c r="M18" s="1173"/>
      <c r="N18" s="1173"/>
      <c r="O18" s="1173"/>
      <c r="P18" s="1174"/>
      <c r="Q18" s="1214"/>
      <c r="R18" s="1173"/>
      <c r="S18" s="1173"/>
      <c r="T18" s="1173"/>
      <c r="U18" s="1173"/>
      <c r="V18" s="1173"/>
      <c r="W18" s="1173"/>
      <c r="X18" s="1174">
        <v>2843480</v>
      </c>
    </row>
    <row r="19" spans="1:24" ht="19.5" customHeight="1" x14ac:dyDescent="0.2">
      <c r="A19" s="2101"/>
      <c r="B19" s="2105"/>
      <c r="C19" s="2103"/>
      <c r="D19" s="1236" t="s">
        <v>1840</v>
      </c>
      <c r="E19" s="1232" t="s">
        <v>162</v>
      </c>
      <c r="F19" s="1232" t="s">
        <v>91</v>
      </c>
      <c r="G19" s="1232" t="s">
        <v>1829</v>
      </c>
      <c r="H19" s="1173"/>
      <c r="I19" s="1173"/>
      <c r="J19" s="1173">
        <f>2238961+604519</f>
        <v>2843480</v>
      </c>
      <c r="K19" s="1173"/>
      <c r="L19" s="1173"/>
      <c r="M19" s="1173"/>
      <c r="N19" s="1173"/>
      <c r="O19" s="1173"/>
      <c r="P19" s="1174"/>
      <c r="Q19" s="1214"/>
      <c r="R19" s="1173"/>
      <c r="S19" s="1173"/>
      <c r="T19" s="1173"/>
      <c r="U19" s="1173"/>
      <c r="V19" s="1173"/>
      <c r="W19" s="1173"/>
      <c r="X19" s="1174"/>
    </row>
    <row r="20" spans="1:24" ht="17.25" customHeight="1" x14ac:dyDescent="0.2">
      <c r="A20" s="2099" t="s">
        <v>197</v>
      </c>
      <c r="B20" s="2104" t="s">
        <v>2097</v>
      </c>
      <c r="C20" s="2102" t="s">
        <v>2179</v>
      </c>
      <c r="D20" s="1236" t="s">
        <v>1840</v>
      </c>
      <c r="E20" s="1232" t="s">
        <v>1288</v>
      </c>
      <c r="F20" s="1232" t="s">
        <v>128</v>
      </c>
      <c r="G20" s="1232" t="s">
        <v>1829</v>
      </c>
      <c r="H20" s="1173"/>
      <c r="I20" s="1173"/>
      <c r="J20" s="1173"/>
      <c r="K20" s="1173"/>
      <c r="L20" s="1173"/>
      <c r="M20" s="1173"/>
      <c r="N20" s="1173"/>
      <c r="O20" s="1173"/>
      <c r="P20" s="1174"/>
      <c r="Q20" s="1214"/>
      <c r="R20" s="1173"/>
      <c r="S20" s="1173"/>
      <c r="T20" s="1173"/>
      <c r="U20" s="1173"/>
      <c r="V20" s="1173"/>
      <c r="W20" s="1173"/>
      <c r="X20" s="1174">
        <v>4471720</v>
      </c>
    </row>
    <row r="21" spans="1:24" ht="17.25" customHeight="1" x14ac:dyDescent="0.2">
      <c r="A21" s="2100"/>
      <c r="B21" s="2107"/>
      <c r="C21" s="2106"/>
      <c r="D21" s="1466" t="s">
        <v>1840</v>
      </c>
      <c r="E21" s="1244" t="s">
        <v>162</v>
      </c>
      <c r="F21" s="1244" t="s">
        <v>91</v>
      </c>
      <c r="G21" s="1244" t="s">
        <v>1829</v>
      </c>
      <c r="H21" s="1173"/>
      <c r="I21" s="1173"/>
      <c r="J21" s="1173">
        <f>3521039+950681</f>
        <v>4471720</v>
      </c>
      <c r="K21" s="1173"/>
      <c r="L21" s="1173"/>
      <c r="M21" s="1173"/>
      <c r="N21" s="1173"/>
      <c r="O21" s="1173"/>
      <c r="P21" s="1174"/>
      <c r="Q21" s="1214"/>
      <c r="R21" s="1173"/>
      <c r="S21" s="1173"/>
      <c r="T21" s="1173"/>
      <c r="U21" s="1173"/>
      <c r="V21" s="1173"/>
      <c r="W21" s="1173"/>
      <c r="X21" s="1174"/>
    </row>
    <row r="22" spans="1:24" ht="18.75" x14ac:dyDescent="0.3">
      <c r="A22" s="2082" t="s">
        <v>1749</v>
      </c>
      <c r="B22" s="2083"/>
      <c r="C22" s="2084"/>
      <c r="D22" s="1179"/>
      <c r="E22" s="1179"/>
      <c r="F22" s="1179"/>
      <c r="G22" s="1179"/>
      <c r="H22" s="1467">
        <f t="shared" ref="H22:X22" si="0">SUM(H7:H21)</f>
        <v>0</v>
      </c>
      <c r="I22" s="1467">
        <f t="shared" si="0"/>
        <v>0</v>
      </c>
      <c r="J22" s="1467">
        <f t="shared" si="0"/>
        <v>8184505</v>
      </c>
      <c r="K22" s="1467">
        <f t="shared" si="0"/>
        <v>0</v>
      </c>
      <c r="L22" s="1467">
        <f t="shared" si="0"/>
        <v>0</v>
      </c>
      <c r="M22" s="1467">
        <f t="shared" si="0"/>
        <v>0</v>
      </c>
      <c r="N22" s="1467">
        <f t="shared" si="0"/>
        <v>0</v>
      </c>
      <c r="O22" s="1467">
        <f t="shared" si="0"/>
        <v>0</v>
      </c>
      <c r="P22" s="1289">
        <f t="shared" si="0"/>
        <v>0</v>
      </c>
      <c r="Q22" s="1468">
        <f t="shared" si="0"/>
        <v>350000</v>
      </c>
      <c r="R22" s="1467">
        <f t="shared" si="0"/>
        <v>0</v>
      </c>
      <c r="S22" s="1467">
        <f t="shared" si="0"/>
        <v>0</v>
      </c>
      <c r="T22" s="1467">
        <f t="shared" si="0"/>
        <v>20000</v>
      </c>
      <c r="U22" s="1467">
        <f t="shared" si="0"/>
        <v>0</v>
      </c>
      <c r="V22" s="1467">
        <f t="shared" si="0"/>
        <v>0</v>
      </c>
      <c r="W22" s="1467">
        <f t="shared" si="0"/>
        <v>0</v>
      </c>
      <c r="X22" s="1289">
        <f t="shared" si="0"/>
        <v>7814505</v>
      </c>
    </row>
    <row r="23" spans="1:24" ht="20.25" customHeight="1" x14ac:dyDescent="0.3">
      <c r="A23" s="1217"/>
      <c r="B23" s="1217"/>
      <c r="C23" s="1217"/>
      <c r="D23" s="1219"/>
      <c r="E23" s="1219"/>
      <c r="F23" s="1219"/>
      <c r="G23" s="1219"/>
      <c r="H23" s="1252"/>
      <c r="I23" s="1252"/>
      <c r="J23" s="1252"/>
      <c r="K23" s="1252"/>
      <c r="L23" s="1252"/>
      <c r="M23" s="1252"/>
      <c r="N23" s="1252"/>
      <c r="O23" s="1252"/>
      <c r="P23" s="1252"/>
      <c r="Q23" s="1252"/>
      <c r="R23" s="1252"/>
      <c r="S23" s="1252"/>
      <c r="T23" s="1252"/>
      <c r="U23" s="1252"/>
      <c r="V23" s="1252"/>
      <c r="W23" s="1252"/>
      <c r="X23" s="1252"/>
    </row>
    <row r="24" spans="1:24" ht="20.25" customHeight="1" x14ac:dyDescent="0.3">
      <c r="A24" s="1217"/>
      <c r="B24" s="1217"/>
      <c r="C24" s="1217"/>
      <c r="D24" s="1219"/>
      <c r="E24" s="1219"/>
      <c r="F24" s="1219"/>
      <c r="G24" s="1219"/>
      <c r="H24" s="1193"/>
      <c r="I24" s="1193"/>
      <c r="J24" s="1193"/>
      <c r="K24" s="1193"/>
      <c r="L24" s="1193"/>
      <c r="M24" s="1193"/>
      <c r="N24" s="1193"/>
      <c r="O24" s="1193"/>
      <c r="P24" s="1193"/>
      <c r="Q24" s="1193"/>
      <c r="R24" s="1193"/>
      <c r="S24" s="1193"/>
      <c r="T24" s="1193"/>
      <c r="U24" s="1193"/>
      <c r="V24" s="1193"/>
      <c r="W24" s="1193"/>
      <c r="X24" s="1193"/>
    </row>
    <row r="25" spans="1:24" ht="18.75" x14ac:dyDescent="0.3">
      <c r="A25" s="1217"/>
      <c r="B25" s="1217"/>
      <c r="C25" s="1217"/>
      <c r="D25" s="1219"/>
      <c r="E25" s="1219"/>
      <c r="F25" s="1219"/>
      <c r="G25" s="1219"/>
      <c r="H25" s="1193"/>
      <c r="I25" s="1193"/>
      <c r="J25" s="1193"/>
      <c r="K25" s="1193"/>
      <c r="L25" s="1193"/>
      <c r="M25" s="1193"/>
      <c r="N25" s="1193"/>
      <c r="O25" s="1193"/>
      <c r="P25" s="1193"/>
      <c r="Q25" s="1193"/>
      <c r="R25" s="1193"/>
      <c r="S25" s="1193"/>
      <c r="T25" s="1193"/>
      <c r="U25" s="1193"/>
      <c r="V25" s="1193"/>
      <c r="W25" s="1193"/>
      <c r="X25" s="1193"/>
    </row>
    <row r="26" spans="1:24" ht="20.25" customHeight="1" x14ac:dyDescent="0.25">
      <c r="A26" s="1197"/>
      <c r="B26" s="1197"/>
      <c r="C26" s="1197"/>
      <c r="D26" s="1197"/>
      <c r="E26" s="1197"/>
      <c r="F26" s="1197"/>
      <c r="G26" s="1197"/>
      <c r="H26" s="1224"/>
      <c r="I26" s="2108" t="s">
        <v>1750</v>
      </c>
      <c r="J26" s="2108"/>
      <c r="K26" s="2108"/>
      <c r="L26" s="2108">
        <v>441638169</v>
      </c>
      <c r="M26" s="2108"/>
      <c r="N26" s="1225"/>
      <c r="O26" s="1225"/>
      <c r="P26" s="1225"/>
      <c r="Q26" s="1225"/>
      <c r="R26" s="2108" t="s">
        <v>1751</v>
      </c>
      <c r="S26" s="2108"/>
      <c r="T26" s="2108"/>
      <c r="U26" s="2108">
        <v>441638169</v>
      </c>
      <c r="V26" s="2108"/>
      <c r="W26" s="1224"/>
      <c r="X26" s="1224"/>
    </row>
    <row r="27" spans="1:24" ht="19.5" customHeight="1" x14ac:dyDescent="0.25">
      <c r="A27" s="1197"/>
      <c r="B27" s="1197"/>
      <c r="C27" s="1197"/>
      <c r="D27" s="1197"/>
      <c r="E27" s="1197"/>
      <c r="F27" s="1197"/>
      <c r="G27" s="1197"/>
      <c r="H27" s="1224"/>
      <c r="I27" s="2066" t="s">
        <v>3474</v>
      </c>
      <c r="J27" s="2066"/>
      <c r="K27" s="2066"/>
      <c r="L27" s="2108">
        <f>SUM(H22:P22)</f>
        <v>8184505</v>
      </c>
      <c r="M27" s="2108"/>
      <c r="N27" s="1225"/>
      <c r="O27" s="1225"/>
      <c r="P27" s="1225"/>
      <c r="Q27" s="1225"/>
      <c r="R27" s="2066" t="s">
        <v>3474</v>
      </c>
      <c r="S27" s="2066"/>
      <c r="T27" s="2066"/>
      <c r="U27" s="2108">
        <f>SUM(Q22:X22)</f>
        <v>8184505</v>
      </c>
      <c r="V27" s="2108"/>
      <c r="W27" s="1224"/>
      <c r="X27" s="1224"/>
    </row>
    <row r="28" spans="1:24" ht="21" customHeight="1" x14ac:dyDescent="0.25">
      <c r="A28" s="1197"/>
      <c r="B28" s="1197"/>
      <c r="C28" s="1197"/>
      <c r="D28" s="1197"/>
      <c r="E28" s="1197"/>
      <c r="F28" s="1197"/>
      <c r="G28" s="1197"/>
      <c r="H28" s="1224"/>
      <c r="I28" s="2108" t="s">
        <v>1561</v>
      </c>
      <c r="J28" s="2108"/>
      <c r="K28" s="2108"/>
      <c r="L28" s="2108">
        <f>+L26+L27</f>
        <v>449822674</v>
      </c>
      <c r="M28" s="2108"/>
      <c r="N28" s="1225"/>
      <c r="O28" s="1225"/>
      <c r="P28" s="1225"/>
      <c r="Q28" s="1225"/>
      <c r="R28" s="2108" t="s">
        <v>1561</v>
      </c>
      <c r="S28" s="2108"/>
      <c r="T28" s="2108"/>
      <c r="U28" s="2108">
        <f>+U26+U27</f>
        <v>449822674</v>
      </c>
      <c r="V28" s="2108"/>
      <c r="W28" s="1224"/>
      <c r="X28" s="1224"/>
    </row>
    <row r="29" spans="1:24" ht="20.25" customHeight="1" x14ac:dyDescent="0.25">
      <c r="A29" s="1197"/>
      <c r="B29" s="1197"/>
      <c r="C29" s="1197"/>
      <c r="D29" s="1197"/>
      <c r="E29" s="1197"/>
      <c r="F29" s="1197"/>
      <c r="G29" s="1197"/>
      <c r="H29" s="1224"/>
      <c r="I29" s="1465"/>
      <c r="J29" s="1465"/>
      <c r="K29" s="1465"/>
      <c r="L29" s="1465"/>
      <c r="M29" s="1465"/>
      <c r="N29" s="1225"/>
      <c r="O29" s="1225"/>
      <c r="P29" s="1225"/>
      <c r="Q29" s="1225"/>
      <c r="R29" s="1465"/>
      <c r="S29" s="1465"/>
      <c r="T29" s="1465"/>
      <c r="U29" s="1465"/>
      <c r="V29" s="1465"/>
      <c r="W29" s="1224"/>
      <c r="X29" s="1224"/>
    </row>
    <row r="30" spans="1:24" ht="15.75" x14ac:dyDescent="0.25">
      <c r="A30" s="2069" t="s">
        <v>2641</v>
      </c>
      <c r="B30" s="2069"/>
      <c r="C30" s="2069"/>
      <c r="D30" s="2069"/>
      <c r="E30" s="2069"/>
      <c r="F30" s="2069"/>
      <c r="G30" s="2069"/>
      <c r="H30" s="2069"/>
      <c r="I30" s="2069"/>
      <c r="J30" s="2069"/>
      <c r="K30" s="2069"/>
      <c r="L30" s="2069"/>
      <c r="M30" s="2069"/>
      <c r="N30" s="2069"/>
      <c r="O30" s="2069"/>
      <c r="P30" s="2069"/>
      <c r="Q30" s="2069"/>
      <c r="R30" s="2069"/>
      <c r="S30" s="2069"/>
      <c r="T30" s="2069"/>
      <c r="U30" s="2069"/>
      <c r="V30" s="2069"/>
      <c r="W30" s="2069"/>
      <c r="X30" s="2069"/>
    </row>
    <row r="31" spans="1:24" ht="15" x14ac:dyDescent="0.25">
      <c r="A31" s="1195"/>
      <c r="B31" s="1195"/>
      <c r="C31" s="1195"/>
      <c r="D31" s="1195"/>
      <c r="E31" s="1195"/>
      <c r="F31" s="1195"/>
      <c r="G31" s="1195"/>
      <c r="H31" s="1195"/>
      <c r="I31" s="1195"/>
      <c r="J31" s="1195"/>
      <c r="K31" s="1195"/>
      <c r="L31" s="1195"/>
      <c r="M31" s="1195"/>
      <c r="N31" s="1195"/>
      <c r="O31" s="1195"/>
      <c r="P31" s="1195"/>
      <c r="Q31" s="1195"/>
      <c r="R31" s="1195"/>
      <c r="S31" s="1195"/>
      <c r="T31" s="1195"/>
      <c r="U31" s="1195"/>
      <c r="V31" s="1195"/>
      <c r="W31" s="1195"/>
      <c r="X31" s="1195"/>
    </row>
    <row r="32" spans="1:24" ht="15" x14ac:dyDescent="0.25">
      <c r="A32" s="2112" t="s">
        <v>24</v>
      </c>
      <c r="B32" s="2112"/>
      <c r="C32" s="2112"/>
      <c r="D32" s="2112"/>
      <c r="E32" s="2112"/>
      <c r="F32" s="2112"/>
      <c r="G32" s="2112"/>
      <c r="H32" s="2112"/>
      <c r="I32" s="2112"/>
      <c r="J32" s="2112"/>
      <c r="K32" s="2112"/>
      <c r="L32" s="2112"/>
      <c r="M32" s="2112"/>
      <c r="N32" s="2112"/>
      <c r="O32" s="2112"/>
      <c r="P32" s="2112"/>
      <c r="Q32" s="2112"/>
      <c r="R32" s="2112"/>
      <c r="S32" s="2112"/>
      <c r="T32" s="2112"/>
      <c r="U32" s="2112"/>
      <c r="V32" s="2112"/>
      <c r="W32" s="2112"/>
      <c r="X32" s="2112"/>
    </row>
    <row r="33" spans="1:24" ht="15" x14ac:dyDescent="0.25">
      <c r="A33" s="1197"/>
      <c r="B33" s="1197"/>
      <c r="C33" s="1197"/>
      <c r="D33" s="1197"/>
      <c r="E33" s="1197"/>
      <c r="F33" s="1197"/>
      <c r="G33" s="1197"/>
      <c r="H33" s="1197"/>
      <c r="I33" s="1197"/>
      <c r="J33" s="1197"/>
      <c r="K33" s="1197"/>
      <c r="L33" s="1197"/>
      <c r="M33" s="1197"/>
      <c r="N33" s="1197"/>
      <c r="O33" s="1197"/>
      <c r="P33" s="1197"/>
      <c r="Q33" s="1198"/>
      <c r="R33" s="1197"/>
      <c r="S33" s="1197"/>
      <c r="T33" s="1197"/>
      <c r="U33" s="1197"/>
      <c r="V33" s="1197"/>
      <c r="W33" s="1197"/>
      <c r="X33" s="1197"/>
    </row>
    <row r="34" spans="1:24" ht="15" x14ac:dyDescent="0.25">
      <c r="A34" s="2113" t="s">
        <v>37</v>
      </c>
      <c r="B34" s="2093" t="s">
        <v>1726</v>
      </c>
      <c r="C34" s="2115" t="s">
        <v>2</v>
      </c>
      <c r="D34" s="2117" t="s">
        <v>1727</v>
      </c>
      <c r="E34" s="2117" t="s">
        <v>117</v>
      </c>
      <c r="F34" s="2117" t="s">
        <v>1728</v>
      </c>
      <c r="G34" s="2117" t="s">
        <v>1729</v>
      </c>
      <c r="H34" s="2119" t="s">
        <v>1730</v>
      </c>
      <c r="I34" s="2119"/>
      <c r="J34" s="2119"/>
      <c r="K34" s="2119"/>
      <c r="L34" s="2119"/>
      <c r="M34" s="2119"/>
      <c r="N34" s="2119"/>
      <c r="O34" s="2133"/>
      <c r="P34" s="1661"/>
      <c r="Q34" s="2120" t="s">
        <v>1731</v>
      </c>
      <c r="R34" s="2119"/>
      <c r="S34" s="2119"/>
      <c r="T34" s="2119"/>
      <c r="U34" s="2119"/>
      <c r="V34" s="2119"/>
      <c r="W34" s="2119"/>
      <c r="X34" s="2121"/>
    </row>
    <row r="35" spans="1:24" ht="81" customHeight="1" x14ac:dyDescent="0.2">
      <c r="A35" s="2114"/>
      <c r="B35" s="2094"/>
      <c r="C35" s="2116"/>
      <c r="D35" s="2118"/>
      <c r="E35" s="2118"/>
      <c r="F35" s="2118"/>
      <c r="G35" s="2118"/>
      <c r="H35" s="1154" t="s">
        <v>2384</v>
      </c>
      <c r="I35" s="1154" t="s">
        <v>1733</v>
      </c>
      <c r="J35" s="1154" t="s">
        <v>1753</v>
      </c>
      <c r="K35" s="1154" t="s">
        <v>1782</v>
      </c>
      <c r="L35" s="1154" t="s">
        <v>1783</v>
      </c>
      <c r="M35" s="1154" t="s">
        <v>1756</v>
      </c>
      <c r="N35" s="1154" t="s">
        <v>1757</v>
      </c>
      <c r="O35" s="1157" t="s">
        <v>1739</v>
      </c>
      <c r="P35" s="1159" t="s">
        <v>1758</v>
      </c>
      <c r="Q35" s="1227" t="s">
        <v>1741</v>
      </c>
      <c r="R35" s="1154" t="s">
        <v>1742</v>
      </c>
      <c r="S35" s="1154" t="s">
        <v>1779</v>
      </c>
      <c r="T35" s="1154" t="s">
        <v>1784</v>
      </c>
      <c r="U35" s="1154" t="s">
        <v>1745</v>
      </c>
      <c r="V35" s="1154" t="s">
        <v>1746</v>
      </c>
      <c r="W35" s="1154" t="s">
        <v>1747</v>
      </c>
      <c r="X35" s="1159" t="s">
        <v>1762</v>
      </c>
    </row>
    <row r="36" spans="1:24" ht="15" customHeight="1" x14ac:dyDescent="0.2">
      <c r="A36" s="2124" t="s">
        <v>198</v>
      </c>
      <c r="B36" s="2123" t="s">
        <v>233</v>
      </c>
      <c r="C36" s="2122" t="s">
        <v>2261</v>
      </c>
      <c r="D36" s="1201" t="s">
        <v>1840</v>
      </c>
      <c r="E36" s="1201" t="s">
        <v>1288</v>
      </c>
      <c r="F36" s="1201" t="s">
        <v>128</v>
      </c>
      <c r="G36" s="1232" t="s">
        <v>1829</v>
      </c>
      <c r="H36" s="1165"/>
      <c r="I36" s="1165"/>
      <c r="J36" s="1165"/>
      <c r="K36" s="1165"/>
      <c r="L36" s="1165"/>
      <c r="M36" s="1165"/>
      <c r="N36" s="1165"/>
      <c r="O36" s="1165"/>
      <c r="P36" s="1203"/>
      <c r="Q36" s="1204"/>
      <c r="R36" s="1165"/>
      <c r="S36" s="1165"/>
      <c r="T36" s="1165"/>
      <c r="U36" s="1165"/>
      <c r="V36" s="1165"/>
      <c r="W36" s="1165"/>
      <c r="X36" s="1203">
        <v>8136000</v>
      </c>
    </row>
    <row r="37" spans="1:24" ht="15" customHeight="1" x14ac:dyDescent="0.2">
      <c r="A37" s="2100"/>
      <c r="B37" s="2107"/>
      <c r="C37" s="2106"/>
      <c r="D37" s="1236" t="s">
        <v>1840</v>
      </c>
      <c r="E37" s="1206" t="s">
        <v>162</v>
      </c>
      <c r="F37" s="1236" t="s">
        <v>91</v>
      </c>
      <c r="G37" s="1232" t="s">
        <v>1829</v>
      </c>
      <c r="H37" s="1285">
        <v>6900000</v>
      </c>
      <c r="I37" s="1285">
        <v>897000</v>
      </c>
      <c r="J37" s="1285"/>
      <c r="K37" s="1285"/>
      <c r="L37" s="1285"/>
      <c r="M37" s="1285"/>
      <c r="N37" s="1285"/>
      <c r="O37" s="1285"/>
      <c r="P37" s="1286"/>
      <c r="Q37" s="1287"/>
      <c r="R37" s="1285"/>
      <c r="S37" s="1285"/>
      <c r="T37" s="1285"/>
      <c r="U37" s="1285"/>
      <c r="V37" s="1285"/>
      <c r="W37" s="1285"/>
      <c r="X37" s="1286"/>
    </row>
    <row r="38" spans="1:24" ht="15" customHeight="1" x14ac:dyDescent="0.2">
      <c r="A38" s="2101"/>
      <c r="B38" s="2105"/>
      <c r="C38" s="2103"/>
      <c r="D38" s="1236" t="s">
        <v>1840</v>
      </c>
      <c r="E38" s="1206" t="s">
        <v>162</v>
      </c>
      <c r="F38" s="1236" t="s">
        <v>132</v>
      </c>
      <c r="G38" s="1232" t="s">
        <v>1829</v>
      </c>
      <c r="H38" s="1285">
        <v>300000</v>
      </c>
      <c r="I38" s="1285">
        <v>39000</v>
      </c>
      <c r="J38" s="1285"/>
      <c r="K38" s="1285"/>
      <c r="L38" s="1285"/>
      <c r="M38" s="1285"/>
      <c r="N38" s="1285"/>
      <c r="O38" s="1285"/>
      <c r="P38" s="1286"/>
      <c r="Q38" s="1287"/>
      <c r="R38" s="1285"/>
      <c r="S38" s="1285"/>
      <c r="T38" s="1285"/>
      <c r="U38" s="1285"/>
      <c r="V38" s="1285"/>
      <c r="W38" s="1285"/>
      <c r="X38" s="1286"/>
    </row>
    <row r="39" spans="1:24" ht="41.25" customHeight="1" x14ac:dyDescent="0.2">
      <c r="A39" s="1646" t="s">
        <v>225</v>
      </c>
      <c r="B39" s="1643" t="s">
        <v>260</v>
      </c>
      <c r="C39" s="1641" t="s">
        <v>2300</v>
      </c>
      <c r="D39" s="1236" t="s">
        <v>1840</v>
      </c>
      <c r="E39" s="1212" t="s">
        <v>162</v>
      </c>
      <c r="F39" s="1236" t="s">
        <v>151</v>
      </c>
      <c r="G39" s="1232" t="s">
        <v>1837</v>
      </c>
      <c r="H39" s="1285"/>
      <c r="I39" s="1285"/>
      <c r="J39" s="1285">
        <f>-473583-216430-188193+99000</f>
        <v>-779206</v>
      </c>
      <c r="K39" s="1285"/>
      <c r="L39" s="1285"/>
      <c r="M39" s="1285">
        <f>613548+165658</f>
        <v>779206</v>
      </c>
      <c r="N39" s="1285"/>
      <c r="O39" s="1285"/>
      <c r="P39" s="1286"/>
      <c r="Q39" s="1287"/>
      <c r="R39" s="1285"/>
      <c r="S39" s="1285"/>
      <c r="T39" s="1285"/>
      <c r="U39" s="1285"/>
      <c r="V39" s="1285"/>
      <c r="W39" s="1285"/>
      <c r="X39" s="1286"/>
    </row>
    <row r="40" spans="1:24" ht="21" customHeight="1" x14ac:dyDescent="0.2">
      <c r="A40" s="2099" t="s">
        <v>226</v>
      </c>
      <c r="B40" s="2104" t="s">
        <v>261</v>
      </c>
      <c r="C40" s="2102" t="s">
        <v>2303</v>
      </c>
      <c r="D40" s="1236" t="s">
        <v>1840</v>
      </c>
      <c r="E40" s="1212" t="s">
        <v>162</v>
      </c>
      <c r="F40" s="1236" t="s">
        <v>91</v>
      </c>
      <c r="G40" s="1232" t="s">
        <v>1828</v>
      </c>
      <c r="H40" s="1285"/>
      <c r="I40" s="1285"/>
      <c r="J40" s="1285"/>
      <c r="K40" s="1285"/>
      <c r="L40" s="1285"/>
      <c r="M40" s="1285">
        <f>-18452-4982</f>
        <v>-23434</v>
      </c>
      <c r="N40" s="1285"/>
      <c r="O40" s="1285"/>
      <c r="P40" s="1286"/>
      <c r="Q40" s="1287"/>
      <c r="R40" s="1285"/>
      <c r="S40" s="1285"/>
      <c r="T40" s="1285"/>
      <c r="U40" s="1285"/>
      <c r="V40" s="1285"/>
      <c r="W40" s="1285"/>
      <c r="X40" s="1286"/>
    </row>
    <row r="41" spans="1:24" ht="21" customHeight="1" x14ac:dyDescent="0.2">
      <c r="A41" s="2101"/>
      <c r="B41" s="2105"/>
      <c r="C41" s="2103"/>
      <c r="D41" s="1236" t="s">
        <v>1840</v>
      </c>
      <c r="E41" s="1212" t="s">
        <v>162</v>
      </c>
      <c r="F41" s="1236" t="s">
        <v>151</v>
      </c>
      <c r="G41" s="1232" t="s">
        <v>1829</v>
      </c>
      <c r="H41" s="1285"/>
      <c r="I41" s="1285"/>
      <c r="J41" s="1285"/>
      <c r="K41" s="1285"/>
      <c r="L41" s="1285"/>
      <c r="M41" s="1285">
        <f>18452+4982</f>
        <v>23434</v>
      </c>
      <c r="N41" s="1285"/>
      <c r="O41" s="1285"/>
      <c r="P41" s="1286"/>
      <c r="Q41" s="1287"/>
      <c r="R41" s="1285"/>
      <c r="S41" s="1285"/>
      <c r="T41" s="1285"/>
      <c r="U41" s="1285"/>
      <c r="V41" s="1285"/>
      <c r="W41" s="1285"/>
      <c r="X41" s="1286"/>
    </row>
    <row r="42" spans="1:24" ht="32.25" customHeight="1" x14ac:dyDescent="0.2">
      <c r="A42" s="1646" t="s">
        <v>227</v>
      </c>
      <c r="B42" s="1643" t="s">
        <v>262</v>
      </c>
      <c r="C42" s="1641" t="s">
        <v>2317</v>
      </c>
      <c r="D42" s="1236" t="s">
        <v>1840</v>
      </c>
      <c r="E42" s="1212" t="s">
        <v>1288</v>
      </c>
      <c r="F42" s="1236" t="s">
        <v>128</v>
      </c>
      <c r="G42" s="1232" t="s">
        <v>1829</v>
      </c>
      <c r="H42" s="1285"/>
      <c r="I42" s="1285"/>
      <c r="J42" s="1285"/>
      <c r="K42" s="1285"/>
      <c r="L42" s="1285">
        <v>11074052</v>
      </c>
      <c r="M42" s="1285"/>
      <c r="N42" s="1285"/>
      <c r="O42" s="1285"/>
      <c r="P42" s="1286"/>
      <c r="Q42" s="1287"/>
      <c r="R42" s="1285"/>
      <c r="S42" s="1285"/>
      <c r="T42" s="1285"/>
      <c r="U42" s="1285"/>
      <c r="V42" s="1285"/>
      <c r="W42" s="1285"/>
      <c r="X42" s="1286">
        <v>11074052</v>
      </c>
    </row>
    <row r="43" spans="1:24" ht="29.25" customHeight="1" x14ac:dyDescent="0.2">
      <c r="A43" s="2099" t="s">
        <v>228</v>
      </c>
      <c r="B43" s="2104" t="s">
        <v>263</v>
      </c>
      <c r="C43" s="2102" t="s">
        <v>2407</v>
      </c>
      <c r="D43" s="1236" t="s">
        <v>1840</v>
      </c>
      <c r="E43" s="1212" t="s">
        <v>1288</v>
      </c>
      <c r="F43" s="1236" t="s">
        <v>128</v>
      </c>
      <c r="G43" s="1232" t="s">
        <v>1829</v>
      </c>
      <c r="H43" s="1285"/>
      <c r="I43" s="1285"/>
      <c r="J43" s="1285"/>
      <c r="K43" s="1285"/>
      <c r="L43" s="1285"/>
      <c r="M43" s="1285"/>
      <c r="N43" s="1285"/>
      <c r="O43" s="1285"/>
      <c r="P43" s="1286"/>
      <c r="Q43" s="1287"/>
      <c r="R43" s="1285"/>
      <c r="S43" s="1285"/>
      <c r="T43" s="1285"/>
      <c r="U43" s="1285"/>
      <c r="V43" s="1285"/>
      <c r="W43" s="1285"/>
      <c r="X43" s="1286">
        <v>1139176</v>
      </c>
    </row>
    <row r="44" spans="1:24" ht="29.25" customHeight="1" x14ac:dyDescent="0.2">
      <c r="A44" s="2101"/>
      <c r="B44" s="2105"/>
      <c r="C44" s="2103"/>
      <c r="D44" s="1236" t="s">
        <v>1840</v>
      </c>
      <c r="E44" s="1212" t="s">
        <v>162</v>
      </c>
      <c r="F44" s="1236" t="s">
        <v>91</v>
      </c>
      <c r="G44" s="1232" t="s">
        <v>1829</v>
      </c>
      <c r="H44" s="1285">
        <v>1008120</v>
      </c>
      <c r="I44" s="1285">
        <v>131056</v>
      </c>
      <c r="J44" s="1285"/>
      <c r="K44" s="1285"/>
      <c r="L44" s="1285"/>
      <c r="M44" s="1285"/>
      <c r="N44" s="1285"/>
      <c r="O44" s="1285"/>
      <c r="P44" s="1286"/>
      <c r="Q44" s="1287"/>
      <c r="R44" s="1285"/>
      <c r="S44" s="1285"/>
      <c r="T44" s="1285"/>
      <c r="U44" s="1285"/>
      <c r="V44" s="1285"/>
      <c r="W44" s="1285"/>
      <c r="X44" s="1286"/>
    </row>
    <row r="45" spans="1:24" ht="21.75" customHeight="1" x14ac:dyDescent="0.2">
      <c r="A45" s="2099" t="s">
        <v>229</v>
      </c>
      <c r="B45" s="2104" t="s">
        <v>264</v>
      </c>
      <c r="C45" s="2102" t="s">
        <v>2469</v>
      </c>
      <c r="D45" s="1236" t="s">
        <v>1840</v>
      </c>
      <c r="E45" s="1212" t="s">
        <v>162</v>
      </c>
      <c r="F45" s="1236" t="s">
        <v>132</v>
      </c>
      <c r="G45" s="1232" t="s">
        <v>1828</v>
      </c>
      <c r="H45" s="1285">
        <v>-300000</v>
      </c>
      <c r="I45" s="1285">
        <v>-39000</v>
      </c>
      <c r="J45" s="1285"/>
      <c r="K45" s="1285"/>
      <c r="L45" s="1285"/>
      <c r="M45" s="1285"/>
      <c r="N45" s="1285"/>
      <c r="O45" s="1285"/>
      <c r="P45" s="1286"/>
      <c r="Q45" s="1287"/>
      <c r="R45" s="1285"/>
      <c r="S45" s="1285"/>
      <c r="T45" s="1285"/>
      <c r="U45" s="1285"/>
      <c r="V45" s="1285"/>
      <c r="W45" s="1285"/>
      <c r="X45" s="1286"/>
    </row>
    <row r="46" spans="1:24" ht="21.75" customHeight="1" x14ac:dyDescent="0.2">
      <c r="A46" s="2101"/>
      <c r="B46" s="2105"/>
      <c r="C46" s="2103"/>
      <c r="D46" s="1236" t="s">
        <v>1840</v>
      </c>
      <c r="E46" s="1212" t="s">
        <v>760</v>
      </c>
      <c r="F46" s="1236" t="s">
        <v>132</v>
      </c>
      <c r="G46" s="1232" t="s">
        <v>1829</v>
      </c>
      <c r="H46" s="1285">
        <v>300000</v>
      </c>
      <c r="I46" s="1285">
        <v>39000</v>
      </c>
      <c r="J46" s="1285"/>
      <c r="K46" s="1285"/>
      <c r="L46" s="1285"/>
      <c r="M46" s="1285"/>
      <c r="N46" s="1285"/>
      <c r="O46" s="1285"/>
      <c r="P46" s="1286"/>
      <c r="Q46" s="1287"/>
      <c r="R46" s="1285"/>
      <c r="S46" s="1285"/>
      <c r="T46" s="1285"/>
      <c r="U46" s="1285"/>
      <c r="V46" s="1285"/>
      <c r="W46" s="1285"/>
      <c r="X46" s="1286"/>
    </row>
    <row r="47" spans="1:24" ht="21" customHeight="1" x14ac:dyDescent="0.2">
      <c r="A47" s="2099" t="s">
        <v>230</v>
      </c>
      <c r="B47" s="2104" t="s">
        <v>265</v>
      </c>
      <c r="C47" s="2102" t="s">
        <v>2473</v>
      </c>
      <c r="D47" s="1236" t="s">
        <v>1840</v>
      </c>
      <c r="E47" s="1212" t="s">
        <v>1288</v>
      </c>
      <c r="F47" s="1236" t="s">
        <v>128</v>
      </c>
      <c r="G47" s="1232" t="s">
        <v>1829</v>
      </c>
      <c r="H47" s="1285"/>
      <c r="I47" s="1285"/>
      <c r="J47" s="1285"/>
      <c r="K47" s="1285"/>
      <c r="L47" s="1285"/>
      <c r="M47" s="1285"/>
      <c r="N47" s="1285"/>
      <c r="O47" s="1285"/>
      <c r="P47" s="1286"/>
      <c r="Q47" s="1287"/>
      <c r="R47" s="1285"/>
      <c r="S47" s="1285"/>
      <c r="T47" s="1285"/>
      <c r="U47" s="1285"/>
      <c r="V47" s="1285"/>
      <c r="W47" s="1285"/>
      <c r="X47" s="1286">
        <v>165000</v>
      </c>
    </row>
    <row r="48" spans="1:24" ht="21.75" customHeight="1" x14ac:dyDescent="0.2">
      <c r="A48" s="2101"/>
      <c r="B48" s="2105"/>
      <c r="C48" s="2103"/>
      <c r="D48" s="1236" t="s">
        <v>1840</v>
      </c>
      <c r="E48" s="1212" t="s">
        <v>162</v>
      </c>
      <c r="F48" s="1236" t="s">
        <v>91</v>
      </c>
      <c r="G48" s="1232" t="s">
        <v>1829</v>
      </c>
      <c r="H48" s="1285"/>
      <c r="I48" s="1285"/>
      <c r="J48" s="1285">
        <v>165000</v>
      </c>
      <c r="K48" s="1285"/>
      <c r="L48" s="1285"/>
      <c r="M48" s="1285"/>
      <c r="N48" s="1285"/>
      <c r="O48" s="1285"/>
      <c r="P48" s="1286"/>
      <c r="Q48" s="1287"/>
      <c r="R48" s="1285"/>
      <c r="S48" s="1285"/>
      <c r="T48" s="1285"/>
      <c r="U48" s="1285"/>
      <c r="V48" s="1285"/>
      <c r="W48" s="1285"/>
      <c r="X48" s="1286"/>
    </row>
    <row r="49" spans="1:24" ht="23.25" customHeight="1" x14ac:dyDescent="0.2">
      <c r="A49" s="2111" t="s">
        <v>231</v>
      </c>
      <c r="B49" s="2110" t="s">
        <v>266</v>
      </c>
      <c r="C49" s="2109" t="s">
        <v>2497</v>
      </c>
      <c r="D49" s="1206" t="s">
        <v>1840</v>
      </c>
      <c r="E49" s="1206" t="s">
        <v>1288</v>
      </c>
      <c r="F49" s="1206" t="s">
        <v>128</v>
      </c>
      <c r="G49" s="1232" t="s">
        <v>1829</v>
      </c>
      <c r="H49" s="1208"/>
      <c r="I49" s="1208"/>
      <c r="J49" s="1208"/>
      <c r="K49" s="1208"/>
      <c r="L49" s="1208"/>
      <c r="M49" s="1208"/>
      <c r="N49" s="1208"/>
      <c r="O49" s="1208"/>
      <c r="P49" s="1209"/>
      <c r="Q49" s="1210"/>
      <c r="R49" s="1208"/>
      <c r="S49" s="1208"/>
      <c r="T49" s="1208"/>
      <c r="U49" s="1208"/>
      <c r="V49" s="1208"/>
      <c r="W49" s="1208"/>
      <c r="X49" s="1209">
        <v>544050</v>
      </c>
    </row>
    <row r="50" spans="1:24" ht="23.25" customHeight="1" x14ac:dyDescent="0.2">
      <c r="A50" s="2111"/>
      <c r="B50" s="2110"/>
      <c r="C50" s="2109"/>
      <c r="D50" s="1206" t="s">
        <v>1840</v>
      </c>
      <c r="E50" s="1206" t="s">
        <v>162</v>
      </c>
      <c r="F50" s="1206" t="s">
        <v>91</v>
      </c>
      <c r="G50" s="1232" t="s">
        <v>1829</v>
      </c>
      <c r="H50" s="1208"/>
      <c r="I50" s="1208"/>
      <c r="J50" s="1208"/>
      <c r="K50" s="1208"/>
      <c r="L50" s="1208"/>
      <c r="M50" s="1208">
        <f>428386+115664</f>
        <v>544050</v>
      </c>
      <c r="N50" s="1208"/>
      <c r="O50" s="1208"/>
      <c r="P50" s="1209"/>
      <c r="Q50" s="1210"/>
      <c r="R50" s="1208"/>
      <c r="S50" s="1208"/>
      <c r="T50" s="1208"/>
      <c r="U50" s="1208"/>
      <c r="V50" s="1208"/>
      <c r="W50" s="1208"/>
      <c r="X50" s="1209"/>
    </row>
    <row r="51" spans="1:24" ht="30.75" customHeight="1" x14ac:dyDescent="0.2">
      <c r="A51" s="1650" t="s">
        <v>232</v>
      </c>
      <c r="B51" s="1649" t="s">
        <v>267</v>
      </c>
      <c r="C51" s="1648" t="s">
        <v>2587</v>
      </c>
      <c r="D51" s="1206" t="s">
        <v>1840</v>
      </c>
      <c r="E51" s="1206" t="s">
        <v>162</v>
      </c>
      <c r="F51" s="1206" t="s">
        <v>91</v>
      </c>
      <c r="G51" s="1232" t="s">
        <v>1837</v>
      </c>
      <c r="H51" s="1208"/>
      <c r="I51" s="1208"/>
      <c r="J51" s="1208">
        <f>-100000-27000</f>
        <v>-127000</v>
      </c>
      <c r="K51" s="1208"/>
      <c r="L51" s="1208"/>
      <c r="M51" s="1208">
        <f>100000+27000</f>
        <v>127000</v>
      </c>
      <c r="N51" s="1208"/>
      <c r="O51" s="1208"/>
      <c r="P51" s="1209"/>
      <c r="Q51" s="1210"/>
      <c r="R51" s="1208"/>
      <c r="S51" s="1208"/>
      <c r="T51" s="1208"/>
      <c r="U51" s="1208"/>
      <c r="V51" s="1208"/>
      <c r="W51" s="1208"/>
      <c r="X51" s="1209"/>
    </row>
    <row r="52" spans="1:24" ht="22.5" customHeight="1" x14ac:dyDescent="0.2">
      <c r="A52" s="2099" t="s">
        <v>233</v>
      </c>
      <c r="B52" s="2104" t="s">
        <v>268</v>
      </c>
      <c r="C52" s="2102" t="s">
        <v>2497</v>
      </c>
      <c r="D52" s="1212" t="s">
        <v>1840</v>
      </c>
      <c r="E52" s="1212" t="s">
        <v>1288</v>
      </c>
      <c r="F52" s="1212" t="s">
        <v>128</v>
      </c>
      <c r="G52" s="1244" t="s">
        <v>1829</v>
      </c>
      <c r="H52" s="1208"/>
      <c r="I52" s="1208"/>
      <c r="J52" s="1208"/>
      <c r="K52" s="1208"/>
      <c r="L52" s="1208"/>
      <c r="M52" s="1208"/>
      <c r="N52" s="1208"/>
      <c r="O52" s="1208"/>
      <c r="P52" s="1209"/>
      <c r="Q52" s="1210"/>
      <c r="R52" s="1208"/>
      <c r="S52" s="1208"/>
      <c r="T52" s="1208"/>
      <c r="U52" s="1208"/>
      <c r="V52" s="1208"/>
      <c r="W52" s="1208"/>
      <c r="X52" s="1209">
        <v>544050</v>
      </c>
    </row>
    <row r="53" spans="1:24" ht="22.5" customHeight="1" x14ac:dyDescent="0.2">
      <c r="A53" s="2101"/>
      <c r="B53" s="2105"/>
      <c r="C53" s="2103"/>
      <c r="D53" s="1212" t="s">
        <v>1840</v>
      </c>
      <c r="E53" s="1212" t="s">
        <v>162</v>
      </c>
      <c r="F53" s="1212" t="s">
        <v>91</v>
      </c>
      <c r="G53" s="1244" t="s">
        <v>1829</v>
      </c>
      <c r="H53" s="1208"/>
      <c r="I53" s="1208"/>
      <c r="J53" s="1208"/>
      <c r="K53" s="1208"/>
      <c r="L53" s="1208"/>
      <c r="M53" s="1208">
        <f>428386+115664</f>
        <v>544050</v>
      </c>
      <c r="N53" s="1208"/>
      <c r="O53" s="1208"/>
      <c r="P53" s="1209"/>
      <c r="Q53" s="1210"/>
      <c r="R53" s="1208"/>
      <c r="S53" s="1208"/>
      <c r="T53" s="1208"/>
      <c r="U53" s="1208"/>
      <c r="V53" s="1208"/>
      <c r="W53" s="1208"/>
      <c r="X53" s="1209"/>
    </row>
    <row r="54" spans="1:24" ht="40.5" customHeight="1" x14ac:dyDescent="0.2">
      <c r="A54" s="1645" t="s">
        <v>260</v>
      </c>
      <c r="B54" s="1642" t="s">
        <v>269</v>
      </c>
      <c r="C54" s="1640" t="s">
        <v>2628</v>
      </c>
      <c r="D54" s="1212" t="s">
        <v>1840</v>
      </c>
      <c r="E54" s="1212" t="s">
        <v>162</v>
      </c>
      <c r="F54" s="1212" t="s">
        <v>91</v>
      </c>
      <c r="G54" s="1244" t="s">
        <v>1829</v>
      </c>
      <c r="H54" s="1208"/>
      <c r="I54" s="1208"/>
      <c r="J54" s="1208">
        <v>200000</v>
      </c>
      <c r="K54" s="1208"/>
      <c r="L54" s="1208"/>
      <c r="M54" s="1208"/>
      <c r="N54" s="1208"/>
      <c r="O54" s="1208"/>
      <c r="P54" s="1209"/>
      <c r="Q54" s="1210"/>
      <c r="R54" s="1208"/>
      <c r="S54" s="1208"/>
      <c r="T54" s="1208">
        <v>200000</v>
      </c>
      <c r="U54" s="1208"/>
      <c r="V54" s="1208"/>
      <c r="W54" s="1208"/>
      <c r="X54" s="1209"/>
    </row>
    <row r="55" spans="1:24" ht="30" customHeight="1" x14ac:dyDescent="0.2">
      <c r="A55" s="1650" t="s">
        <v>261</v>
      </c>
      <c r="B55" s="1649" t="s">
        <v>270</v>
      </c>
      <c r="C55" s="1648" t="s">
        <v>2629</v>
      </c>
      <c r="D55" s="1206" t="s">
        <v>1840</v>
      </c>
      <c r="E55" s="1206" t="s">
        <v>162</v>
      </c>
      <c r="F55" s="1206" t="s">
        <v>91</v>
      </c>
      <c r="G55" s="1232" t="s">
        <v>1837</v>
      </c>
      <c r="H55" s="1208"/>
      <c r="I55" s="1208"/>
      <c r="J55" s="1208">
        <f>-200000-54000</f>
        <v>-254000</v>
      </c>
      <c r="K55" s="1208"/>
      <c r="L55" s="1208"/>
      <c r="M55" s="1208">
        <f>200000+54000</f>
        <v>254000</v>
      </c>
      <c r="N55" s="1208"/>
      <c r="O55" s="1208"/>
      <c r="P55" s="1209"/>
      <c r="Q55" s="1210"/>
      <c r="R55" s="1208"/>
      <c r="S55" s="1208"/>
      <c r="T55" s="1208"/>
      <c r="U55" s="1208"/>
      <c r="V55" s="1208"/>
      <c r="W55" s="1208"/>
      <c r="X55" s="1209"/>
    </row>
    <row r="56" spans="1:24" ht="42.75" customHeight="1" x14ac:dyDescent="0.2">
      <c r="A56" s="1650" t="s">
        <v>262</v>
      </c>
      <c r="B56" s="1649" t="s">
        <v>271</v>
      </c>
      <c r="C56" s="1648" t="s">
        <v>2636</v>
      </c>
      <c r="D56" s="1206" t="s">
        <v>1840</v>
      </c>
      <c r="E56" s="1206" t="s">
        <v>162</v>
      </c>
      <c r="F56" s="1206" t="s">
        <v>91</v>
      </c>
      <c r="G56" s="1232" t="s">
        <v>1837</v>
      </c>
      <c r="H56" s="1173"/>
      <c r="I56" s="1173"/>
      <c r="J56" s="1173">
        <f>-80000+80000</f>
        <v>0</v>
      </c>
      <c r="K56" s="1173"/>
      <c r="L56" s="1173"/>
      <c r="M56" s="1173"/>
      <c r="N56" s="1173"/>
      <c r="O56" s="1173"/>
      <c r="P56" s="1174"/>
      <c r="Q56" s="1214"/>
      <c r="R56" s="1173"/>
      <c r="S56" s="1173"/>
      <c r="T56" s="1173"/>
      <c r="U56" s="1173"/>
      <c r="V56" s="1173"/>
      <c r="W56" s="1173"/>
      <c r="X56" s="1174"/>
    </row>
    <row r="57" spans="1:24" ht="18.75" x14ac:dyDescent="0.3">
      <c r="A57" s="2082" t="s">
        <v>1749</v>
      </c>
      <c r="B57" s="2083"/>
      <c r="C57" s="2084"/>
      <c r="D57" s="1179"/>
      <c r="E57" s="1179"/>
      <c r="F57" s="1179"/>
      <c r="G57" s="1179"/>
      <c r="H57" s="1467">
        <f t="shared" ref="H57:X57" si="1">SUM(H36:H56)+H22</f>
        <v>8208120</v>
      </c>
      <c r="I57" s="1467">
        <f t="shared" si="1"/>
        <v>1067056</v>
      </c>
      <c r="J57" s="1467">
        <f t="shared" si="1"/>
        <v>7389299</v>
      </c>
      <c r="K57" s="1467">
        <f t="shared" si="1"/>
        <v>0</v>
      </c>
      <c r="L57" s="1467">
        <f t="shared" si="1"/>
        <v>11074052</v>
      </c>
      <c r="M57" s="1467">
        <f t="shared" si="1"/>
        <v>2248306</v>
      </c>
      <c r="N57" s="1467">
        <f t="shared" si="1"/>
        <v>0</v>
      </c>
      <c r="O57" s="1467">
        <f t="shared" si="1"/>
        <v>0</v>
      </c>
      <c r="P57" s="1289">
        <f t="shared" si="1"/>
        <v>0</v>
      </c>
      <c r="Q57" s="1468">
        <f t="shared" si="1"/>
        <v>350000</v>
      </c>
      <c r="R57" s="1467">
        <f t="shared" si="1"/>
        <v>0</v>
      </c>
      <c r="S57" s="1467">
        <f t="shared" si="1"/>
        <v>0</v>
      </c>
      <c r="T57" s="1467">
        <f t="shared" si="1"/>
        <v>220000</v>
      </c>
      <c r="U57" s="1467">
        <f t="shared" si="1"/>
        <v>0</v>
      </c>
      <c r="V57" s="1467">
        <f t="shared" si="1"/>
        <v>0</v>
      </c>
      <c r="W57" s="1467">
        <f t="shared" si="1"/>
        <v>0</v>
      </c>
      <c r="X57" s="1289">
        <f t="shared" si="1"/>
        <v>29416833</v>
      </c>
    </row>
    <row r="58" spans="1:24" ht="21.75" customHeight="1" x14ac:dyDescent="0.3">
      <c r="A58" s="1217"/>
      <c r="B58" s="1217"/>
      <c r="C58" s="1217"/>
      <c r="D58" s="1219"/>
      <c r="E58" s="1219"/>
      <c r="F58" s="1219"/>
      <c r="G58" s="1219"/>
      <c r="H58" s="1252"/>
      <c r="I58" s="1252"/>
      <c r="J58" s="1252"/>
      <c r="K58" s="1252"/>
      <c r="L58" s="1252"/>
      <c r="M58" s="1252"/>
      <c r="N58" s="1252"/>
      <c r="O58" s="1252"/>
      <c r="P58" s="1252"/>
      <c r="Q58" s="1252"/>
      <c r="R58" s="1252"/>
      <c r="S58" s="1252"/>
      <c r="T58" s="1252"/>
      <c r="U58" s="1252"/>
      <c r="V58" s="1252"/>
      <c r="W58" s="1252"/>
      <c r="X58" s="1252"/>
    </row>
    <row r="59" spans="1:24" ht="21" customHeight="1" x14ac:dyDescent="0.3">
      <c r="A59" s="1217"/>
      <c r="B59" s="1217"/>
      <c r="C59" s="1217"/>
      <c r="D59" s="1219"/>
      <c r="E59" s="1219"/>
      <c r="F59" s="1219"/>
      <c r="G59" s="1219"/>
      <c r="H59" s="1193"/>
      <c r="I59" s="1193"/>
      <c r="J59" s="1193"/>
      <c r="K59" s="1193"/>
      <c r="L59" s="1193"/>
      <c r="M59" s="1193"/>
      <c r="N59" s="1193"/>
      <c r="O59" s="1193"/>
      <c r="P59" s="1193"/>
      <c r="Q59" s="1193"/>
      <c r="R59" s="1193"/>
      <c r="S59" s="1193"/>
      <c r="T59" s="1193"/>
      <c r="U59" s="1193"/>
      <c r="V59" s="1193"/>
      <c r="W59" s="1193"/>
      <c r="X59" s="1193"/>
    </row>
    <row r="60" spans="1:24" ht="18.75" x14ac:dyDescent="0.3">
      <c r="A60" s="1217"/>
      <c r="B60" s="1217"/>
      <c r="C60" s="1217"/>
      <c r="D60" s="1219"/>
      <c r="E60" s="1219"/>
      <c r="F60" s="1219"/>
      <c r="G60" s="1219"/>
      <c r="H60" s="1193"/>
      <c r="I60" s="1193"/>
      <c r="J60" s="1193"/>
      <c r="K60" s="1193"/>
      <c r="L60" s="1193"/>
      <c r="M60" s="1193"/>
      <c r="N60" s="1193"/>
      <c r="O60" s="1193"/>
      <c r="P60" s="1193"/>
      <c r="Q60" s="1193"/>
      <c r="R60" s="1193"/>
      <c r="S60" s="1193"/>
      <c r="T60" s="1193"/>
      <c r="U60" s="1193"/>
      <c r="V60" s="1193"/>
      <c r="W60" s="1193"/>
      <c r="X60" s="1193"/>
    </row>
    <row r="61" spans="1:24" ht="22.5" customHeight="1" x14ac:dyDescent="0.25">
      <c r="A61" s="1197"/>
      <c r="B61" s="1197"/>
      <c r="C61" s="1197"/>
      <c r="D61" s="1197"/>
      <c r="E61" s="1197"/>
      <c r="F61" s="1197"/>
      <c r="G61" s="1197"/>
      <c r="H61" s="1224"/>
      <c r="I61" s="2108" t="s">
        <v>1750</v>
      </c>
      <c r="J61" s="2108"/>
      <c r="K61" s="2108"/>
      <c r="L61" s="2108">
        <v>441638169</v>
      </c>
      <c r="M61" s="2108"/>
      <c r="N61" s="1225"/>
      <c r="O61" s="1225"/>
      <c r="P61" s="1225"/>
      <c r="Q61" s="1225"/>
      <c r="R61" s="2108" t="s">
        <v>1751</v>
      </c>
      <c r="S61" s="2108"/>
      <c r="T61" s="2108"/>
      <c r="U61" s="2108">
        <v>441638169</v>
      </c>
      <c r="V61" s="2108"/>
      <c r="W61" s="1224"/>
      <c r="X61" s="1224"/>
    </row>
    <row r="62" spans="1:24" ht="22.5" customHeight="1" x14ac:dyDescent="0.25">
      <c r="A62" s="1197"/>
      <c r="B62" s="1197"/>
      <c r="C62" s="1197"/>
      <c r="D62" s="1197"/>
      <c r="E62" s="1197"/>
      <c r="F62" s="1197"/>
      <c r="G62" s="1197"/>
      <c r="H62" s="1224"/>
      <c r="I62" s="2066" t="s">
        <v>3474</v>
      </c>
      <c r="J62" s="2066"/>
      <c r="K62" s="2066"/>
      <c r="L62" s="2108">
        <f>SUM(H57:P57)</f>
        <v>29986833</v>
      </c>
      <c r="M62" s="2108"/>
      <c r="N62" s="1225"/>
      <c r="O62" s="1225"/>
      <c r="P62" s="1225"/>
      <c r="Q62" s="1225"/>
      <c r="R62" s="2066" t="s">
        <v>3474</v>
      </c>
      <c r="S62" s="2066"/>
      <c r="T62" s="2066"/>
      <c r="U62" s="2108">
        <f>SUM(Q57:X57)</f>
        <v>29986833</v>
      </c>
      <c r="V62" s="2108"/>
      <c r="W62" s="1224"/>
      <c r="X62" s="1224"/>
    </row>
    <row r="63" spans="1:24" ht="22.5" customHeight="1" x14ac:dyDescent="0.25">
      <c r="A63" s="1197"/>
      <c r="B63" s="1197"/>
      <c r="C63" s="1197"/>
      <c r="D63" s="1197"/>
      <c r="E63" s="1197"/>
      <c r="F63" s="1197"/>
      <c r="G63" s="1197"/>
      <c r="H63" s="1224"/>
      <c r="I63" s="2108" t="s">
        <v>1561</v>
      </c>
      <c r="J63" s="2108"/>
      <c r="K63" s="2108"/>
      <c r="L63" s="2108">
        <f>+L61+L62</f>
        <v>471625002</v>
      </c>
      <c r="M63" s="2108"/>
      <c r="N63" s="1225"/>
      <c r="O63" s="1225"/>
      <c r="P63" s="1225"/>
      <c r="Q63" s="1225"/>
      <c r="R63" s="2108" t="s">
        <v>1561</v>
      </c>
      <c r="S63" s="2108"/>
      <c r="T63" s="2108"/>
      <c r="U63" s="2108">
        <f>+U61+U62</f>
        <v>471625002</v>
      </c>
      <c r="V63" s="2108"/>
      <c r="W63" s="1224"/>
      <c r="X63" s="1224"/>
    </row>
    <row r="64" spans="1:24" ht="15" x14ac:dyDescent="0.25">
      <c r="A64" s="1197"/>
      <c r="B64" s="1197"/>
      <c r="C64" s="1197"/>
      <c r="D64" s="1197"/>
      <c r="E64" s="1197"/>
      <c r="F64" s="1197"/>
      <c r="G64" s="1197"/>
      <c r="H64" s="1224"/>
      <c r="I64" s="1465"/>
      <c r="J64" s="1465"/>
      <c r="K64" s="1465"/>
      <c r="L64" s="1465"/>
      <c r="M64" s="1465"/>
      <c r="N64" s="1225"/>
      <c r="O64" s="1225"/>
      <c r="P64" s="1225"/>
      <c r="Q64" s="1225"/>
      <c r="R64" s="1465"/>
      <c r="S64" s="1465"/>
      <c r="T64" s="1465"/>
      <c r="U64" s="1465"/>
      <c r="V64" s="1465"/>
      <c r="W64" s="1224"/>
      <c r="X64" s="1224"/>
    </row>
    <row r="65" spans="1:24" x14ac:dyDescent="0.2">
      <c r="A65" s="348"/>
      <c r="B65" s="348"/>
      <c r="C65" s="348"/>
      <c r="D65" s="348"/>
      <c r="E65" s="348"/>
      <c r="F65" s="348"/>
      <c r="G65" s="348"/>
      <c r="H65" s="348"/>
      <c r="I65" s="348"/>
      <c r="J65" s="348"/>
      <c r="K65" s="348"/>
      <c r="L65" s="348"/>
      <c r="M65" s="348"/>
      <c r="N65" s="348"/>
      <c r="O65" s="348"/>
      <c r="P65" s="348"/>
      <c r="Q65" s="348"/>
      <c r="R65" s="348"/>
      <c r="S65" s="348"/>
      <c r="T65" s="348"/>
      <c r="U65" s="348"/>
      <c r="V65" s="348"/>
      <c r="W65" s="348"/>
      <c r="X65" s="348"/>
    </row>
    <row r="66" spans="1:24" x14ac:dyDescent="0.2">
      <c r="A66" s="348"/>
      <c r="B66" s="348"/>
      <c r="C66" s="348"/>
      <c r="D66" s="348"/>
      <c r="E66" s="348"/>
      <c r="F66" s="348"/>
      <c r="G66" s="348"/>
      <c r="H66" s="348"/>
      <c r="I66" s="348"/>
      <c r="J66" s="348"/>
      <c r="K66" s="348"/>
      <c r="L66" s="348"/>
      <c r="M66" s="348"/>
      <c r="N66" s="348"/>
      <c r="O66" s="348"/>
      <c r="P66" s="348"/>
      <c r="Q66" s="348"/>
      <c r="R66" s="348"/>
      <c r="S66" s="348"/>
      <c r="T66" s="348"/>
      <c r="U66" s="348"/>
      <c r="V66" s="348"/>
      <c r="W66" s="348"/>
      <c r="X66" s="348"/>
    </row>
    <row r="67" spans="1:24" x14ac:dyDescent="0.2">
      <c r="A67" s="348"/>
      <c r="B67" s="348"/>
      <c r="C67" s="348"/>
      <c r="D67" s="348"/>
      <c r="E67" s="348"/>
      <c r="F67" s="348"/>
      <c r="G67" s="348"/>
      <c r="H67" s="348"/>
      <c r="I67" s="348"/>
      <c r="J67" s="348"/>
      <c r="K67" s="348"/>
      <c r="L67" s="348"/>
      <c r="M67" s="348"/>
      <c r="N67" s="348"/>
      <c r="O67" s="348"/>
      <c r="P67" s="348"/>
      <c r="Q67" s="348"/>
      <c r="R67" s="348"/>
      <c r="S67" s="348"/>
      <c r="T67" s="348"/>
      <c r="U67" s="348"/>
      <c r="V67" s="348"/>
      <c r="W67" s="348"/>
      <c r="X67" s="348"/>
    </row>
    <row r="68" spans="1:24" ht="15.75" x14ac:dyDescent="0.25">
      <c r="A68" s="2069" t="s">
        <v>2824</v>
      </c>
      <c r="B68" s="2069"/>
      <c r="C68" s="2069"/>
      <c r="D68" s="2069"/>
      <c r="E68" s="2069"/>
      <c r="F68" s="2069"/>
      <c r="G68" s="2069"/>
      <c r="H68" s="2069"/>
      <c r="I68" s="2069"/>
      <c r="J68" s="2069"/>
      <c r="K68" s="2069"/>
      <c r="L68" s="2069"/>
      <c r="M68" s="2069"/>
      <c r="N68" s="2069"/>
      <c r="O68" s="2069"/>
      <c r="P68" s="2069"/>
      <c r="Q68" s="2069"/>
      <c r="R68" s="2069"/>
      <c r="S68" s="2069"/>
      <c r="T68" s="2069"/>
      <c r="U68" s="2069"/>
      <c r="V68" s="2069"/>
      <c r="W68" s="2069"/>
      <c r="X68" s="2069"/>
    </row>
    <row r="69" spans="1:24" ht="15" x14ac:dyDescent="0.25">
      <c r="A69" s="1195"/>
      <c r="B69" s="1195"/>
      <c r="C69" s="1195"/>
      <c r="D69" s="1195"/>
      <c r="E69" s="1195"/>
      <c r="F69" s="1195"/>
      <c r="G69" s="1195"/>
      <c r="H69" s="1195"/>
      <c r="I69" s="1195"/>
      <c r="J69" s="1195"/>
      <c r="K69" s="1195"/>
      <c r="L69" s="1195"/>
      <c r="M69" s="1195"/>
      <c r="N69" s="1195"/>
      <c r="O69" s="1195"/>
      <c r="P69" s="1195"/>
      <c r="Q69" s="1195"/>
      <c r="R69" s="1195"/>
      <c r="S69" s="1195"/>
      <c r="T69" s="1195"/>
      <c r="U69" s="1195"/>
      <c r="V69" s="1195"/>
      <c r="W69" s="1195"/>
      <c r="X69" s="1195"/>
    </row>
    <row r="70" spans="1:24" ht="15" x14ac:dyDescent="0.25">
      <c r="A70" s="2112" t="s">
        <v>24</v>
      </c>
      <c r="B70" s="2112"/>
      <c r="C70" s="2112"/>
      <c r="D70" s="2112"/>
      <c r="E70" s="2112"/>
      <c r="F70" s="2112"/>
      <c r="G70" s="2112"/>
      <c r="H70" s="2112"/>
      <c r="I70" s="2112"/>
      <c r="J70" s="2112"/>
      <c r="K70" s="2112"/>
      <c r="L70" s="2112"/>
      <c r="M70" s="2112"/>
      <c r="N70" s="2112"/>
      <c r="O70" s="2112"/>
      <c r="P70" s="2112"/>
      <c r="Q70" s="2112"/>
      <c r="R70" s="2112"/>
      <c r="S70" s="2112"/>
      <c r="T70" s="2112"/>
      <c r="U70" s="2112"/>
      <c r="V70" s="2112"/>
      <c r="W70" s="2112"/>
      <c r="X70" s="2112"/>
    </row>
    <row r="71" spans="1:24" ht="15" x14ac:dyDescent="0.25">
      <c r="A71" s="1197"/>
      <c r="B71" s="1197"/>
      <c r="C71" s="1197"/>
      <c r="D71" s="1197"/>
      <c r="E71" s="1197"/>
      <c r="F71" s="1197"/>
      <c r="G71" s="1197"/>
      <c r="H71" s="1197"/>
      <c r="I71" s="1197"/>
      <c r="J71" s="1197"/>
      <c r="K71" s="1197"/>
      <c r="L71" s="1197"/>
      <c r="M71" s="1197"/>
      <c r="N71" s="1197"/>
      <c r="O71" s="1197"/>
      <c r="P71" s="1197"/>
      <c r="Q71" s="1198"/>
      <c r="R71" s="1197"/>
      <c r="S71" s="1197"/>
      <c r="T71" s="1197"/>
      <c r="U71" s="1197"/>
      <c r="V71" s="1197"/>
      <c r="W71" s="1197"/>
      <c r="X71" s="1197"/>
    </row>
    <row r="72" spans="1:24" ht="15.75" customHeight="1" x14ac:dyDescent="0.25">
      <c r="A72" s="2113" t="s">
        <v>37</v>
      </c>
      <c r="B72" s="2093" t="s">
        <v>1726</v>
      </c>
      <c r="C72" s="2115" t="s">
        <v>2</v>
      </c>
      <c r="D72" s="2117" t="s">
        <v>1727</v>
      </c>
      <c r="E72" s="2117" t="s">
        <v>117</v>
      </c>
      <c r="F72" s="2117" t="s">
        <v>1728</v>
      </c>
      <c r="G72" s="2117" t="s">
        <v>1729</v>
      </c>
      <c r="H72" s="2136" t="s">
        <v>1730</v>
      </c>
      <c r="I72" s="2136"/>
      <c r="J72" s="2136"/>
      <c r="K72" s="2136"/>
      <c r="L72" s="2136"/>
      <c r="M72" s="2136"/>
      <c r="N72" s="2136"/>
      <c r="O72" s="2137"/>
      <c r="P72" s="1661"/>
      <c r="Q72" s="2138" t="s">
        <v>1731</v>
      </c>
      <c r="R72" s="2136"/>
      <c r="S72" s="2136"/>
      <c r="T72" s="2136"/>
      <c r="U72" s="2136"/>
      <c r="V72" s="2136"/>
      <c r="W72" s="2136"/>
      <c r="X72" s="2139"/>
    </row>
    <row r="73" spans="1:24" ht="87.75" customHeight="1" x14ac:dyDescent="0.2">
      <c r="A73" s="2114"/>
      <c r="B73" s="2094"/>
      <c r="C73" s="2116"/>
      <c r="D73" s="2118"/>
      <c r="E73" s="2118"/>
      <c r="F73" s="2118"/>
      <c r="G73" s="2118"/>
      <c r="H73" s="1154" t="s">
        <v>2384</v>
      </c>
      <c r="I73" s="1154" t="s">
        <v>1733</v>
      </c>
      <c r="J73" s="1154" t="s">
        <v>1753</v>
      </c>
      <c r="K73" s="1154" t="s">
        <v>1782</v>
      </c>
      <c r="L73" s="1154" t="s">
        <v>1783</v>
      </c>
      <c r="M73" s="1154" t="s">
        <v>1756</v>
      </c>
      <c r="N73" s="1154" t="s">
        <v>1757</v>
      </c>
      <c r="O73" s="1157" t="s">
        <v>1739</v>
      </c>
      <c r="P73" s="1159" t="s">
        <v>1758</v>
      </c>
      <c r="Q73" s="1227" t="s">
        <v>1741</v>
      </c>
      <c r="R73" s="1154" t="s">
        <v>1742</v>
      </c>
      <c r="S73" s="1154" t="s">
        <v>1779</v>
      </c>
      <c r="T73" s="1154" t="s">
        <v>1784</v>
      </c>
      <c r="U73" s="1154" t="s">
        <v>1745</v>
      </c>
      <c r="V73" s="1154" t="s">
        <v>1746</v>
      </c>
      <c r="W73" s="1154" t="s">
        <v>1747</v>
      </c>
      <c r="X73" s="1159" t="s">
        <v>1762</v>
      </c>
    </row>
    <row r="74" spans="1:24" ht="27" customHeight="1" x14ac:dyDescent="0.2">
      <c r="A74" s="1656" t="s">
        <v>263</v>
      </c>
      <c r="B74" s="1653" t="s">
        <v>272</v>
      </c>
      <c r="C74" s="1200" t="s">
        <v>2690</v>
      </c>
      <c r="D74" s="1201" t="s">
        <v>1840</v>
      </c>
      <c r="E74" s="1201" t="s">
        <v>162</v>
      </c>
      <c r="F74" s="1201" t="s">
        <v>91</v>
      </c>
      <c r="G74" s="1232" t="s">
        <v>1837</v>
      </c>
      <c r="H74" s="1165">
        <f>-4000+4000</f>
        <v>0</v>
      </c>
      <c r="I74" s="1165"/>
      <c r="J74" s="1165"/>
      <c r="K74" s="1165"/>
      <c r="L74" s="1165"/>
      <c r="M74" s="1165"/>
      <c r="N74" s="1165"/>
      <c r="O74" s="1165"/>
      <c r="P74" s="1203"/>
      <c r="Q74" s="1204"/>
      <c r="R74" s="1165"/>
      <c r="S74" s="1165"/>
      <c r="T74" s="1165"/>
      <c r="U74" s="1165"/>
      <c r="V74" s="1165"/>
      <c r="W74" s="1165"/>
      <c r="X74" s="1203"/>
    </row>
    <row r="75" spans="1:24" ht="18" customHeight="1" x14ac:dyDescent="0.2">
      <c r="A75" s="2099" t="s">
        <v>264</v>
      </c>
      <c r="B75" s="2104" t="s">
        <v>2773</v>
      </c>
      <c r="C75" s="2102" t="s">
        <v>2774</v>
      </c>
      <c r="D75" s="1236" t="s">
        <v>1840</v>
      </c>
      <c r="E75" s="1206" t="s">
        <v>1288</v>
      </c>
      <c r="F75" s="1236" t="s">
        <v>128</v>
      </c>
      <c r="G75" s="1232" t="s">
        <v>1829</v>
      </c>
      <c r="H75" s="1285"/>
      <c r="I75" s="1285"/>
      <c r="J75" s="1285"/>
      <c r="K75" s="1285"/>
      <c r="L75" s="1285"/>
      <c r="M75" s="1285"/>
      <c r="N75" s="1285"/>
      <c r="O75" s="1285"/>
      <c r="P75" s="1286"/>
      <c r="Q75" s="1287"/>
      <c r="R75" s="1285"/>
      <c r="S75" s="1285"/>
      <c r="T75" s="1285"/>
      <c r="U75" s="1285"/>
      <c r="V75" s="1285"/>
      <c r="W75" s="1285"/>
      <c r="X75" s="1286">
        <v>5632000</v>
      </c>
    </row>
    <row r="76" spans="1:24" ht="18" customHeight="1" x14ac:dyDescent="0.2">
      <c r="A76" s="2100"/>
      <c r="B76" s="2107"/>
      <c r="C76" s="2106"/>
      <c r="D76" s="1236" t="s">
        <v>1840</v>
      </c>
      <c r="E76" s="1206" t="s">
        <v>162</v>
      </c>
      <c r="F76" s="1236" t="s">
        <v>91</v>
      </c>
      <c r="G76" s="1232" t="s">
        <v>1829</v>
      </c>
      <c r="H76" s="1285">
        <v>4300000</v>
      </c>
      <c r="I76" s="1285">
        <v>1204000</v>
      </c>
      <c r="J76" s="1285"/>
      <c r="K76" s="1285"/>
      <c r="L76" s="1285"/>
      <c r="M76" s="1285"/>
      <c r="N76" s="1285"/>
      <c r="O76" s="1285"/>
      <c r="P76" s="1286"/>
      <c r="Q76" s="1287"/>
      <c r="R76" s="1285"/>
      <c r="S76" s="1285"/>
      <c r="T76" s="1285"/>
      <c r="U76" s="1285"/>
      <c r="V76" s="1285"/>
      <c r="W76" s="1285"/>
      <c r="X76" s="1286"/>
    </row>
    <row r="77" spans="1:24" ht="18" customHeight="1" x14ac:dyDescent="0.2">
      <c r="A77" s="2101"/>
      <c r="B77" s="2105"/>
      <c r="C77" s="2103"/>
      <c r="D77" s="1236" t="s">
        <v>1840</v>
      </c>
      <c r="E77" s="1212" t="s">
        <v>760</v>
      </c>
      <c r="F77" s="1236" t="s">
        <v>132</v>
      </c>
      <c r="G77" s="1232" t="s">
        <v>1829</v>
      </c>
      <c r="H77" s="1285">
        <v>100000</v>
      </c>
      <c r="I77" s="1285">
        <v>28000</v>
      </c>
      <c r="J77" s="1285"/>
      <c r="K77" s="1285"/>
      <c r="L77" s="1285"/>
      <c r="M77" s="1285"/>
      <c r="N77" s="1285"/>
      <c r="O77" s="1285"/>
      <c r="P77" s="1286"/>
      <c r="Q77" s="1287"/>
      <c r="R77" s="1285"/>
      <c r="S77" s="1285"/>
      <c r="T77" s="1285"/>
      <c r="U77" s="1285"/>
      <c r="V77" s="1285"/>
      <c r="W77" s="1285"/>
      <c r="X77" s="1286"/>
    </row>
    <row r="78" spans="1:24" ht="42" customHeight="1" x14ac:dyDescent="0.2">
      <c r="A78" s="1650" t="s">
        <v>265</v>
      </c>
      <c r="B78" s="1649" t="s">
        <v>278</v>
      </c>
      <c r="C78" s="1648" t="s">
        <v>2780</v>
      </c>
      <c r="D78" s="1236" t="s">
        <v>1840</v>
      </c>
      <c r="E78" s="1212" t="s">
        <v>162</v>
      </c>
      <c r="F78" s="1236" t="s">
        <v>91</v>
      </c>
      <c r="G78" s="1232" t="s">
        <v>1829</v>
      </c>
      <c r="H78" s="1285"/>
      <c r="I78" s="1285"/>
      <c r="J78" s="1285">
        <f>551181+148819</f>
        <v>700000</v>
      </c>
      <c r="K78" s="1285"/>
      <c r="L78" s="1285"/>
      <c r="M78" s="1285"/>
      <c r="N78" s="1285"/>
      <c r="O78" s="1285"/>
      <c r="P78" s="1286"/>
      <c r="Q78" s="1287"/>
      <c r="R78" s="1285"/>
      <c r="S78" s="1285"/>
      <c r="T78" s="1285">
        <v>700000</v>
      </c>
      <c r="U78" s="1285"/>
      <c r="V78" s="1285"/>
      <c r="W78" s="1285"/>
      <c r="X78" s="1286"/>
    </row>
    <row r="79" spans="1:24" ht="36.75" customHeight="1" x14ac:dyDescent="0.2">
      <c r="A79" s="1647" t="s">
        <v>266</v>
      </c>
      <c r="B79" s="1652" t="s">
        <v>279</v>
      </c>
      <c r="C79" s="1651" t="s">
        <v>2856</v>
      </c>
      <c r="D79" s="1236" t="s">
        <v>1840</v>
      </c>
      <c r="E79" s="1212" t="s">
        <v>162</v>
      </c>
      <c r="F79" s="1236" t="s">
        <v>91</v>
      </c>
      <c r="G79" s="1232" t="s">
        <v>1837</v>
      </c>
      <c r="H79" s="1285">
        <f>-143000+143000</f>
        <v>0</v>
      </c>
      <c r="I79" s="1285"/>
      <c r="J79" s="1285"/>
      <c r="K79" s="1285"/>
      <c r="L79" s="1285"/>
      <c r="M79" s="1285"/>
      <c r="N79" s="1285"/>
      <c r="O79" s="1285"/>
      <c r="P79" s="1286"/>
      <c r="Q79" s="1287"/>
      <c r="R79" s="1285"/>
      <c r="S79" s="1285"/>
      <c r="T79" s="1285"/>
      <c r="U79" s="1285"/>
      <c r="V79" s="1285"/>
      <c r="W79" s="1285"/>
      <c r="X79" s="1286"/>
    </row>
    <row r="80" spans="1:24" ht="37.5" customHeight="1" x14ac:dyDescent="0.2">
      <c r="A80" s="1647" t="s">
        <v>267</v>
      </c>
      <c r="B80" s="1652" t="s">
        <v>280</v>
      </c>
      <c r="C80" s="1651" t="s">
        <v>2958</v>
      </c>
      <c r="D80" s="1236" t="s">
        <v>1840</v>
      </c>
      <c r="E80" s="1212" t="s">
        <v>162</v>
      </c>
      <c r="F80" s="1236" t="s">
        <v>91</v>
      </c>
      <c r="G80" s="1232" t="s">
        <v>1837</v>
      </c>
      <c r="H80" s="1285"/>
      <c r="I80" s="1285"/>
      <c r="J80" s="1285">
        <f>-700000+700000</f>
        <v>0</v>
      </c>
      <c r="K80" s="1285"/>
      <c r="L80" s="1285"/>
      <c r="M80" s="1285"/>
      <c r="N80" s="1285"/>
      <c r="O80" s="1285"/>
      <c r="P80" s="1286"/>
      <c r="Q80" s="1287"/>
      <c r="R80" s="1285"/>
      <c r="S80" s="1285"/>
      <c r="T80" s="1285"/>
      <c r="U80" s="1285"/>
      <c r="V80" s="1285"/>
      <c r="W80" s="1285"/>
      <c r="X80" s="1286"/>
    </row>
    <row r="81" spans="1:24" ht="24.75" customHeight="1" x14ac:dyDescent="0.2">
      <c r="A81" s="2099" t="s">
        <v>268</v>
      </c>
      <c r="B81" s="2104" t="s">
        <v>281</v>
      </c>
      <c r="C81" s="2102" t="s">
        <v>2963</v>
      </c>
      <c r="D81" s="1236" t="s">
        <v>1840</v>
      </c>
      <c r="E81" s="1212" t="s">
        <v>162</v>
      </c>
      <c r="F81" s="1236" t="s">
        <v>91</v>
      </c>
      <c r="G81" s="1232" t="s">
        <v>1829</v>
      </c>
      <c r="H81" s="1285"/>
      <c r="I81" s="1285"/>
      <c r="J81" s="1285">
        <v>298494</v>
      </c>
      <c r="K81" s="1285"/>
      <c r="L81" s="1285"/>
      <c r="M81" s="1285"/>
      <c r="N81" s="1285"/>
      <c r="O81" s="1285"/>
      <c r="P81" s="1286"/>
      <c r="Q81" s="1287"/>
      <c r="R81" s="1285"/>
      <c r="S81" s="1285"/>
      <c r="T81" s="1285">
        <v>784788</v>
      </c>
      <c r="U81" s="1285"/>
      <c r="V81" s="1285"/>
      <c r="W81" s="1285"/>
      <c r="X81" s="1286"/>
    </row>
    <row r="82" spans="1:24" ht="24.75" customHeight="1" x14ac:dyDescent="0.2">
      <c r="A82" s="2101"/>
      <c r="B82" s="2105"/>
      <c r="C82" s="2103"/>
      <c r="D82" s="1236" t="s">
        <v>1840</v>
      </c>
      <c r="E82" s="1212" t="s">
        <v>162</v>
      </c>
      <c r="F82" s="1236" t="s">
        <v>151</v>
      </c>
      <c r="G82" s="1232" t="s">
        <v>1829</v>
      </c>
      <c r="H82" s="1285"/>
      <c r="I82" s="1285"/>
      <c r="J82" s="1285">
        <v>486294</v>
      </c>
      <c r="K82" s="1285"/>
      <c r="L82" s="1285"/>
      <c r="M82" s="1285"/>
      <c r="N82" s="1285"/>
      <c r="O82" s="1285"/>
      <c r="P82" s="1286"/>
      <c r="Q82" s="1287"/>
      <c r="R82" s="1285"/>
      <c r="S82" s="1285"/>
      <c r="T82" s="1285"/>
      <c r="U82" s="1285"/>
      <c r="V82" s="1285"/>
      <c r="W82" s="1285"/>
      <c r="X82" s="1286"/>
    </row>
    <row r="83" spans="1:24" ht="65.25" customHeight="1" x14ac:dyDescent="0.2">
      <c r="A83" s="1647" t="s">
        <v>269</v>
      </c>
      <c r="B83" s="1652" t="s">
        <v>282</v>
      </c>
      <c r="C83" s="1651" t="s">
        <v>2994</v>
      </c>
      <c r="D83" s="1236" t="s">
        <v>1840</v>
      </c>
      <c r="E83" s="1212" t="s">
        <v>162</v>
      </c>
      <c r="F83" s="1236" t="s">
        <v>135</v>
      </c>
      <c r="G83" s="1232" t="s">
        <v>1829</v>
      </c>
      <c r="H83" s="1285"/>
      <c r="I83" s="1285"/>
      <c r="J83" s="1285">
        <f>1248031+336969</f>
        <v>1585000</v>
      </c>
      <c r="K83" s="1285"/>
      <c r="L83" s="1285"/>
      <c r="M83" s="1285"/>
      <c r="N83" s="1285"/>
      <c r="O83" s="1285"/>
      <c r="P83" s="1286"/>
      <c r="Q83" s="1287"/>
      <c r="R83" s="1285"/>
      <c r="S83" s="1285"/>
      <c r="T83" s="1285"/>
      <c r="U83" s="1285"/>
      <c r="V83" s="1285">
        <v>1585000</v>
      </c>
      <c r="W83" s="1285"/>
      <c r="X83" s="1286"/>
    </row>
    <row r="84" spans="1:24" ht="18" customHeight="1" x14ac:dyDescent="0.2">
      <c r="A84" s="1657"/>
      <c r="B84" s="1654"/>
      <c r="C84" s="1562"/>
      <c r="D84" s="1236"/>
      <c r="E84" s="1212"/>
      <c r="F84" s="1236"/>
      <c r="G84" s="1232"/>
      <c r="H84" s="1285"/>
      <c r="I84" s="1285"/>
      <c r="J84" s="1285"/>
      <c r="K84" s="1285"/>
      <c r="L84" s="1285"/>
      <c r="M84" s="1285"/>
      <c r="N84" s="1285"/>
      <c r="O84" s="1285"/>
      <c r="P84" s="1286"/>
      <c r="Q84" s="1287"/>
      <c r="R84" s="1285"/>
      <c r="S84" s="1285"/>
      <c r="T84" s="1285"/>
      <c r="U84" s="1285"/>
      <c r="V84" s="1285"/>
      <c r="W84" s="1285"/>
      <c r="X84" s="1286"/>
    </row>
    <row r="85" spans="1:24" ht="18.75" x14ac:dyDescent="0.3">
      <c r="A85" s="2082" t="s">
        <v>1749</v>
      </c>
      <c r="B85" s="2083"/>
      <c r="C85" s="2084"/>
      <c r="D85" s="1179"/>
      <c r="E85" s="1179"/>
      <c r="F85" s="1179"/>
      <c r="G85" s="1179"/>
      <c r="H85" s="1467">
        <f t="shared" ref="H85:X85" si="2">SUM(H74:H84)+H57</f>
        <v>12608120</v>
      </c>
      <c r="I85" s="1467">
        <f t="shared" si="2"/>
        <v>2299056</v>
      </c>
      <c r="J85" s="1467">
        <f t="shared" si="2"/>
        <v>10459087</v>
      </c>
      <c r="K85" s="1467">
        <f t="shared" si="2"/>
        <v>0</v>
      </c>
      <c r="L85" s="1467">
        <f t="shared" si="2"/>
        <v>11074052</v>
      </c>
      <c r="M85" s="1467">
        <f t="shared" si="2"/>
        <v>2248306</v>
      </c>
      <c r="N85" s="1467">
        <f t="shared" si="2"/>
        <v>0</v>
      </c>
      <c r="O85" s="1467">
        <f t="shared" si="2"/>
        <v>0</v>
      </c>
      <c r="P85" s="1289">
        <f t="shared" si="2"/>
        <v>0</v>
      </c>
      <c r="Q85" s="1468">
        <f t="shared" si="2"/>
        <v>350000</v>
      </c>
      <c r="R85" s="1467">
        <f t="shared" si="2"/>
        <v>0</v>
      </c>
      <c r="S85" s="1467">
        <f t="shared" si="2"/>
        <v>0</v>
      </c>
      <c r="T85" s="1467">
        <f t="shared" si="2"/>
        <v>1704788</v>
      </c>
      <c r="U85" s="1467">
        <f t="shared" si="2"/>
        <v>0</v>
      </c>
      <c r="V85" s="1467">
        <f t="shared" si="2"/>
        <v>1585000</v>
      </c>
      <c r="W85" s="1467">
        <f t="shared" si="2"/>
        <v>0</v>
      </c>
      <c r="X85" s="1289">
        <f t="shared" si="2"/>
        <v>35048833</v>
      </c>
    </row>
    <row r="86" spans="1:24" ht="18.75" customHeight="1" x14ac:dyDescent="0.3">
      <c r="A86" s="1217"/>
      <c r="B86" s="1217"/>
      <c r="C86" s="1217"/>
      <c r="D86" s="1219"/>
      <c r="E86" s="1219"/>
      <c r="F86" s="1219"/>
      <c r="G86" s="1219"/>
      <c r="H86" s="1252"/>
      <c r="I86" s="1252"/>
      <c r="J86" s="1252"/>
      <c r="K86" s="1252"/>
      <c r="L86" s="1252"/>
      <c r="M86" s="1252"/>
      <c r="N86" s="1252"/>
      <c r="O86" s="1252"/>
      <c r="P86" s="1252"/>
      <c r="Q86" s="1252"/>
      <c r="R86" s="1252"/>
      <c r="S86" s="1252"/>
      <c r="T86" s="1252"/>
      <c r="U86" s="1252"/>
      <c r="V86" s="1252"/>
      <c r="W86" s="1252"/>
      <c r="X86" s="1252"/>
    </row>
    <row r="87" spans="1:24" ht="17.25" customHeight="1" x14ac:dyDescent="0.3">
      <c r="A87" s="1217"/>
      <c r="B87" s="1217"/>
      <c r="C87" s="1217"/>
      <c r="D87" s="1219"/>
      <c r="E87" s="1219"/>
      <c r="F87" s="1219"/>
      <c r="G87" s="1219"/>
      <c r="H87" s="1193"/>
      <c r="I87" s="1193"/>
      <c r="J87" s="1193"/>
      <c r="K87" s="1193"/>
      <c r="L87" s="1193"/>
      <c r="M87" s="1193"/>
      <c r="N87" s="1193"/>
      <c r="O87" s="1193"/>
      <c r="P87" s="1193"/>
      <c r="Q87" s="1193"/>
      <c r="R87" s="1193"/>
      <c r="S87" s="1193"/>
      <c r="T87" s="1193"/>
      <c r="U87" s="1193"/>
      <c r="V87" s="1193"/>
      <c r="W87" s="1193"/>
      <c r="X87" s="1193"/>
    </row>
    <row r="88" spans="1:24" ht="18.75" x14ac:dyDescent="0.3">
      <c r="A88" s="1217"/>
      <c r="B88" s="1217"/>
      <c r="C88" s="1217"/>
      <c r="D88" s="1219"/>
      <c r="E88" s="1219"/>
      <c r="F88" s="1219"/>
      <c r="G88" s="1219"/>
      <c r="H88" s="1193"/>
      <c r="I88" s="1193"/>
      <c r="J88" s="1193"/>
      <c r="K88" s="1193"/>
      <c r="L88" s="1193"/>
      <c r="M88" s="1193"/>
      <c r="N88" s="1193"/>
      <c r="O88" s="1193"/>
      <c r="P88" s="1193"/>
      <c r="Q88" s="1193"/>
      <c r="R88" s="1193"/>
      <c r="S88" s="1193"/>
      <c r="T88" s="1193"/>
      <c r="U88" s="1193"/>
      <c r="V88" s="1193"/>
      <c r="W88" s="1193"/>
      <c r="X88" s="1193"/>
    </row>
    <row r="89" spans="1:24" ht="23.25" customHeight="1" x14ac:dyDescent="0.25">
      <c r="A89" s="1197"/>
      <c r="B89" s="1197"/>
      <c r="C89" s="1197"/>
      <c r="D89" s="1197"/>
      <c r="E89" s="1197"/>
      <c r="F89" s="1197"/>
      <c r="G89" s="1197"/>
      <c r="H89" s="1224"/>
      <c r="I89" s="2108" t="s">
        <v>1750</v>
      </c>
      <c r="J89" s="2108"/>
      <c r="K89" s="2108"/>
      <c r="L89" s="2108">
        <v>441638169</v>
      </c>
      <c r="M89" s="2108"/>
      <c r="N89" s="1225"/>
      <c r="O89" s="1225"/>
      <c r="P89" s="1225"/>
      <c r="Q89" s="1225"/>
      <c r="R89" s="2108" t="s">
        <v>1751</v>
      </c>
      <c r="S89" s="2108"/>
      <c r="T89" s="2108"/>
      <c r="U89" s="2108">
        <v>441638169</v>
      </c>
      <c r="V89" s="2108"/>
      <c r="W89" s="1224"/>
      <c r="X89" s="1224"/>
    </row>
    <row r="90" spans="1:24" ht="21" customHeight="1" x14ac:dyDescent="0.25">
      <c r="A90" s="1197"/>
      <c r="B90" s="1197"/>
      <c r="C90" s="1197"/>
      <c r="D90" s="1197"/>
      <c r="E90" s="1197"/>
      <c r="F90" s="1197"/>
      <c r="G90" s="1197"/>
      <c r="H90" s="1224"/>
      <c r="I90" s="2066" t="s">
        <v>3474</v>
      </c>
      <c r="J90" s="2066"/>
      <c r="K90" s="2066"/>
      <c r="L90" s="2108">
        <f>SUM(H85:P85)</f>
        <v>38688621</v>
      </c>
      <c r="M90" s="2108"/>
      <c r="N90" s="1225"/>
      <c r="O90" s="1225"/>
      <c r="P90" s="1225"/>
      <c r="Q90" s="1225"/>
      <c r="R90" s="2066" t="s">
        <v>3474</v>
      </c>
      <c r="S90" s="2066"/>
      <c r="T90" s="2066"/>
      <c r="U90" s="2108">
        <f>SUM(Q85:X85)</f>
        <v>38688621</v>
      </c>
      <c r="V90" s="2108"/>
      <c r="W90" s="1224"/>
      <c r="X90" s="1224"/>
    </row>
    <row r="91" spans="1:24" ht="21" customHeight="1" x14ac:dyDescent="0.25">
      <c r="A91" s="1197"/>
      <c r="B91" s="1197"/>
      <c r="C91" s="1197"/>
      <c r="D91" s="1197"/>
      <c r="E91" s="1197"/>
      <c r="F91" s="1197"/>
      <c r="G91" s="1197"/>
      <c r="H91" s="1224"/>
      <c r="I91" s="2108" t="s">
        <v>1561</v>
      </c>
      <c r="J91" s="2108"/>
      <c r="K91" s="2108"/>
      <c r="L91" s="2108">
        <f>+L89+L90</f>
        <v>480326790</v>
      </c>
      <c r="M91" s="2108"/>
      <c r="N91" s="1225"/>
      <c r="O91" s="1225"/>
      <c r="P91" s="1225"/>
      <c r="Q91" s="1225"/>
      <c r="R91" s="2108" t="s">
        <v>1561</v>
      </c>
      <c r="S91" s="2108"/>
      <c r="T91" s="2108"/>
      <c r="U91" s="2108">
        <f>+U89+U90</f>
        <v>480326790</v>
      </c>
      <c r="V91" s="2108"/>
      <c r="W91" s="1224"/>
      <c r="X91" s="1224"/>
    </row>
    <row r="92" spans="1:24" x14ac:dyDescent="0.2">
      <c r="A92" s="348"/>
      <c r="B92" s="348"/>
      <c r="C92" s="348"/>
      <c r="D92" s="348"/>
      <c r="E92" s="348"/>
      <c r="F92" s="348"/>
      <c r="G92" s="348"/>
      <c r="H92" s="348"/>
      <c r="I92" s="348"/>
      <c r="J92" s="348"/>
      <c r="K92" s="348"/>
      <c r="L92" s="348"/>
      <c r="M92" s="348"/>
      <c r="N92" s="348"/>
      <c r="O92" s="348"/>
      <c r="P92" s="348"/>
      <c r="Q92" s="348"/>
      <c r="R92" s="348"/>
      <c r="S92" s="348"/>
      <c r="T92" s="348"/>
      <c r="U92" s="348"/>
      <c r="V92" s="348"/>
      <c r="W92" s="348"/>
      <c r="X92" s="348"/>
    </row>
    <row r="93" spans="1:24" x14ac:dyDescent="0.2">
      <c r="A93" s="348"/>
      <c r="B93" s="348"/>
      <c r="C93" s="348"/>
      <c r="D93" s="348"/>
      <c r="E93" s="348"/>
      <c r="F93" s="348"/>
      <c r="G93" s="348"/>
      <c r="H93" s="348"/>
      <c r="I93" s="348"/>
      <c r="J93" s="348"/>
      <c r="K93" s="348"/>
      <c r="L93" s="348"/>
      <c r="M93" s="348"/>
      <c r="N93" s="348"/>
      <c r="O93" s="348"/>
      <c r="P93" s="348"/>
      <c r="Q93" s="348"/>
      <c r="R93" s="348"/>
      <c r="S93" s="348"/>
      <c r="T93" s="348"/>
      <c r="U93" s="348"/>
      <c r="V93" s="348"/>
      <c r="W93" s="348"/>
      <c r="X93" s="348"/>
    </row>
    <row r="94" spans="1:24" x14ac:dyDescent="0.2">
      <c r="A94" s="348"/>
      <c r="B94" s="348"/>
      <c r="C94" s="348"/>
      <c r="D94" s="348"/>
      <c r="E94" s="348"/>
      <c r="F94" s="348"/>
      <c r="G94" s="348"/>
      <c r="H94" s="348"/>
      <c r="I94" s="348"/>
      <c r="J94" s="348"/>
      <c r="K94" s="348"/>
      <c r="L94" s="348"/>
      <c r="M94" s="348"/>
      <c r="N94" s="348"/>
      <c r="O94" s="348"/>
      <c r="P94" s="348"/>
      <c r="Q94" s="348"/>
      <c r="R94" s="348"/>
      <c r="S94" s="348"/>
      <c r="T94" s="348"/>
      <c r="U94" s="348"/>
      <c r="V94" s="348"/>
      <c r="W94" s="348"/>
      <c r="X94" s="348"/>
    </row>
    <row r="95" spans="1:24" x14ac:dyDescent="0.2">
      <c r="A95" s="348"/>
      <c r="B95" s="348"/>
      <c r="C95" s="348"/>
      <c r="D95" s="348"/>
      <c r="E95" s="348"/>
      <c r="F95" s="348"/>
      <c r="G95" s="348"/>
      <c r="H95" s="348"/>
      <c r="I95" s="348"/>
      <c r="J95" s="348"/>
      <c r="K95" s="348"/>
      <c r="L95" s="348"/>
      <c r="M95" s="348"/>
      <c r="N95" s="348"/>
      <c r="O95" s="348"/>
      <c r="P95" s="348"/>
      <c r="Q95" s="348"/>
      <c r="R95" s="348"/>
      <c r="S95" s="348"/>
      <c r="T95" s="348"/>
      <c r="U95" s="348"/>
      <c r="V95" s="348"/>
      <c r="W95" s="348"/>
      <c r="X95" s="348"/>
    </row>
    <row r="96" spans="1:24" x14ac:dyDescent="0.2">
      <c r="A96" s="348"/>
      <c r="B96" s="348"/>
      <c r="C96" s="348"/>
      <c r="D96" s="348"/>
      <c r="E96" s="348"/>
      <c r="F96" s="348"/>
      <c r="G96" s="348"/>
      <c r="H96" s="348"/>
      <c r="I96" s="348"/>
      <c r="J96" s="348"/>
      <c r="K96" s="348"/>
      <c r="L96" s="348"/>
      <c r="M96" s="348"/>
      <c r="N96" s="348"/>
      <c r="O96" s="348"/>
      <c r="P96" s="348"/>
      <c r="Q96" s="348"/>
      <c r="R96" s="348"/>
      <c r="S96" s="348"/>
      <c r="T96" s="348"/>
      <c r="U96" s="348"/>
      <c r="V96" s="348"/>
      <c r="W96" s="348"/>
      <c r="X96" s="348"/>
    </row>
    <row r="97" spans="1:24" ht="15.75" x14ac:dyDescent="0.25">
      <c r="A97" s="2069" t="s">
        <v>3354</v>
      </c>
      <c r="B97" s="2069"/>
      <c r="C97" s="2069"/>
      <c r="D97" s="2069"/>
      <c r="E97" s="2069"/>
      <c r="F97" s="2069"/>
      <c r="G97" s="2069"/>
      <c r="H97" s="2069"/>
      <c r="I97" s="2069"/>
      <c r="J97" s="2069"/>
      <c r="K97" s="2069"/>
      <c r="L97" s="2069"/>
      <c r="M97" s="2069"/>
      <c r="N97" s="2069"/>
      <c r="O97" s="2069"/>
      <c r="P97" s="2069"/>
      <c r="Q97" s="2069"/>
      <c r="R97" s="2069"/>
      <c r="S97" s="2069"/>
      <c r="T97" s="2069"/>
      <c r="U97" s="2069"/>
      <c r="V97" s="2069"/>
      <c r="W97" s="2069"/>
      <c r="X97" s="2069"/>
    </row>
    <row r="98" spans="1:24" ht="15" x14ac:dyDescent="0.25">
      <c r="A98" s="1195"/>
      <c r="B98" s="1195"/>
      <c r="C98" s="1195"/>
      <c r="D98" s="1195"/>
      <c r="E98" s="1195"/>
      <c r="F98" s="1195"/>
      <c r="G98" s="1195"/>
      <c r="H98" s="1195"/>
      <c r="I98" s="1195"/>
      <c r="J98" s="1195"/>
      <c r="K98" s="1195"/>
      <c r="L98" s="1195"/>
      <c r="M98" s="1195"/>
      <c r="N98" s="1195"/>
      <c r="O98" s="1195"/>
      <c r="P98" s="1195"/>
      <c r="Q98" s="1195"/>
      <c r="R98" s="1195"/>
      <c r="S98" s="1195"/>
      <c r="T98" s="1195"/>
      <c r="U98" s="1195"/>
      <c r="V98" s="1195"/>
      <c r="W98" s="1195"/>
      <c r="X98" s="1195"/>
    </row>
    <row r="99" spans="1:24" ht="15" x14ac:dyDescent="0.25">
      <c r="A99" s="2112" t="s">
        <v>24</v>
      </c>
      <c r="B99" s="2112"/>
      <c r="C99" s="2112"/>
      <c r="D99" s="2112"/>
      <c r="E99" s="2112"/>
      <c r="F99" s="2112"/>
      <c r="G99" s="2112"/>
      <c r="H99" s="2112"/>
      <c r="I99" s="2112"/>
      <c r="J99" s="2112"/>
      <c r="K99" s="2112"/>
      <c r="L99" s="2112"/>
      <c r="M99" s="2112"/>
      <c r="N99" s="2112"/>
      <c r="O99" s="2112"/>
      <c r="P99" s="2112"/>
      <c r="Q99" s="2112"/>
      <c r="R99" s="2112"/>
      <c r="S99" s="2112"/>
      <c r="T99" s="2112"/>
      <c r="U99" s="2112"/>
      <c r="V99" s="2112"/>
      <c r="W99" s="2112"/>
      <c r="X99" s="2112"/>
    </row>
    <row r="100" spans="1:24" ht="15" x14ac:dyDescent="0.25">
      <c r="A100" s="1197"/>
      <c r="B100" s="1197"/>
      <c r="C100" s="1197"/>
      <c r="D100" s="1197"/>
      <c r="E100" s="1197"/>
      <c r="F100" s="1197"/>
      <c r="G100" s="1197"/>
      <c r="H100" s="1197"/>
      <c r="I100" s="1197"/>
      <c r="J100" s="1197"/>
      <c r="K100" s="1197"/>
      <c r="L100" s="1197"/>
      <c r="M100" s="1197"/>
      <c r="N100" s="1197"/>
      <c r="O100" s="1197"/>
      <c r="P100" s="1197"/>
      <c r="Q100" s="1198"/>
      <c r="R100" s="1197"/>
      <c r="S100" s="1197"/>
      <c r="T100" s="1197"/>
      <c r="U100" s="1197"/>
      <c r="V100" s="1197"/>
      <c r="W100" s="1197"/>
      <c r="X100" s="1197"/>
    </row>
    <row r="101" spans="1:24" ht="15" customHeight="1" x14ac:dyDescent="0.25">
      <c r="A101" s="2113" t="s">
        <v>37</v>
      </c>
      <c r="B101" s="2093" t="s">
        <v>1726</v>
      </c>
      <c r="C101" s="2115" t="s">
        <v>2</v>
      </c>
      <c r="D101" s="2117" t="s">
        <v>1727</v>
      </c>
      <c r="E101" s="2117" t="s">
        <v>117</v>
      </c>
      <c r="F101" s="2117" t="s">
        <v>1728</v>
      </c>
      <c r="G101" s="2117" t="s">
        <v>1729</v>
      </c>
      <c r="H101" s="2136" t="s">
        <v>1730</v>
      </c>
      <c r="I101" s="2136"/>
      <c r="J101" s="2136"/>
      <c r="K101" s="2136"/>
      <c r="L101" s="2136"/>
      <c r="M101" s="2136"/>
      <c r="N101" s="2136"/>
      <c r="O101" s="2137"/>
      <c r="P101" s="1661"/>
      <c r="Q101" s="2138" t="s">
        <v>1731</v>
      </c>
      <c r="R101" s="2136"/>
      <c r="S101" s="2136"/>
      <c r="T101" s="2136"/>
      <c r="U101" s="2136"/>
      <c r="V101" s="2136"/>
      <c r="W101" s="2136"/>
      <c r="X101" s="2139"/>
    </row>
    <row r="102" spans="1:24" ht="90" customHeight="1" x14ac:dyDescent="0.2">
      <c r="A102" s="2114"/>
      <c r="B102" s="2094"/>
      <c r="C102" s="2116"/>
      <c r="D102" s="2118"/>
      <c r="E102" s="2118"/>
      <c r="F102" s="2118"/>
      <c r="G102" s="2118"/>
      <c r="H102" s="1154" t="s">
        <v>2384</v>
      </c>
      <c r="I102" s="1154" t="s">
        <v>1733</v>
      </c>
      <c r="J102" s="1154" t="s">
        <v>1753</v>
      </c>
      <c r="K102" s="1154" t="s">
        <v>1782</v>
      </c>
      <c r="L102" s="1154" t="s">
        <v>1783</v>
      </c>
      <c r="M102" s="1154" t="s">
        <v>1756</v>
      </c>
      <c r="N102" s="1154" t="s">
        <v>1757</v>
      </c>
      <c r="O102" s="1157" t="s">
        <v>1739</v>
      </c>
      <c r="P102" s="1159" t="s">
        <v>1758</v>
      </c>
      <c r="Q102" s="1227" t="s">
        <v>1741</v>
      </c>
      <c r="R102" s="1154" t="s">
        <v>1742</v>
      </c>
      <c r="S102" s="1154" t="s">
        <v>1779</v>
      </c>
      <c r="T102" s="1154" t="s">
        <v>1784</v>
      </c>
      <c r="U102" s="1154" t="s">
        <v>1745</v>
      </c>
      <c r="V102" s="1154" t="s">
        <v>1746</v>
      </c>
      <c r="W102" s="1154" t="s">
        <v>1747</v>
      </c>
      <c r="X102" s="1159" t="s">
        <v>1762</v>
      </c>
    </row>
    <row r="103" spans="1:24" ht="24" customHeight="1" x14ac:dyDescent="0.2">
      <c r="A103" s="2124" t="s">
        <v>270</v>
      </c>
      <c r="B103" s="2123" t="s">
        <v>283</v>
      </c>
      <c r="C103" s="2122" t="s">
        <v>3030</v>
      </c>
      <c r="D103" s="1201" t="s">
        <v>1840</v>
      </c>
      <c r="E103" s="1201" t="s">
        <v>162</v>
      </c>
      <c r="F103" s="1201" t="s">
        <v>91</v>
      </c>
      <c r="G103" s="1232" t="s">
        <v>3031</v>
      </c>
      <c r="H103" s="1165">
        <f>-143000+143000</f>
        <v>0</v>
      </c>
      <c r="I103" s="1165"/>
      <c r="J103" s="1165"/>
      <c r="K103" s="1165"/>
      <c r="L103" s="1165"/>
      <c r="M103" s="1165"/>
      <c r="N103" s="1165"/>
      <c r="O103" s="1165"/>
      <c r="P103" s="1203"/>
      <c r="Q103" s="1204"/>
      <c r="R103" s="1165"/>
      <c r="S103" s="1165"/>
      <c r="T103" s="1165"/>
      <c r="U103" s="1165"/>
      <c r="V103" s="1165"/>
      <c r="W103" s="1165"/>
      <c r="X103" s="1203"/>
    </row>
    <row r="104" spans="1:24" ht="24" customHeight="1" x14ac:dyDescent="0.2">
      <c r="A104" s="2101"/>
      <c r="B104" s="2105"/>
      <c r="C104" s="2103"/>
      <c r="D104" s="1236" t="s">
        <v>1840</v>
      </c>
      <c r="E104" s="1206" t="s">
        <v>760</v>
      </c>
      <c r="F104" s="1236" t="s">
        <v>132</v>
      </c>
      <c r="G104" s="1232" t="s">
        <v>1837</v>
      </c>
      <c r="H104" s="1285">
        <f>-75188+75188</f>
        <v>0</v>
      </c>
      <c r="I104" s="1285"/>
      <c r="J104" s="1285"/>
      <c r="K104" s="1285"/>
      <c r="L104" s="1285"/>
      <c r="M104" s="1285"/>
      <c r="N104" s="1285"/>
      <c r="O104" s="1285"/>
      <c r="P104" s="1286"/>
      <c r="Q104" s="1287"/>
      <c r="R104" s="1285"/>
      <c r="S104" s="1285"/>
      <c r="T104" s="1285"/>
      <c r="U104" s="1285"/>
      <c r="V104" s="1285"/>
      <c r="W104" s="1285"/>
      <c r="X104" s="1286"/>
    </row>
    <row r="105" spans="1:24" ht="42" customHeight="1" x14ac:dyDescent="0.2">
      <c r="A105" s="1646" t="s">
        <v>271</v>
      </c>
      <c r="B105" s="1643" t="s">
        <v>284</v>
      </c>
      <c r="C105" s="1641" t="s">
        <v>3079</v>
      </c>
      <c r="D105" s="1236" t="s">
        <v>1840</v>
      </c>
      <c r="E105" s="1206" t="s">
        <v>162</v>
      </c>
      <c r="F105" s="1236" t="s">
        <v>135</v>
      </c>
      <c r="G105" s="1232" t="s">
        <v>1837</v>
      </c>
      <c r="H105" s="1285"/>
      <c r="I105" s="1285"/>
      <c r="J105" s="1285">
        <f>-228268-61632</f>
        <v>-289900</v>
      </c>
      <c r="K105" s="1285"/>
      <c r="L105" s="1285"/>
      <c r="M105" s="1285">
        <f>228268+61632</f>
        <v>289900</v>
      </c>
      <c r="N105" s="1285"/>
      <c r="O105" s="1285"/>
      <c r="P105" s="1286"/>
      <c r="Q105" s="1287"/>
      <c r="R105" s="1285"/>
      <c r="S105" s="1285"/>
      <c r="T105" s="1285"/>
      <c r="U105" s="1285"/>
      <c r="V105" s="1285"/>
      <c r="W105" s="1285"/>
      <c r="X105" s="1286"/>
    </row>
    <row r="106" spans="1:24" ht="39" customHeight="1" x14ac:dyDescent="0.2">
      <c r="A106" s="1646" t="s">
        <v>272</v>
      </c>
      <c r="B106" s="1643" t="s">
        <v>285</v>
      </c>
      <c r="C106" s="1641" t="s">
        <v>3149</v>
      </c>
      <c r="D106" s="1236" t="s">
        <v>1840</v>
      </c>
      <c r="E106" s="1206" t="s">
        <v>162</v>
      </c>
      <c r="F106" s="1236" t="s">
        <v>152</v>
      </c>
      <c r="G106" s="1232" t="s">
        <v>1837</v>
      </c>
      <c r="H106" s="1285"/>
      <c r="I106" s="1285"/>
      <c r="J106" s="1285">
        <f>-196757+196757</f>
        <v>0</v>
      </c>
      <c r="K106" s="1285"/>
      <c r="L106" s="1285"/>
      <c r="M106" s="1285"/>
      <c r="N106" s="1285"/>
      <c r="O106" s="1285"/>
      <c r="P106" s="1286"/>
      <c r="Q106" s="1287"/>
      <c r="R106" s="1285"/>
      <c r="S106" s="1285"/>
      <c r="T106" s="1285"/>
      <c r="U106" s="1285"/>
      <c r="V106" s="1285"/>
      <c r="W106" s="1285"/>
      <c r="X106" s="1286"/>
    </row>
    <row r="107" spans="1:24" ht="24" customHeight="1" x14ac:dyDescent="0.2">
      <c r="A107" s="2111" t="s">
        <v>276</v>
      </c>
      <c r="B107" s="2110" t="s">
        <v>286</v>
      </c>
      <c r="C107" s="2109" t="s">
        <v>3181</v>
      </c>
      <c r="D107" s="1236" t="s">
        <v>1840</v>
      </c>
      <c r="E107" s="1212" t="s">
        <v>162</v>
      </c>
      <c r="F107" s="1236" t="s">
        <v>91</v>
      </c>
      <c r="G107" s="1232" t="s">
        <v>1837</v>
      </c>
      <c r="H107" s="1285">
        <f>-24543000+24400000+143000-8183</f>
        <v>-8183</v>
      </c>
      <c r="I107" s="1285"/>
      <c r="J107" s="1285"/>
      <c r="K107" s="1285"/>
      <c r="L107" s="1285"/>
      <c r="M107" s="1285"/>
      <c r="N107" s="1285"/>
      <c r="O107" s="1285"/>
      <c r="P107" s="1286"/>
      <c r="Q107" s="1287"/>
      <c r="R107" s="1285"/>
      <c r="S107" s="1285"/>
      <c r="T107" s="1285"/>
      <c r="U107" s="1285"/>
      <c r="V107" s="1285"/>
      <c r="W107" s="1285"/>
      <c r="X107" s="1286"/>
    </row>
    <row r="108" spans="1:24" ht="24" customHeight="1" x14ac:dyDescent="0.2">
      <c r="A108" s="2111"/>
      <c r="B108" s="2110"/>
      <c r="C108" s="2109"/>
      <c r="D108" s="1236" t="s">
        <v>1840</v>
      </c>
      <c r="E108" s="1212" t="s">
        <v>760</v>
      </c>
      <c r="F108" s="1236" t="s">
        <v>132</v>
      </c>
      <c r="G108" s="1232" t="s">
        <v>1837</v>
      </c>
      <c r="H108" s="1285">
        <f>-579875+504687+75188</f>
        <v>0</v>
      </c>
      <c r="I108" s="1285"/>
      <c r="J108" s="1285"/>
      <c r="K108" s="1285"/>
      <c r="L108" s="1285"/>
      <c r="M108" s="1285"/>
      <c r="N108" s="1285"/>
      <c r="O108" s="1285"/>
      <c r="P108" s="1286"/>
      <c r="Q108" s="1287"/>
      <c r="R108" s="1285"/>
      <c r="S108" s="1285"/>
      <c r="T108" s="1285"/>
      <c r="U108" s="1285"/>
      <c r="V108" s="1285"/>
      <c r="W108" s="1285"/>
      <c r="X108" s="1286"/>
    </row>
    <row r="109" spans="1:24" ht="24" customHeight="1" x14ac:dyDescent="0.2">
      <c r="A109" s="2111"/>
      <c r="B109" s="2110"/>
      <c r="C109" s="2109"/>
      <c r="D109" s="1236" t="s">
        <v>1840</v>
      </c>
      <c r="E109" s="1212" t="s">
        <v>162</v>
      </c>
      <c r="F109" s="1236" t="s">
        <v>151</v>
      </c>
      <c r="G109" s="1232" t="s">
        <v>1829</v>
      </c>
      <c r="H109" s="1285"/>
      <c r="I109" s="1285"/>
      <c r="J109" s="1285">
        <v>8183</v>
      </c>
      <c r="K109" s="1285"/>
      <c r="L109" s="1285"/>
      <c r="M109" s="1285"/>
      <c r="N109" s="1285"/>
      <c r="O109" s="1285"/>
      <c r="P109" s="1286"/>
      <c r="Q109" s="1287"/>
      <c r="R109" s="1285"/>
      <c r="S109" s="1285"/>
      <c r="T109" s="1285"/>
      <c r="U109" s="1285"/>
      <c r="V109" s="1285"/>
      <c r="W109" s="1285"/>
      <c r="X109" s="1286"/>
    </row>
    <row r="110" spans="1:24" ht="24.75" customHeight="1" x14ac:dyDescent="0.2">
      <c r="A110" s="2099" t="s">
        <v>277</v>
      </c>
      <c r="B110" s="2104" t="s">
        <v>287</v>
      </c>
      <c r="C110" s="2102" t="s">
        <v>3211</v>
      </c>
      <c r="D110" s="1236" t="s">
        <v>1840</v>
      </c>
      <c r="E110" s="1212" t="s">
        <v>1288</v>
      </c>
      <c r="F110" s="1236" t="s">
        <v>128</v>
      </c>
      <c r="G110" s="1232" t="s">
        <v>1829</v>
      </c>
      <c r="H110" s="1285"/>
      <c r="I110" s="1285"/>
      <c r="J110" s="1285"/>
      <c r="K110" s="1285"/>
      <c r="L110" s="1285"/>
      <c r="M110" s="1285"/>
      <c r="N110" s="1285"/>
      <c r="O110" s="1285"/>
      <c r="P110" s="1286"/>
      <c r="Q110" s="1287"/>
      <c r="R110" s="1285"/>
      <c r="S110" s="1285"/>
      <c r="T110" s="1285"/>
      <c r="U110" s="1285"/>
      <c r="V110" s="1285"/>
      <c r="W110" s="1285"/>
      <c r="X110" s="1286">
        <v>300000</v>
      </c>
    </row>
    <row r="111" spans="1:24" ht="24.75" customHeight="1" x14ac:dyDescent="0.2">
      <c r="A111" s="2101"/>
      <c r="B111" s="2105"/>
      <c r="C111" s="2103"/>
      <c r="D111" s="1236" t="s">
        <v>1840</v>
      </c>
      <c r="E111" s="1212" t="s">
        <v>162</v>
      </c>
      <c r="F111" s="1236" t="s">
        <v>152</v>
      </c>
      <c r="G111" s="1232" t="s">
        <v>1829</v>
      </c>
      <c r="H111" s="1285"/>
      <c r="I111" s="1285"/>
      <c r="J111" s="1285">
        <f>236220+63780</f>
        <v>300000</v>
      </c>
      <c r="K111" s="1285"/>
      <c r="L111" s="1285"/>
      <c r="M111" s="1285"/>
      <c r="N111" s="1285"/>
      <c r="O111" s="1285"/>
      <c r="P111" s="1286"/>
      <c r="Q111" s="1287"/>
      <c r="R111" s="1285"/>
      <c r="S111" s="1285"/>
      <c r="T111" s="1285"/>
      <c r="U111" s="1285"/>
      <c r="V111" s="1285"/>
      <c r="W111" s="1285"/>
      <c r="X111" s="1286"/>
    </row>
    <row r="112" spans="1:24" ht="33" customHeight="1" x14ac:dyDescent="0.2">
      <c r="A112" s="2099" t="s">
        <v>278</v>
      </c>
      <c r="B112" s="2104" t="s">
        <v>288</v>
      </c>
      <c r="C112" s="2102" t="s">
        <v>3348</v>
      </c>
      <c r="D112" s="1236" t="s">
        <v>1840</v>
      </c>
      <c r="E112" s="1212" t="s">
        <v>760</v>
      </c>
      <c r="F112" s="1236" t="s">
        <v>132</v>
      </c>
      <c r="G112" s="1232" t="s">
        <v>1837</v>
      </c>
      <c r="H112" s="1285"/>
      <c r="I112" s="1285"/>
      <c r="J112" s="1285">
        <f>-500000-100000-162000</f>
        <v>-762000</v>
      </c>
      <c r="K112" s="1285"/>
      <c r="L112" s="1285"/>
      <c r="M112" s="1285">
        <f>-100000+855906+204094</f>
        <v>960000</v>
      </c>
      <c r="N112" s="1285"/>
      <c r="O112" s="1285"/>
      <c r="P112" s="1286"/>
      <c r="Q112" s="1287"/>
      <c r="R112" s="1285"/>
      <c r="S112" s="1285"/>
      <c r="T112" s="1285"/>
      <c r="U112" s="1285"/>
      <c r="V112" s="1285"/>
      <c r="W112" s="1285"/>
      <c r="X112" s="1286"/>
    </row>
    <row r="113" spans="1:24" ht="33" customHeight="1" x14ac:dyDescent="0.2">
      <c r="A113" s="2101"/>
      <c r="B113" s="2105"/>
      <c r="C113" s="2103"/>
      <c r="D113" s="1236" t="s">
        <v>1840</v>
      </c>
      <c r="E113" s="1212" t="s">
        <v>162</v>
      </c>
      <c r="F113" s="1236" t="s">
        <v>91</v>
      </c>
      <c r="G113" s="1232" t="s">
        <v>1828</v>
      </c>
      <c r="H113" s="1285"/>
      <c r="I113" s="1285"/>
      <c r="J113" s="1285">
        <v>-198000</v>
      </c>
      <c r="K113" s="1285"/>
      <c r="L113" s="1285"/>
      <c r="M113" s="1285"/>
      <c r="N113" s="1285"/>
      <c r="O113" s="1285"/>
      <c r="P113" s="1286"/>
      <c r="Q113" s="1287"/>
      <c r="R113" s="1285"/>
      <c r="S113" s="1285"/>
      <c r="T113" s="1285"/>
      <c r="U113" s="1285"/>
      <c r="V113" s="1285"/>
      <c r="W113" s="1285"/>
      <c r="X113" s="1286"/>
    </row>
    <row r="114" spans="1:24" ht="44.25" customHeight="1" x14ac:dyDescent="0.2">
      <c r="A114" s="1646" t="s">
        <v>279</v>
      </c>
      <c r="B114" s="1643" t="s">
        <v>289</v>
      </c>
      <c r="C114" s="1641" t="s">
        <v>3344</v>
      </c>
      <c r="D114" s="1236" t="s">
        <v>1840</v>
      </c>
      <c r="E114" s="1212" t="s">
        <v>162</v>
      </c>
      <c r="F114" s="1236" t="s">
        <v>152</v>
      </c>
      <c r="G114" s="1232" t="s">
        <v>1837</v>
      </c>
      <c r="H114" s="1285"/>
      <c r="I114" s="1285"/>
      <c r="J114" s="1285">
        <f>-251969+251969</f>
        <v>0</v>
      </c>
      <c r="K114" s="1285"/>
      <c r="L114" s="1285"/>
      <c r="M114" s="1285"/>
      <c r="N114" s="1285"/>
      <c r="O114" s="1285"/>
      <c r="P114" s="1286"/>
      <c r="Q114" s="1287"/>
      <c r="R114" s="1285"/>
      <c r="S114" s="1285"/>
      <c r="T114" s="1285"/>
      <c r="U114" s="1285"/>
      <c r="V114" s="1285"/>
      <c r="W114" s="1285"/>
      <c r="X114" s="1286"/>
    </row>
    <row r="115" spans="1:24" ht="25.5" customHeight="1" x14ac:dyDescent="0.2">
      <c r="A115" s="2099" t="s">
        <v>280</v>
      </c>
      <c r="B115" s="2104" t="s">
        <v>188</v>
      </c>
      <c r="C115" s="2102" t="s">
        <v>3373</v>
      </c>
      <c r="D115" s="1236" t="s">
        <v>1840</v>
      </c>
      <c r="E115" s="1212" t="s">
        <v>162</v>
      </c>
      <c r="F115" s="1236" t="s">
        <v>91</v>
      </c>
      <c r="G115" s="1232" t="s">
        <v>1837</v>
      </c>
      <c r="H115" s="1285">
        <f>-264116+121116+143000</f>
        <v>0</v>
      </c>
      <c r="I115" s="1285">
        <v>-64878</v>
      </c>
      <c r="J115" s="1285"/>
      <c r="K115" s="1285"/>
      <c r="L115" s="1285"/>
      <c r="M115" s="1285"/>
      <c r="N115" s="1285"/>
      <c r="O115" s="1285"/>
      <c r="P115" s="1286"/>
      <c r="Q115" s="1287"/>
      <c r="R115" s="1285"/>
      <c r="S115" s="1285"/>
      <c r="T115" s="1285"/>
      <c r="U115" s="1285"/>
      <c r="V115" s="1285"/>
      <c r="W115" s="1285"/>
      <c r="X115" s="1286"/>
    </row>
    <row r="116" spans="1:24" ht="25.5" customHeight="1" x14ac:dyDescent="0.2">
      <c r="A116" s="2101"/>
      <c r="B116" s="2105"/>
      <c r="C116" s="2103"/>
      <c r="D116" s="1236" t="s">
        <v>1840</v>
      </c>
      <c r="E116" s="1212" t="s">
        <v>760</v>
      </c>
      <c r="F116" s="1236" t="s">
        <v>132</v>
      </c>
      <c r="G116" s="1232" t="s">
        <v>1837</v>
      </c>
      <c r="H116" s="1285">
        <f>-813496+737747+561+75188</f>
        <v>0</v>
      </c>
      <c r="I116" s="1285">
        <v>64878</v>
      </c>
      <c r="J116" s="1285"/>
      <c r="K116" s="1285"/>
      <c r="L116" s="1285"/>
      <c r="M116" s="1285"/>
      <c r="N116" s="1285"/>
      <c r="O116" s="1285"/>
      <c r="P116" s="1286"/>
      <c r="Q116" s="1287"/>
      <c r="R116" s="1285"/>
      <c r="S116" s="1285"/>
      <c r="T116" s="1285"/>
      <c r="U116" s="1285"/>
      <c r="V116" s="1285"/>
      <c r="W116" s="1285"/>
      <c r="X116" s="1286"/>
    </row>
    <row r="117" spans="1:24" ht="38.25" customHeight="1" x14ac:dyDescent="0.2">
      <c r="A117" s="1646" t="s">
        <v>281</v>
      </c>
      <c r="B117" s="1643" t="s">
        <v>189</v>
      </c>
      <c r="C117" s="1641" t="s">
        <v>3418</v>
      </c>
      <c r="D117" s="1236" t="s">
        <v>1840</v>
      </c>
      <c r="E117" s="1212" t="s">
        <v>162</v>
      </c>
      <c r="F117" s="1236" t="s">
        <v>91</v>
      </c>
      <c r="G117" s="1232" t="s">
        <v>1837</v>
      </c>
      <c r="H117" s="1285"/>
      <c r="I117" s="1285"/>
      <c r="J117" s="1285">
        <f>-200000-54000</f>
        <v>-254000</v>
      </c>
      <c r="K117" s="1285"/>
      <c r="L117" s="1285"/>
      <c r="M117" s="1285">
        <f>200000+54000</f>
        <v>254000</v>
      </c>
      <c r="N117" s="1285"/>
      <c r="O117" s="1285"/>
      <c r="P117" s="1286"/>
      <c r="Q117" s="1287"/>
      <c r="R117" s="1285"/>
      <c r="S117" s="1285"/>
      <c r="T117" s="1285"/>
      <c r="U117" s="1285"/>
      <c r="V117" s="1285"/>
      <c r="W117" s="1285"/>
      <c r="X117" s="1286"/>
    </row>
    <row r="118" spans="1:24" ht="32.25" customHeight="1" x14ac:dyDescent="0.2">
      <c r="A118" s="1650" t="s">
        <v>282</v>
      </c>
      <c r="B118" s="1649" t="s">
        <v>190</v>
      </c>
      <c r="C118" s="1648" t="s">
        <v>3447</v>
      </c>
      <c r="D118" s="1236" t="s">
        <v>1840</v>
      </c>
      <c r="E118" s="1212" t="s">
        <v>162</v>
      </c>
      <c r="F118" s="1236" t="s">
        <v>152</v>
      </c>
      <c r="G118" s="1232" t="s">
        <v>1837</v>
      </c>
      <c r="H118" s="1285"/>
      <c r="I118" s="1285"/>
      <c r="J118" s="1285">
        <f>-55212-2639+57851</f>
        <v>0</v>
      </c>
      <c r="K118" s="1285"/>
      <c r="L118" s="1285"/>
      <c r="M118" s="1285"/>
      <c r="N118" s="1285"/>
      <c r="O118" s="1285"/>
      <c r="P118" s="1286"/>
      <c r="Q118" s="1287"/>
      <c r="R118" s="1285"/>
      <c r="S118" s="1285"/>
      <c r="T118" s="1285"/>
      <c r="U118" s="1285"/>
      <c r="V118" s="1285"/>
      <c r="W118" s="1285"/>
      <c r="X118" s="1286"/>
    </row>
    <row r="119" spans="1:24" ht="24" customHeight="1" x14ac:dyDescent="0.2">
      <c r="A119" s="2099" t="s">
        <v>283</v>
      </c>
      <c r="B119" s="2104" t="s">
        <v>191</v>
      </c>
      <c r="C119" s="2102" t="s">
        <v>3451</v>
      </c>
      <c r="D119" s="1236" t="s">
        <v>1840</v>
      </c>
      <c r="E119" s="1212" t="s">
        <v>162</v>
      </c>
      <c r="F119" s="1236" t="s">
        <v>91</v>
      </c>
      <c r="G119" s="1232" t="s">
        <v>1837</v>
      </c>
      <c r="H119" s="1285">
        <f>-24894+24894</f>
        <v>0</v>
      </c>
      <c r="I119" s="1285"/>
      <c r="J119" s="1285"/>
      <c r="K119" s="1285"/>
      <c r="L119" s="1285"/>
      <c r="M119" s="1285"/>
      <c r="N119" s="1285"/>
      <c r="O119" s="1285"/>
      <c r="P119" s="1286"/>
      <c r="Q119" s="1287"/>
      <c r="R119" s="1285"/>
      <c r="S119" s="1285"/>
      <c r="T119" s="1285"/>
      <c r="U119" s="1285"/>
      <c r="V119" s="1285"/>
      <c r="W119" s="1285"/>
      <c r="X119" s="1286"/>
    </row>
    <row r="120" spans="1:24" ht="24" customHeight="1" x14ac:dyDescent="0.2">
      <c r="A120" s="2101"/>
      <c r="B120" s="2105"/>
      <c r="C120" s="2103"/>
      <c r="D120" s="1236" t="s">
        <v>1840</v>
      </c>
      <c r="E120" s="1212" t="s">
        <v>760</v>
      </c>
      <c r="F120" s="1236" t="s">
        <v>132</v>
      </c>
      <c r="G120" s="1232" t="s">
        <v>1837</v>
      </c>
      <c r="H120" s="1285">
        <f>-15300+15300</f>
        <v>0</v>
      </c>
      <c r="I120" s="1285"/>
      <c r="J120" s="1285"/>
      <c r="K120" s="1285"/>
      <c r="L120" s="1285"/>
      <c r="M120" s="1285"/>
      <c r="N120" s="1285"/>
      <c r="O120" s="1285"/>
      <c r="P120" s="1286"/>
      <c r="Q120" s="1287"/>
      <c r="R120" s="1285"/>
      <c r="S120" s="1285"/>
      <c r="T120" s="1285"/>
      <c r="U120" s="1285"/>
      <c r="V120" s="1285"/>
      <c r="W120" s="1285"/>
      <c r="X120" s="1286"/>
    </row>
    <row r="121" spans="1:24" ht="28.5" customHeight="1" x14ac:dyDescent="0.2">
      <c r="A121" s="1646" t="s">
        <v>284</v>
      </c>
      <c r="B121" s="1643" t="s">
        <v>192</v>
      </c>
      <c r="C121" s="1641" t="s">
        <v>3468</v>
      </c>
      <c r="D121" s="1236" t="s">
        <v>1840</v>
      </c>
      <c r="E121" s="1212" t="s">
        <v>162</v>
      </c>
      <c r="F121" s="1236" t="s">
        <v>91</v>
      </c>
      <c r="G121" s="1232" t="s">
        <v>1828</v>
      </c>
      <c r="H121" s="1285"/>
      <c r="I121" s="1285"/>
      <c r="J121" s="1285">
        <v>-525069</v>
      </c>
      <c r="K121" s="1285"/>
      <c r="L121" s="1285"/>
      <c r="M121" s="1285"/>
      <c r="N121" s="1285"/>
      <c r="O121" s="1285"/>
      <c r="P121" s="1286"/>
      <c r="Q121" s="1287"/>
      <c r="R121" s="1285"/>
      <c r="S121" s="1285"/>
      <c r="T121" s="1285">
        <f>-11000-17-514052</f>
        <v>-525069</v>
      </c>
      <c r="U121" s="1285"/>
      <c r="V121" s="1285"/>
      <c r="W121" s="1285"/>
      <c r="X121" s="1286"/>
    </row>
    <row r="122" spans="1:24" ht="21.75" customHeight="1" x14ac:dyDescent="0.2">
      <c r="A122" s="1657"/>
      <c r="B122" s="1654"/>
      <c r="C122" s="1215"/>
      <c r="D122" s="1236"/>
      <c r="E122" s="1212"/>
      <c r="F122" s="1236"/>
      <c r="G122" s="1232"/>
      <c r="H122" s="1285"/>
      <c r="I122" s="1285"/>
      <c r="J122" s="1285"/>
      <c r="K122" s="1285"/>
      <c r="L122" s="1285"/>
      <c r="M122" s="1285"/>
      <c r="N122" s="1285"/>
      <c r="O122" s="1285"/>
      <c r="P122" s="1286"/>
      <c r="Q122" s="1287"/>
      <c r="R122" s="1285"/>
      <c r="S122" s="1285"/>
      <c r="T122" s="1285"/>
      <c r="U122" s="1285"/>
      <c r="V122" s="1285"/>
      <c r="W122" s="1285"/>
      <c r="X122" s="1286"/>
    </row>
    <row r="123" spans="1:24" ht="18.75" x14ac:dyDescent="0.3">
      <c r="A123" s="2082" t="s">
        <v>1749</v>
      </c>
      <c r="B123" s="2083"/>
      <c r="C123" s="2084"/>
      <c r="D123" s="1179"/>
      <c r="E123" s="1179"/>
      <c r="F123" s="1179"/>
      <c r="G123" s="1179"/>
      <c r="H123" s="1467">
        <f t="shared" ref="H123:X123" si="3">SUM(H103:H122)+H85</f>
        <v>12599937</v>
      </c>
      <c r="I123" s="1467">
        <f t="shared" si="3"/>
        <v>2299056</v>
      </c>
      <c r="J123" s="1467">
        <f t="shared" si="3"/>
        <v>8738301</v>
      </c>
      <c r="K123" s="1467">
        <f t="shared" si="3"/>
        <v>0</v>
      </c>
      <c r="L123" s="1467">
        <f t="shared" si="3"/>
        <v>11074052</v>
      </c>
      <c r="M123" s="1467">
        <f t="shared" si="3"/>
        <v>3752206</v>
      </c>
      <c r="N123" s="1467">
        <f t="shared" si="3"/>
        <v>0</v>
      </c>
      <c r="O123" s="1467">
        <f t="shared" si="3"/>
        <v>0</v>
      </c>
      <c r="P123" s="1289">
        <f t="shared" si="3"/>
        <v>0</v>
      </c>
      <c r="Q123" s="1468">
        <f t="shared" si="3"/>
        <v>350000</v>
      </c>
      <c r="R123" s="1467">
        <f t="shared" si="3"/>
        <v>0</v>
      </c>
      <c r="S123" s="1467">
        <f t="shared" si="3"/>
        <v>0</v>
      </c>
      <c r="T123" s="1467">
        <f t="shared" si="3"/>
        <v>1179719</v>
      </c>
      <c r="U123" s="1467">
        <f t="shared" si="3"/>
        <v>0</v>
      </c>
      <c r="V123" s="1467">
        <f t="shared" si="3"/>
        <v>1585000</v>
      </c>
      <c r="W123" s="1467">
        <f t="shared" si="3"/>
        <v>0</v>
      </c>
      <c r="X123" s="1289">
        <f t="shared" si="3"/>
        <v>35348833</v>
      </c>
    </row>
    <row r="124" spans="1:24" ht="16.5" customHeight="1" x14ac:dyDescent="0.3">
      <c r="A124" s="1217"/>
      <c r="B124" s="1217"/>
      <c r="C124" s="1217"/>
      <c r="D124" s="1219"/>
      <c r="E124" s="1219"/>
      <c r="F124" s="1219"/>
      <c r="G124" s="1219"/>
      <c r="H124" s="1252">
        <f>+'2.2. sz. Hétszínvirág Óvoda'!U9-'2.2. sz. Hétszínvirág Óvoda'!T9</f>
        <v>12599937</v>
      </c>
      <c r="I124" s="1252">
        <f>+'2.2. sz. Hétszínvirág Óvoda'!U10-'2.2. sz. Hétszínvirág Óvoda'!T10</f>
        <v>2299056</v>
      </c>
      <c r="J124" s="1252">
        <f>+'2.2. sz. Hétszínvirág Óvoda'!U11-'2.2. sz. Hétszínvirág Óvoda'!T11</f>
        <v>8738301</v>
      </c>
      <c r="K124" s="1252">
        <f>+'2.2. sz. Hétszínvirág Óvoda'!U12-'2.2. sz. Hétszínvirág Óvoda'!T12</f>
        <v>0</v>
      </c>
      <c r="L124" s="1252">
        <f>+'2.2. sz. Hétszínvirág Óvoda'!U13-'2.2. sz. Hétszínvirág Óvoda'!T13</f>
        <v>11074052</v>
      </c>
      <c r="M124" s="1252">
        <f>+'2.2. sz. Hétszínvirág Óvoda'!U17-'2.2. sz. Hétszínvirág Óvoda'!T17</f>
        <v>3752206</v>
      </c>
      <c r="N124" s="1252">
        <f>+'2.2. sz. Hétszínvirág Óvoda'!U18-'2.2. sz. Hétszínvirág Óvoda'!T18</f>
        <v>0</v>
      </c>
      <c r="O124" s="1252">
        <f>+'2.2. sz. Hétszínvirág Óvoda'!U19-'2.2. sz. Hétszínvirág Óvoda'!T19</f>
        <v>0</v>
      </c>
      <c r="P124" s="1252">
        <f>+'2.2. sz. Hétszínvirág Óvoda'!U22-'2.2. sz. Hétszínvirág Óvoda'!T22</f>
        <v>0</v>
      </c>
      <c r="Q124" s="1252">
        <f>+'2.2. sz. Hétszínvirág Óvoda'!U31-'2.2. sz. Hétszínvirág Óvoda'!T31</f>
        <v>350000</v>
      </c>
      <c r="R124" s="1252">
        <f>+'2.2. sz. Hétszínvirág Óvoda'!U32-'2.2. sz. Hétszínvirág Óvoda'!T32</f>
        <v>0</v>
      </c>
      <c r="S124" s="1252">
        <f>+'2.2. sz. Hétszínvirág Óvoda'!U33-'2.2. sz. Hétszínvirág Óvoda'!T33</f>
        <v>0</v>
      </c>
      <c r="T124" s="1252">
        <f>+'2.2. sz. Hétszínvirág Óvoda'!U34-'2.2. sz. Hétszínvirág Óvoda'!T34</f>
        <v>1179719</v>
      </c>
      <c r="U124" s="1252">
        <f>+'2.2. sz. Hétszínvirág Óvoda'!U35-'2.2. sz. Hétszínvirág Óvoda'!T35</f>
        <v>0</v>
      </c>
      <c r="V124" s="1252">
        <f>+'2.2. sz. Hétszínvirág Óvoda'!U36-'2.2. sz. Hétszínvirág Óvoda'!T36</f>
        <v>1585000</v>
      </c>
      <c r="W124" s="1252">
        <f>+'2.2. sz. Hétszínvirág Óvoda'!U37-'2.2. sz. Hétszínvirág Óvoda'!T37</f>
        <v>0</v>
      </c>
      <c r="X124" s="1252">
        <f>+'2.2. sz. Hétszínvirág Óvoda'!U39-'2.2. sz. Hétszínvirág Óvoda'!T39</f>
        <v>35348833</v>
      </c>
    </row>
    <row r="125" spans="1:24" ht="14.25" customHeight="1" x14ac:dyDescent="0.3">
      <c r="A125" s="1217"/>
      <c r="B125" s="1217"/>
      <c r="C125" s="1217"/>
      <c r="D125" s="1219"/>
      <c r="E125" s="1219"/>
      <c r="F125" s="1219"/>
      <c r="G125" s="1219"/>
      <c r="H125" s="1193">
        <f>+H124-H123</f>
        <v>0</v>
      </c>
      <c r="I125" s="1193">
        <f t="shared" ref="I125:Q125" si="4">+I124-I123</f>
        <v>0</v>
      </c>
      <c r="J125" s="1193">
        <f t="shared" si="4"/>
        <v>0</v>
      </c>
      <c r="K125" s="1193">
        <f t="shared" si="4"/>
        <v>0</v>
      </c>
      <c r="L125" s="1193">
        <f t="shared" si="4"/>
        <v>0</v>
      </c>
      <c r="M125" s="1193">
        <f t="shared" si="4"/>
        <v>0</v>
      </c>
      <c r="N125" s="1193">
        <f t="shared" si="4"/>
        <v>0</v>
      </c>
      <c r="O125" s="1193">
        <f t="shared" si="4"/>
        <v>0</v>
      </c>
      <c r="P125" s="1193">
        <f t="shared" si="4"/>
        <v>0</v>
      </c>
      <c r="Q125" s="1193">
        <f t="shared" si="4"/>
        <v>0</v>
      </c>
      <c r="R125" s="1193">
        <f>+R124-R123</f>
        <v>0</v>
      </c>
      <c r="S125" s="1193">
        <f t="shared" ref="S125:V125" si="5">+S124-S123</f>
        <v>0</v>
      </c>
      <c r="T125" s="1193">
        <f t="shared" si="5"/>
        <v>0</v>
      </c>
      <c r="U125" s="1193">
        <f t="shared" si="5"/>
        <v>0</v>
      </c>
      <c r="V125" s="1193">
        <f t="shared" si="5"/>
        <v>0</v>
      </c>
      <c r="W125" s="1193">
        <f>+W124-W123</f>
        <v>0</v>
      </c>
      <c r="X125" s="1193">
        <f t="shared" ref="X125" si="6">+X124-X123</f>
        <v>0</v>
      </c>
    </row>
    <row r="126" spans="1:24" ht="18.75" x14ac:dyDescent="0.3">
      <c r="A126" s="1217"/>
      <c r="B126" s="1217"/>
      <c r="C126" s="1217"/>
      <c r="D126" s="1219"/>
      <c r="E126" s="1219"/>
      <c r="F126" s="1219"/>
      <c r="G126" s="1219"/>
      <c r="H126" s="1193"/>
      <c r="I126" s="1193"/>
      <c r="J126" s="1193"/>
      <c r="K126" s="1193"/>
      <c r="L126" s="1193"/>
      <c r="M126" s="1193"/>
      <c r="N126" s="1193"/>
      <c r="O126" s="1193"/>
      <c r="P126" s="1193"/>
      <c r="Q126" s="1193"/>
      <c r="R126" s="1193"/>
      <c r="S126" s="1193"/>
      <c r="T126" s="1193"/>
      <c r="U126" s="1193"/>
      <c r="V126" s="1193"/>
      <c r="W126" s="1193"/>
      <c r="X126" s="1193"/>
    </row>
    <row r="127" spans="1:24" ht="21.75" customHeight="1" x14ac:dyDescent="0.25">
      <c r="A127" s="1197"/>
      <c r="B127" s="1197"/>
      <c r="C127" s="1197"/>
      <c r="D127" s="1197"/>
      <c r="E127" s="1197"/>
      <c r="F127" s="1197"/>
      <c r="G127" s="1197"/>
      <c r="H127" s="1224"/>
      <c r="I127" s="2108" t="s">
        <v>1750</v>
      </c>
      <c r="J127" s="2108"/>
      <c r="K127" s="2108"/>
      <c r="L127" s="2108">
        <v>441638169</v>
      </c>
      <c r="M127" s="2108"/>
      <c r="N127" s="1225"/>
      <c r="O127" s="1225"/>
      <c r="P127" s="1225"/>
      <c r="Q127" s="1225"/>
      <c r="R127" s="2108" t="s">
        <v>1751</v>
      </c>
      <c r="S127" s="2108"/>
      <c r="T127" s="2108"/>
      <c r="U127" s="2108">
        <v>441638169</v>
      </c>
      <c r="V127" s="2108"/>
      <c r="W127" s="1224"/>
      <c r="X127" s="1224"/>
    </row>
    <row r="128" spans="1:24" ht="21.75" customHeight="1" x14ac:dyDescent="0.25">
      <c r="A128" s="1197"/>
      <c r="B128" s="1197"/>
      <c r="C128" s="1197"/>
      <c r="D128" s="1197"/>
      <c r="E128" s="1197"/>
      <c r="F128" s="1197"/>
      <c r="G128" s="1197"/>
      <c r="H128" s="1224"/>
      <c r="I128" s="2066" t="s">
        <v>3474</v>
      </c>
      <c r="J128" s="2066"/>
      <c r="K128" s="2066"/>
      <c r="L128" s="2108">
        <f>SUM(H123:P123)</f>
        <v>38463552</v>
      </c>
      <c r="M128" s="2108"/>
      <c r="N128" s="1225"/>
      <c r="O128" s="1225"/>
      <c r="P128" s="1225"/>
      <c r="Q128" s="1225"/>
      <c r="R128" s="2066" t="s">
        <v>3474</v>
      </c>
      <c r="S128" s="2066"/>
      <c r="T128" s="2066"/>
      <c r="U128" s="2108">
        <f>SUM(Q123:X123)</f>
        <v>38463552</v>
      </c>
      <c r="V128" s="2108"/>
      <c r="W128" s="1224"/>
      <c r="X128" s="1224"/>
    </row>
    <row r="129" spans="1:24" ht="21" customHeight="1" x14ac:dyDescent="0.25">
      <c r="A129" s="1197"/>
      <c r="B129" s="1197"/>
      <c r="C129" s="1197"/>
      <c r="D129" s="1197"/>
      <c r="E129" s="1197"/>
      <c r="F129" s="1197"/>
      <c r="G129" s="1197"/>
      <c r="H129" s="1224"/>
      <c r="I129" s="2108" t="s">
        <v>1561</v>
      </c>
      <c r="J129" s="2108"/>
      <c r="K129" s="2108"/>
      <c r="L129" s="2108">
        <f>+L127+L128</f>
        <v>480101721</v>
      </c>
      <c r="M129" s="2108"/>
      <c r="N129" s="1225"/>
      <c r="O129" s="1225"/>
      <c r="P129" s="1225"/>
      <c r="Q129" s="1225"/>
      <c r="R129" s="2108" t="s">
        <v>1561</v>
      </c>
      <c r="S129" s="2108"/>
      <c r="T129" s="2108"/>
      <c r="U129" s="2108">
        <f>+U127+U128</f>
        <v>480101721</v>
      </c>
      <c r="V129" s="2108"/>
      <c r="W129" s="1224"/>
      <c r="X129" s="1224"/>
    </row>
    <row r="130" spans="1:24" x14ac:dyDescent="0.2">
      <c r="A130" s="348"/>
      <c r="B130" s="348"/>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row>
    <row r="131" spans="1:24" x14ac:dyDescent="0.2">
      <c r="A131" s="348"/>
      <c r="B131" s="348"/>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row>
    <row r="132" spans="1:24" x14ac:dyDescent="0.2">
      <c r="A132" s="348"/>
      <c r="B132" s="348"/>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row>
    <row r="133" spans="1:24" x14ac:dyDescent="0.2">
      <c r="A133" s="348"/>
      <c r="B133" s="348"/>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row>
    <row r="134" spans="1:24" x14ac:dyDescent="0.2">
      <c r="A134" s="348"/>
      <c r="B134" s="348"/>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row>
    <row r="135" spans="1:24" x14ac:dyDescent="0.2">
      <c r="A135" s="348"/>
      <c r="B135" s="348"/>
      <c r="C135" s="348"/>
      <c r="D135" s="348"/>
      <c r="E135" s="348"/>
      <c r="F135" s="348"/>
      <c r="G135" s="348"/>
      <c r="H135" s="348"/>
      <c r="I135" s="348"/>
      <c r="J135" s="348"/>
      <c r="K135" s="348"/>
      <c r="L135" s="348"/>
      <c r="M135" s="348"/>
      <c r="N135" s="348"/>
      <c r="O135" s="348"/>
      <c r="P135" s="348"/>
      <c r="Q135" s="348"/>
      <c r="R135" s="348"/>
      <c r="S135" s="348"/>
      <c r="T135" s="348"/>
      <c r="U135" s="348"/>
      <c r="V135" s="348"/>
      <c r="W135" s="348"/>
      <c r="X135" s="348"/>
    </row>
    <row r="136" spans="1:24" x14ac:dyDescent="0.2">
      <c r="A136" s="348"/>
      <c r="B136" s="348"/>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row>
    <row r="137" spans="1:24" x14ac:dyDescent="0.2">
      <c r="A137" s="348"/>
      <c r="B137" s="348"/>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row>
    <row r="138" spans="1:24" x14ac:dyDescent="0.2">
      <c r="A138" s="348"/>
      <c r="B138" s="348"/>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row>
    <row r="139" spans="1:24" x14ac:dyDescent="0.2">
      <c r="A139" s="348"/>
      <c r="B139" s="348"/>
      <c r="C139" s="348"/>
      <c r="D139" s="348"/>
      <c r="E139" s="348"/>
      <c r="F139" s="348"/>
      <c r="G139" s="348"/>
      <c r="H139" s="348"/>
      <c r="I139" s="348"/>
      <c r="J139" s="348"/>
      <c r="K139" s="348"/>
      <c r="L139" s="348"/>
      <c r="M139" s="348"/>
      <c r="N139" s="348"/>
      <c r="O139" s="348"/>
      <c r="P139" s="348"/>
      <c r="Q139" s="348"/>
      <c r="R139" s="348"/>
      <c r="S139" s="348"/>
      <c r="T139" s="348"/>
      <c r="U139" s="348"/>
      <c r="V139" s="348"/>
      <c r="W139" s="348"/>
      <c r="X139" s="348"/>
    </row>
    <row r="140" spans="1:24" x14ac:dyDescent="0.2">
      <c r="A140" s="348"/>
      <c r="B140" s="348"/>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row>
    <row r="141" spans="1:24" x14ac:dyDescent="0.2">
      <c r="A141" s="348"/>
      <c r="B141" s="348"/>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row>
    <row r="142" spans="1:24" x14ac:dyDescent="0.2">
      <c r="A142" s="348"/>
      <c r="B142" s="348"/>
      <c r="C142" s="348"/>
      <c r="D142" s="348"/>
      <c r="E142" s="348"/>
      <c r="F142" s="348"/>
      <c r="G142" s="348"/>
      <c r="H142" s="348"/>
      <c r="I142" s="348"/>
      <c r="J142" s="348"/>
      <c r="K142" s="348"/>
      <c r="L142" s="348"/>
      <c r="M142" s="348"/>
      <c r="N142" s="348"/>
      <c r="O142" s="348"/>
      <c r="P142" s="348"/>
      <c r="Q142" s="348"/>
      <c r="R142" s="348"/>
      <c r="S142" s="348"/>
      <c r="T142" s="348"/>
      <c r="U142" s="348"/>
      <c r="V142" s="348"/>
      <c r="W142" s="348"/>
      <c r="X142" s="348"/>
    </row>
    <row r="143" spans="1:24" x14ac:dyDescent="0.2">
      <c r="A143" s="348"/>
      <c r="B143" s="348"/>
      <c r="C143" s="348"/>
      <c r="D143" s="348"/>
      <c r="E143" s="348"/>
      <c r="F143" s="348"/>
      <c r="G143" s="348"/>
      <c r="H143" s="348"/>
      <c r="I143" s="348"/>
      <c r="J143" s="348"/>
      <c r="K143" s="348"/>
      <c r="L143" s="348"/>
      <c r="M143" s="348"/>
      <c r="N143" s="348"/>
      <c r="O143" s="348"/>
      <c r="P143" s="348"/>
      <c r="Q143" s="348"/>
      <c r="R143" s="348"/>
      <c r="S143" s="348"/>
      <c r="T143" s="348"/>
      <c r="U143" s="348"/>
      <c r="V143" s="348"/>
      <c r="W143" s="348"/>
      <c r="X143" s="348"/>
    </row>
    <row r="144" spans="1:24" x14ac:dyDescent="0.2">
      <c r="A144" s="348"/>
      <c r="B144" s="348"/>
      <c r="C144" s="348"/>
      <c r="D144" s="348"/>
      <c r="E144" s="348"/>
      <c r="F144" s="348"/>
      <c r="G144" s="348"/>
      <c r="H144" s="348"/>
      <c r="I144" s="348"/>
      <c r="J144" s="348"/>
      <c r="K144" s="348"/>
      <c r="L144" s="348"/>
      <c r="M144" s="348"/>
      <c r="N144" s="348"/>
      <c r="O144" s="348"/>
      <c r="P144" s="348"/>
      <c r="Q144" s="348"/>
      <c r="R144" s="348"/>
      <c r="S144" s="348"/>
      <c r="T144" s="348"/>
      <c r="U144" s="348"/>
      <c r="V144" s="348"/>
      <c r="W144" s="348"/>
      <c r="X144" s="348"/>
    </row>
    <row r="145" spans="1:24" x14ac:dyDescent="0.2">
      <c r="A145" s="348"/>
      <c r="B145" s="348"/>
      <c r="C145" s="348"/>
      <c r="D145" s="348"/>
      <c r="E145" s="348"/>
      <c r="F145" s="348"/>
      <c r="G145" s="348"/>
      <c r="H145" s="348"/>
      <c r="I145" s="348"/>
      <c r="J145" s="348"/>
      <c r="K145" s="348"/>
      <c r="L145" s="348"/>
      <c r="M145" s="348"/>
      <c r="N145" s="348"/>
      <c r="O145" s="348"/>
      <c r="P145" s="348"/>
      <c r="Q145" s="348"/>
      <c r="R145" s="348"/>
      <c r="S145" s="348"/>
      <c r="T145" s="348"/>
      <c r="U145" s="348"/>
      <c r="V145" s="348"/>
      <c r="W145" s="348"/>
      <c r="X145" s="348"/>
    </row>
    <row r="146" spans="1:24" x14ac:dyDescent="0.2">
      <c r="A146" s="348"/>
      <c r="B146" s="348"/>
      <c r="C146" s="348"/>
      <c r="D146" s="348"/>
      <c r="E146" s="348"/>
      <c r="F146" s="348"/>
      <c r="G146" s="348"/>
      <c r="H146" s="348"/>
      <c r="I146" s="348"/>
      <c r="J146" s="348"/>
      <c r="K146" s="348"/>
      <c r="L146" s="348"/>
      <c r="M146" s="348"/>
      <c r="N146" s="348"/>
      <c r="O146" s="348"/>
      <c r="P146" s="348"/>
      <c r="Q146" s="348"/>
      <c r="R146" s="348"/>
      <c r="S146" s="348"/>
      <c r="T146" s="348"/>
      <c r="U146" s="348"/>
      <c r="V146" s="348"/>
      <c r="W146" s="348"/>
      <c r="X146" s="348"/>
    </row>
    <row r="147" spans="1:24" x14ac:dyDescent="0.2">
      <c r="A147" s="348"/>
      <c r="B147" s="348"/>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row>
    <row r="148" spans="1:24" x14ac:dyDescent="0.2">
      <c r="A148" s="348"/>
      <c r="B148" s="348"/>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row>
    <row r="149" spans="1:24" x14ac:dyDescent="0.2">
      <c r="A149" s="348"/>
      <c r="B149" s="348"/>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row>
  </sheetData>
  <mergeCells count="156">
    <mergeCell ref="A68:X68"/>
    <mergeCell ref="A70:X70"/>
    <mergeCell ref="A72:A73"/>
    <mergeCell ref="B72:B73"/>
    <mergeCell ref="C72:C73"/>
    <mergeCell ref="D72:D73"/>
    <mergeCell ref="E72:E73"/>
    <mergeCell ref="F72:F73"/>
    <mergeCell ref="G72:G73"/>
    <mergeCell ref="H72:O72"/>
    <mergeCell ref="Q72:X72"/>
    <mergeCell ref="B49:B50"/>
    <mergeCell ref="A49:A50"/>
    <mergeCell ref="I63:K63"/>
    <mergeCell ref="L63:M63"/>
    <mergeCell ref="I62:K62"/>
    <mergeCell ref="A57:C57"/>
    <mergeCell ref="I61:K61"/>
    <mergeCell ref="C52:C53"/>
    <mergeCell ref="B52:B53"/>
    <mergeCell ref="A52:A53"/>
    <mergeCell ref="R63:T63"/>
    <mergeCell ref="U63:V63"/>
    <mergeCell ref="L61:M61"/>
    <mergeCell ref="R61:T61"/>
    <mergeCell ref="U61:V61"/>
    <mergeCell ref="L62:M62"/>
    <mergeCell ref="R62:T62"/>
    <mergeCell ref="U62:V62"/>
    <mergeCell ref="C49:C50"/>
    <mergeCell ref="L28:M28"/>
    <mergeCell ref="R28:T28"/>
    <mergeCell ref="U28:V28"/>
    <mergeCell ref="I26:K26"/>
    <mergeCell ref="I28:K28"/>
    <mergeCell ref="A30:X30"/>
    <mergeCell ref="A32:X32"/>
    <mergeCell ref="A34:A35"/>
    <mergeCell ref="B34:B35"/>
    <mergeCell ref="C34:C35"/>
    <mergeCell ref="D34:D35"/>
    <mergeCell ref="E34:E35"/>
    <mergeCell ref="F34:F35"/>
    <mergeCell ref="G34:G35"/>
    <mergeCell ref="H34:O34"/>
    <mergeCell ref="Q34:X34"/>
    <mergeCell ref="L26:M26"/>
    <mergeCell ref="R27:T27"/>
    <mergeCell ref="U27:V27"/>
    <mergeCell ref="C7:C8"/>
    <mergeCell ref="B7:B8"/>
    <mergeCell ref="A7:A8"/>
    <mergeCell ref="C16:C17"/>
    <mergeCell ref="B16:B17"/>
    <mergeCell ref="A16:A17"/>
    <mergeCell ref="I27:K27"/>
    <mergeCell ref="L27:M27"/>
    <mergeCell ref="A1:X1"/>
    <mergeCell ref="A3:X3"/>
    <mergeCell ref="A5:A6"/>
    <mergeCell ref="B5:B6"/>
    <mergeCell ref="C5:C6"/>
    <mergeCell ref="D5:D6"/>
    <mergeCell ref="E5:E6"/>
    <mergeCell ref="F5:F6"/>
    <mergeCell ref="G5:G6"/>
    <mergeCell ref="H5:O5"/>
    <mergeCell ref="Q5:X5"/>
    <mergeCell ref="C14:C15"/>
    <mergeCell ref="B14:B15"/>
    <mergeCell ref="A14:A15"/>
    <mergeCell ref="R26:T26"/>
    <mergeCell ref="U26:V26"/>
    <mergeCell ref="A40:A41"/>
    <mergeCell ref="C43:C44"/>
    <mergeCell ref="B43:B44"/>
    <mergeCell ref="C18:C19"/>
    <mergeCell ref="B18:B19"/>
    <mergeCell ref="A18:A19"/>
    <mergeCell ref="A45:A46"/>
    <mergeCell ref="C47:C48"/>
    <mergeCell ref="B47:B48"/>
    <mergeCell ref="A47:A48"/>
    <mergeCell ref="C20:C21"/>
    <mergeCell ref="B20:B21"/>
    <mergeCell ref="A20:A21"/>
    <mergeCell ref="C36:C38"/>
    <mergeCell ref="B36:B38"/>
    <mergeCell ref="A36:A38"/>
    <mergeCell ref="A22:C22"/>
    <mergeCell ref="C40:C41"/>
    <mergeCell ref="B40:B41"/>
    <mergeCell ref="A43:A44"/>
    <mergeCell ref="C45:C46"/>
    <mergeCell ref="B45:B46"/>
    <mergeCell ref="C75:C77"/>
    <mergeCell ref="B75:B77"/>
    <mergeCell ref="A75:A77"/>
    <mergeCell ref="C81:C82"/>
    <mergeCell ref="B81:B82"/>
    <mergeCell ref="A81:A82"/>
    <mergeCell ref="I91:K91"/>
    <mergeCell ref="L91:M91"/>
    <mergeCell ref="R91:T91"/>
    <mergeCell ref="A85:C85"/>
    <mergeCell ref="I89:K89"/>
    <mergeCell ref="U91:V91"/>
    <mergeCell ref="L89:M89"/>
    <mergeCell ref="R89:T89"/>
    <mergeCell ref="U89:V89"/>
    <mergeCell ref="I90:K90"/>
    <mergeCell ref="L90:M90"/>
    <mergeCell ref="R90:T90"/>
    <mergeCell ref="U90:V90"/>
    <mergeCell ref="A97:X97"/>
    <mergeCell ref="A99:X99"/>
    <mergeCell ref="A101:A102"/>
    <mergeCell ref="B101:B102"/>
    <mergeCell ref="C101:C102"/>
    <mergeCell ref="D101:D102"/>
    <mergeCell ref="E101:E102"/>
    <mergeCell ref="F101:F102"/>
    <mergeCell ref="G101:G102"/>
    <mergeCell ref="H101:O101"/>
    <mergeCell ref="Q101:X101"/>
    <mergeCell ref="U129:V129"/>
    <mergeCell ref="A123:C123"/>
    <mergeCell ref="I127:K127"/>
    <mergeCell ref="L127:M127"/>
    <mergeCell ref="R127:T127"/>
    <mergeCell ref="U127:V127"/>
    <mergeCell ref="I128:K128"/>
    <mergeCell ref="L128:M128"/>
    <mergeCell ref="R128:T128"/>
    <mergeCell ref="U128:V128"/>
    <mergeCell ref="C115:C116"/>
    <mergeCell ref="B115:B116"/>
    <mergeCell ref="A115:A116"/>
    <mergeCell ref="C103:C104"/>
    <mergeCell ref="B103:B104"/>
    <mergeCell ref="A103:A104"/>
    <mergeCell ref="I129:K129"/>
    <mergeCell ref="L129:M129"/>
    <mergeCell ref="R129:T129"/>
    <mergeCell ref="C107:C109"/>
    <mergeCell ref="B107:B109"/>
    <mergeCell ref="A107:A109"/>
    <mergeCell ref="C110:C111"/>
    <mergeCell ref="B110:B111"/>
    <mergeCell ref="A110:A111"/>
    <mergeCell ref="C112:C113"/>
    <mergeCell ref="B112:B113"/>
    <mergeCell ref="A112:A113"/>
    <mergeCell ref="C119:C120"/>
    <mergeCell ref="B119:B120"/>
    <mergeCell ref="A119:A120"/>
  </mergeCells>
  <pageMargins left="0.51181102362204722" right="0.31496062992125984" top="0.74803149606299213" bottom="0.74803149606299213" header="0.31496062992125984" footer="0.31496062992125984"/>
  <pageSetup paperSize="9" scale="52" orientation="landscape" r:id="rId1"/>
  <headerFooter>
    <oddHeader>&amp;C2023. évi költségvetés&amp;RDunaharaszti Hétszínvirág Óvoda előirányzat-módosítása</oddHeader>
    <oddFooter>&amp;C&amp;P/&amp;N</oddFooter>
  </headerFooter>
  <rowBreaks count="3" manualBreakCount="3">
    <brk id="38" max="23" man="1"/>
    <brk id="77" max="23" man="1"/>
    <brk id="113" max="2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X167"/>
  <sheetViews>
    <sheetView view="pageBreakPreview" topLeftCell="A133" zoomScale="90" zoomScaleNormal="100" zoomScaleSheetLayoutView="90" workbookViewId="0">
      <selection activeCell="R41" sqref="R41:T41"/>
    </sheetView>
  </sheetViews>
  <sheetFormatPr defaultRowHeight="12.75" x14ac:dyDescent="0.2"/>
  <cols>
    <col min="1" max="1" width="4.5703125" customWidth="1"/>
    <col min="2" max="2" width="4.42578125" customWidth="1"/>
    <col min="3" max="3" width="31.28515625" customWidth="1"/>
    <col min="4" max="4" width="6" customWidth="1"/>
    <col min="5" max="5" width="6.5703125" customWidth="1"/>
    <col min="6" max="6" width="5.28515625" customWidth="1"/>
    <col min="7" max="7" width="5.85546875" customWidth="1"/>
    <col min="8" max="8" width="11.7109375" customWidth="1"/>
    <col min="9" max="9" width="13.28515625" customWidth="1"/>
    <col min="10" max="10" width="11.42578125" customWidth="1"/>
    <col min="11" max="11" width="10.42578125" customWidth="1"/>
    <col min="12" max="12" width="11.28515625" customWidth="1"/>
    <col min="13" max="13" width="10.7109375" customWidth="1"/>
    <col min="14" max="15" width="11.28515625" customWidth="1"/>
    <col min="16" max="16" width="11" customWidth="1"/>
    <col min="17" max="17" width="13" customWidth="1"/>
    <col min="18" max="18" width="13.140625" customWidth="1"/>
    <col min="19" max="19" width="11.28515625" customWidth="1"/>
    <col min="20" max="20" width="11" customWidth="1"/>
    <col min="21" max="21" width="11.7109375" customWidth="1"/>
    <col min="22" max="23" width="11.5703125" customWidth="1"/>
    <col min="24" max="24" width="11.7109375" customWidth="1"/>
  </cols>
  <sheetData>
    <row r="1" spans="1:24" ht="15.75" x14ac:dyDescent="0.25">
      <c r="A1" s="2069" t="s">
        <v>2024</v>
      </c>
      <c r="B1" s="2069"/>
      <c r="C1" s="2069"/>
      <c r="D1" s="2069"/>
      <c r="E1" s="2069"/>
      <c r="F1" s="2069"/>
      <c r="G1" s="2069"/>
      <c r="H1" s="2069"/>
      <c r="I1" s="2069"/>
      <c r="J1" s="2069"/>
      <c r="K1" s="2069"/>
      <c r="L1" s="2069"/>
      <c r="M1" s="2069"/>
      <c r="N1" s="2069"/>
      <c r="O1" s="2069"/>
      <c r="P1" s="2069"/>
      <c r="Q1" s="2069"/>
      <c r="R1" s="2069"/>
      <c r="S1" s="2069"/>
      <c r="T1" s="2069"/>
      <c r="U1" s="2069"/>
      <c r="V1" s="2069"/>
      <c r="W1" s="2069"/>
      <c r="X1" s="2069"/>
    </row>
    <row r="2" spans="1:24" ht="15" x14ac:dyDescent="0.25">
      <c r="A2" s="1195"/>
      <c r="B2" s="1195"/>
      <c r="C2" s="1195"/>
      <c r="D2" s="1195"/>
      <c r="E2" s="1195"/>
      <c r="F2" s="1195"/>
      <c r="G2" s="1195"/>
      <c r="H2" s="1195"/>
      <c r="I2" s="1195"/>
      <c r="J2" s="1195"/>
      <c r="K2" s="1195"/>
      <c r="L2" s="1195"/>
      <c r="M2" s="1195"/>
      <c r="N2" s="1195"/>
      <c r="O2" s="1195"/>
      <c r="P2" s="1195"/>
      <c r="Q2" s="1195"/>
      <c r="R2" s="1195"/>
      <c r="S2" s="1195"/>
      <c r="T2" s="1195"/>
      <c r="U2" s="1195"/>
      <c r="V2" s="1195"/>
      <c r="W2" s="1195"/>
      <c r="X2" s="1195"/>
    </row>
    <row r="3" spans="1:24" ht="15" x14ac:dyDescent="0.25">
      <c r="A3" s="2112" t="s">
        <v>88</v>
      </c>
      <c r="B3" s="2112"/>
      <c r="C3" s="2112"/>
      <c r="D3" s="2112"/>
      <c r="E3" s="2112"/>
      <c r="F3" s="2112"/>
      <c r="G3" s="2112"/>
      <c r="H3" s="2112"/>
      <c r="I3" s="2112"/>
      <c r="J3" s="2112"/>
      <c r="K3" s="2112"/>
      <c r="L3" s="2112"/>
      <c r="M3" s="2112"/>
      <c r="N3" s="2112"/>
      <c r="O3" s="2112"/>
      <c r="P3" s="2112"/>
      <c r="Q3" s="2112"/>
      <c r="R3" s="2112"/>
      <c r="S3" s="2112"/>
      <c r="T3" s="2112"/>
      <c r="U3" s="2112"/>
      <c r="V3" s="2112"/>
      <c r="W3" s="2112"/>
      <c r="X3" s="2112"/>
    </row>
    <row r="4" spans="1:24" ht="15" x14ac:dyDescent="0.25">
      <c r="A4" s="1197"/>
      <c r="B4" s="1197"/>
      <c r="C4" s="1197"/>
      <c r="D4" s="1197"/>
      <c r="E4" s="1197"/>
      <c r="F4" s="1197"/>
      <c r="G4" s="1197"/>
      <c r="H4" s="1197"/>
      <c r="I4" s="1197"/>
      <c r="J4" s="1197"/>
      <c r="K4" s="1197"/>
      <c r="L4" s="1197"/>
      <c r="M4" s="1197"/>
      <c r="N4" s="1197"/>
      <c r="O4" s="1197"/>
      <c r="P4" s="1197"/>
      <c r="Q4" s="1198"/>
      <c r="R4" s="1197"/>
      <c r="S4" s="1197"/>
      <c r="T4" s="1197"/>
      <c r="U4" s="1197"/>
      <c r="V4" s="1197"/>
      <c r="W4" s="1197"/>
      <c r="X4" s="1197"/>
    </row>
    <row r="5" spans="1:24" ht="15" x14ac:dyDescent="0.25">
      <c r="A5" s="2124" t="s">
        <v>37</v>
      </c>
      <c r="B5" s="2093" t="s">
        <v>1726</v>
      </c>
      <c r="C5" s="2123" t="s">
        <v>2</v>
      </c>
      <c r="D5" s="2147" t="s">
        <v>1727</v>
      </c>
      <c r="E5" s="2147" t="s">
        <v>117</v>
      </c>
      <c r="F5" s="2147" t="s">
        <v>1728</v>
      </c>
      <c r="G5" s="2147" t="s">
        <v>1729</v>
      </c>
      <c r="H5" s="2133" t="s">
        <v>1730</v>
      </c>
      <c r="I5" s="2149"/>
      <c r="J5" s="2149"/>
      <c r="K5" s="2149"/>
      <c r="L5" s="2149"/>
      <c r="M5" s="2149"/>
      <c r="N5" s="2149"/>
      <c r="O5" s="2149"/>
      <c r="P5" s="1660"/>
      <c r="Q5" s="2151" t="s">
        <v>1731</v>
      </c>
      <c r="R5" s="2149"/>
      <c r="S5" s="2149"/>
      <c r="T5" s="2149"/>
      <c r="U5" s="2149"/>
      <c r="V5" s="2149"/>
      <c r="W5" s="2149"/>
      <c r="X5" s="2150"/>
    </row>
    <row r="6" spans="1:24" ht="88.5" customHeight="1" x14ac:dyDescent="0.2">
      <c r="A6" s="2145"/>
      <c r="B6" s="2094"/>
      <c r="C6" s="2146"/>
      <c r="D6" s="2148"/>
      <c r="E6" s="2148"/>
      <c r="F6" s="2148"/>
      <c r="G6" s="2148"/>
      <c r="H6" s="1154" t="s">
        <v>2385</v>
      </c>
      <c r="I6" s="1154" t="s">
        <v>1785</v>
      </c>
      <c r="J6" s="1154" t="s">
        <v>1786</v>
      </c>
      <c r="K6" s="1154" t="s">
        <v>1787</v>
      </c>
      <c r="L6" s="1154" t="s">
        <v>1788</v>
      </c>
      <c r="M6" s="1154" t="s">
        <v>1756</v>
      </c>
      <c r="N6" s="1154" t="s">
        <v>1757</v>
      </c>
      <c r="O6" s="1157" t="s">
        <v>1739</v>
      </c>
      <c r="P6" s="1157" t="s">
        <v>1758</v>
      </c>
      <c r="Q6" s="1158" t="s">
        <v>1741</v>
      </c>
      <c r="R6" s="1154" t="s">
        <v>1742</v>
      </c>
      <c r="S6" s="1154" t="s">
        <v>1770</v>
      </c>
      <c r="T6" s="1154" t="s">
        <v>1761</v>
      </c>
      <c r="U6" s="1154" t="s">
        <v>1745</v>
      </c>
      <c r="V6" s="1154" t="s">
        <v>1746</v>
      </c>
      <c r="W6" s="1154" t="s">
        <v>1747</v>
      </c>
      <c r="X6" s="1159" t="s">
        <v>1789</v>
      </c>
    </row>
    <row r="7" spans="1:24" ht="20.25" customHeight="1" x14ac:dyDescent="0.2">
      <c r="A7" s="2124" t="s">
        <v>188</v>
      </c>
      <c r="B7" s="2123" t="s">
        <v>193</v>
      </c>
      <c r="C7" s="2122" t="s">
        <v>1833</v>
      </c>
      <c r="D7" s="1201" t="s">
        <v>1834</v>
      </c>
      <c r="E7" s="1243" t="s">
        <v>162</v>
      </c>
      <c r="F7" s="1243" t="s">
        <v>152</v>
      </c>
      <c r="G7" s="1243" t="s">
        <v>1828</v>
      </c>
      <c r="H7" s="1253"/>
      <c r="I7" s="1253"/>
      <c r="J7" s="1253"/>
      <c r="K7" s="1253"/>
      <c r="L7" s="1253"/>
      <c r="M7" s="1253"/>
      <c r="N7" s="1253"/>
      <c r="O7" s="1253"/>
      <c r="P7" s="1254"/>
      <c r="Q7" s="1255"/>
      <c r="R7" s="1253"/>
      <c r="S7" s="1253"/>
      <c r="T7" s="1253">
        <v>-131000</v>
      </c>
      <c r="U7" s="1253"/>
      <c r="V7" s="1253"/>
      <c r="W7" s="1253"/>
      <c r="X7" s="1254"/>
    </row>
    <row r="8" spans="1:24" ht="20.25" customHeight="1" x14ac:dyDescent="0.2">
      <c r="A8" s="2101"/>
      <c r="B8" s="2105"/>
      <c r="C8" s="2103"/>
      <c r="D8" s="1206" t="s">
        <v>1834</v>
      </c>
      <c r="E8" s="1256" t="s">
        <v>162</v>
      </c>
      <c r="F8" s="1232" t="s">
        <v>91</v>
      </c>
      <c r="G8" s="1256" t="s">
        <v>1829</v>
      </c>
      <c r="H8" s="1233"/>
      <c r="I8" s="1233"/>
      <c r="J8" s="1233"/>
      <c r="K8" s="1233"/>
      <c r="L8" s="1233"/>
      <c r="M8" s="1233"/>
      <c r="N8" s="1233"/>
      <c r="O8" s="1233"/>
      <c r="P8" s="1234"/>
      <c r="Q8" s="1235"/>
      <c r="R8" s="1233"/>
      <c r="S8" s="1233"/>
      <c r="T8" s="1233">
        <v>131000</v>
      </c>
      <c r="U8" s="1233"/>
      <c r="V8" s="1233"/>
      <c r="W8" s="1233"/>
      <c r="X8" s="1234"/>
    </row>
    <row r="9" spans="1:24" ht="18" customHeight="1" x14ac:dyDescent="0.2">
      <c r="A9" s="2099" t="s">
        <v>189</v>
      </c>
      <c r="B9" s="2104" t="s">
        <v>194</v>
      </c>
      <c r="C9" s="2102" t="s">
        <v>1836</v>
      </c>
      <c r="D9" s="1206" t="s">
        <v>1834</v>
      </c>
      <c r="E9" s="1256" t="s">
        <v>162</v>
      </c>
      <c r="F9" s="1244" t="s">
        <v>91</v>
      </c>
      <c r="G9" s="1257" t="s">
        <v>1837</v>
      </c>
      <c r="H9" s="1245">
        <f>-688026+650526</f>
        <v>-37500</v>
      </c>
      <c r="I9" s="1233">
        <v>-4388</v>
      </c>
      <c r="J9" s="1233"/>
      <c r="K9" s="1233"/>
      <c r="L9" s="1233"/>
      <c r="M9" s="1233"/>
      <c r="N9" s="1233"/>
      <c r="O9" s="1233"/>
      <c r="P9" s="1234"/>
      <c r="Q9" s="1235"/>
      <c r="R9" s="1233"/>
      <c r="S9" s="1233"/>
      <c r="T9" s="1233"/>
      <c r="U9" s="1233"/>
      <c r="V9" s="1233"/>
      <c r="W9" s="1233"/>
      <c r="X9" s="1234"/>
    </row>
    <row r="10" spans="1:24" ht="18" customHeight="1" x14ac:dyDescent="0.2">
      <c r="A10" s="2100"/>
      <c r="B10" s="2107"/>
      <c r="C10" s="2106"/>
      <c r="D10" s="1206" t="s">
        <v>1834</v>
      </c>
      <c r="E10" s="1256" t="s">
        <v>162</v>
      </c>
      <c r="F10" s="1244" t="s">
        <v>132</v>
      </c>
      <c r="G10" s="1232" t="s">
        <v>1837</v>
      </c>
      <c r="H10" s="1233">
        <f>-205623+205623</f>
        <v>0</v>
      </c>
      <c r="I10" s="1245"/>
      <c r="J10" s="1245"/>
      <c r="K10" s="1245"/>
      <c r="L10" s="1245"/>
      <c r="M10" s="1245"/>
      <c r="N10" s="1245"/>
      <c r="O10" s="1245"/>
      <c r="P10" s="1246"/>
      <c r="Q10" s="1247"/>
      <c r="R10" s="1245"/>
      <c r="S10" s="1245"/>
      <c r="T10" s="1245"/>
      <c r="U10" s="1245"/>
      <c r="V10" s="1245"/>
      <c r="W10" s="1245"/>
      <c r="X10" s="1246"/>
    </row>
    <row r="11" spans="1:24" ht="18" customHeight="1" x14ac:dyDescent="0.2">
      <c r="A11" s="2101"/>
      <c r="B11" s="2105"/>
      <c r="C11" s="2103"/>
      <c r="D11" s="1206" t="s">
        <v>1834</v>
      </c>
      <c r="E11" s="1256" t="s">
        <v>760</v>
      </c>
      <c r="F11" s="1232" t="s">
        <v>151</v>
      </c>
      <c r="G11" s="1232" t="s">
        <v>1829</v>
      </c>
      <c r="H11" s="1233">
        <v>37500</v>
      </c>
      <c r="I11" s="1245">
        <v>4388</v>
      </c>
      <c r="J11" s="1245"/>
      <c r="K11" s="1245"/>
      <c r="L11" s="1245"/>
      <c r="M11" s="1245"/>
      <c r="N11" s="1245"/>
      <c r="O11" s="1245"/>
      <c r="P11" s="1246"/>
      <c r="Q11" s="1247"/>
      <c r="R11" s="1245"/>
      <c r="S11" s="1245"/>
      <c r="T11" s="1245"/>
      <c r="U11" s="1245"/>
      <c r="V11" s="1245"/>
      <c r="W11" s="1245"/>
      <c r="X11" s="1246"/>
    </row>
    <row r="12" spans="1:24" ht="18.75" customHeight="1" x14ac:dyDescent="0.2">
      <c r="A12" s="2099" t="s">
        <v>190</v>
      </c>
      <c r="B12" s="2104" t="s">
        <v>195</v>
      </c>
      <c r="C12" s="2102" t="s">
        <v>1841</v>
      </c>
      <c r="D12" s="1206" t="s">
        <v>1834</v>
      </c>
      <c r="E12" s="1256" t="s">
        <v>162</v>
      </c>
      <c r="F12" s="1244" t="s">
        <v>91</v>
      </c>
      <c r="G12" s="1232" t="s">
        <v>1837</v>
      </c>
      <c r="H12" s="1245">
        <f>-1207011+607011</f>
        <v>-600000</v>
      </c>
      <c r="I12" s="1245">
        <v>-80000</v>
      </c>
      <c r="J12" s="1245"/>
      <c r="K12" s="1245"/>
      <c r="L12" s="1245"/>
      <c r="M12" s="1245"/>
      <c r="N12" s="1245"/>
      <c r="O12" s="1245"/>
      <c r="P12" s="1246"/>
      <c r="Q12" s="1247"/>
      <c r="R12" s="1245"/>
      <c r="S12" s="1245"/>
      <c r="T12" s="1245"/>
      <c r="U12" s="1245"/>
      <c r="V12" s="1245"/>
      <c r="W12" s="1245"/>
      <c r="X12" s="1246"/>
    </row>
    <row r="13" spans="1:24" ht="18.75" customHeight="1" x14ac:dyDescent="0.2">
      <c r="A13" s="2100"/>
      <c r="B13" s="2107"/>
      <c r="C13" s="2106"/>
      <c r="D13" s="1206" t="s">
        <v>1834</v>
      </c>
      <c r="E13" s="1256" t="s">
        <v>162</v>
      </c>
      <c r="F13" s="1244" t="s">
        <v>132</v>
      </c>
      <c r="G13" s="1232" t="s">
        <v>1837</v>
      </c>
      <c r="H13" s="1245">
        <f>-100000+100000</f>
        <v>0</v>
      </c>
      <c r="I13" s="1245"/>
      <c r="J13" s="1245"/>
      <c r="K13" s="1245"/>
      <c r="L13" s="1245"/>
      <c r="M13" s="1245"/>
      <c r="N13" s="1245"/>
      <c r="O13" s="1245"/>
      <c r="P13" s="1246"/>
      <c r="Q13" s="1247"/>
      <c r="R13" s="1245"/>
      <c r="S13" s="1245"/>
      <c r="T13" s="1245"/>
      <c r="U13" s="1245"/>
      <c r="V13" s="1245"/>
      <c r="W13" s="1245"/>
      <c r="X13" s="1246"/>
    </row>
    <row r="14" spans="1:24" ht="18.75" customHeight="1" x14ac:dyDescent="0.2">
      <c r="A14" s="2101"/>
      <c r="B14" s="2105"/>
      <c r="C14" s="2103"/>
      <c r="D14" s="1206" t="s">
        <v>1834</v>
      </c>
      <c r="E14" s="1256" t="s">
        <v>760</v>
      </c>
      <c r="F14" s="1232" t="s">
        <v>151</v>
      </c>
      <c r="G14" s="1232" t="s">
        <v>1829</v>
      </c>
      <c r="H14" s="1233">
        <v>600000</v>
      </c>
      <c r="I14" s="1245">
        <v>80000</v>
      </c>
      <c r="J14" s="1245"/>
      <c r="K14" s="1245"/>
      <c r="L14" s="1245"/>
      <c r="M14" s="1245"/>
      <c r="N14" s="1245"/>
      <c r="O14" s="1245"/>
      <c r="P14" s="1246"/>
      <c r="Q14" s="1247"/>
      <c r="R14" s="1245"/>
      <c r="S14" s="1245"/>
      <c r="T14" s="1245"/>
      <c r="U14" s="1245"/>
      <c r="V14" s="1245"/>
      <c r="W14" s="1245"/>
      <c r="X14" s="1246"/>
    </row>
    <row r="15" spans="1:24" ht="33" customHeight="1" x14ac:dyDescent="0.2">
      <c r="A15" s="1646" t="s">
        <v>191</v>
      </c>
      <c r="B15" s="1283" t="s">
        <v>196</v>
      </c>
      <c r="C15" s="1641" t="s">
        <v>2180</v>
      </c>
      <c r="D15" s="1206" t="s">
        <v>1834</v>
      </c>
      <c r="E15" s="1256" t="s">
        <v>162</v>
      </c>
      <c r="F15" s="1232" t="s">
        <v>91</v>
      </c>
      <c r="G15" s="1232" t="s">
        <v>1837</v>
      </c>
      <c r="H15" s="1233"/>
      <c r="I15" s="1245"/>
      <c r="J15" s="1245">
        <f>-1996299+1996299</f>
        <v>0</v>
      </c>
      <c r="K15" s="1245"/>
      <c r="L15" s="1245"/>
      <c r="M15" s="1245"/>
      <c r="N15" s="1245"/>
      <c r="O15" s="1245"/>
      <c r="P15" s="1246"/>
      <c r="Q15" s="1247"/>
      <c r="R15" s="1245"/>
      <c r="S15" s="1245"/>
      <c r="T15" s="1245"/>
      <c r="U15" s="1245"/>
      <c r="V15" s="1245"/>
      <c r="W15" s="1245"/>
      <c r="X15" s="1246"/>
    </row>
    <row r="16" spans="1:24" ht="42" customHeight="1" x14ac:dyDescent="0.2">
      <c r="A16" s="1646" t="s">
        <v>192</v>
      </c>
      <c r="B16" s="1283" t="s">
        <v>197</v>
      </c>
      <c r="C16" s="1641" t="s">
        <v>2181</v>
      </c>
      <c r="D16" s="1206" t="s">
        <v>1834</v>
      </c>
      <c r="E16" s="1256" t="s">
        <v>162</v>
      </c>
      <c r="F16" s="1232" t="s">
        <v>132</v>
      </c>
      <c r="G16" s="1232" t="s">
        <v>1837</v>
      </c>
      <c r="H16" s="1233"/>
      <c r="I16" s="1245"/>
      <c r="J16" s="1245">
        <f>-20000+20000</f>
        <v>0</v>
      </c>
      <c r="K16" s="1245"/>
      <c r="L16" s="1245"/>
      <c r="M16" s="1245"/>
      <c r="N16" s="1245"/>
      <c r="O16" s="1245"/>
      <c r="P16" s="1246"/>
      <c r="Q16" s="1247"/>
      <c r="R16" s="1245"/>
      <c r="S16" s="1245"/>
      <c r="T16" s="1245"/>
      <c r="U16" s="1245"/>
      <c r="V16" s="1245"/>
      <c r="W16" s="1245"/>
      <c r="X16" s="1246"/>
    </row>
    <row r="17" spans="1:24" ht="31.5" customHeight="1" x14ac:dyDescent="0.2">
      <c r="A17" s="1646" t="s">
        <v>193</v>
      </c>
      <c r="B17" s="1283" t="s">
        <v>198</v>
      </c>
      <c r="C17" s="1641" t="s">
        <v>2182</v>
      </c>
      <c r="D17" s="1206" t="s">
        <v>1834</v>
      </c>
      <c r="E17" s="1256" t="s">
        <v>760</v>
      </c>
      <c r="F17" s="1232" t="s">
        <v>151</v>
      </c>
      <c r="G17" s="1232" t="s">
        <v>1837</v>
      </c>
      <c r="H17" s="1233"/>
      <c r="I17" s="1245"/>
      <c r="J17" s="1245">
        <f>-10000+10000</f>
        <v>0</v>
      </c>
      <c r="K17" s="1245"/>
      <c r="L17" s="1245"/>
      <c r="M17" s="1245"/>
      <c r="N17" s="1245"/>
      <c r="O17" s="1245"/>
      <c r="P17" s="1246"/>
      <c r="Q17" s="1247"/>
      <c r="R17" s="1245"/>
      <c r="S17" s="1245"/>
      <c r="T17" s="1245"/>
      <c r="U17" s="1245"/>
      <c r="V17" s="1245"/>
      <c r="W17" s="1245"/>
      <c r="X17" s="1246"/>
    </row>
    <row r="18" spans="1:24" ht="27" customHeight="1" x14ac:dyDescent="0.2">
      <c r="A18" s="2099" t="s">
        <v>194</v>
      </c>
      <c r="B18" s="2104" t="s">
        <v>225</v>
      </c>
      <c r="C18" s="2102" t="s">
        <v>2183</v>
      </c>
      <c r="D18" s="1206" t="s">
        <v>1834</v>
      </c>
      <c r="E18" s="1256" t="s">
        <v>1288</v>
      </c>
      <c r="F18" s="1232" t="s">
        <v>128</v>
      </c>
      <c r="G18" s="1232" t="s">
        <v>1829</v>
      </c>
      <c r="H18" s="1233"/>
      <c r="I18" s="1245"/>
      <c r="J18" s="1245"/>
      <c r="K18" s="1245"/>
      <c r="L18" s="1245"/>
      <c r="M18" s="1245"/>
      <c r="N18" s="1245"/>
      <c r="O18" s="1245"/>
      <c r="P18" s="1246"/>
      <c r="Q18" s="1247"/>
      <c r="R18" s="1245"/>
      <c r="S18" s="1245"/>
      <c r="T18" s="1245"/>
      <c r="U18" s="1245"/>
      <c r="V18" s="1245"/>
      <c r="W18" s="1245"/>
      <c r="X18" s="1246">
        <v>2535300</v>
      </c>
    </row>
    <row r="19" spans="1:24" ht="27" customHeight="1" x14ac:dyDescent="0.2">
      <c r="A19" s="2101"/>
      <c r="B19" s="2105"/>
      <c r="C19" s="2103"/>
      <c r="D19" s="1206" t="s">
        <v>1834</v>
      </c>
      <c r="E19" s="1256" t="s">
        <v>162</v>
      </c>
      <c r="F19" s="1232" t="s">
        <v>91</v>
      </c>
      <c r="G19" s="1232" t="s">
        <v>1829</v>
      </c>
      <c r="H19" s="1233"/>
      <c r="I19" s="1245"/>
      <c r="J19" s="1245">
        <f>1996299+539001</f>
        <v>2535300</v>
      </c>
      <c r="K19" s="1245"/>
      <c r="L19" s="1245"/>
      <c r="M19" s="1245"/>
      <c r="N19" s="1245"/>
      <c r="O19" s="1245"/>
      <c r="P19" s="1246"/>
      <c r="Q19" s="1247"/>
      <c r="R19" s="1245"/>
      <c r="S19" s="1245"/>
      <c r="T19" s="1245"/>
      <c r="U19" s="1245"/>
      <c r="V19" s="1245"/>
      <c r="W19" s="1245"/>
      <c r="X19" s="1246"/>
    </row>
    <row r="20" spans="1:24" ht="33" customHeight="1" x14ac:dyDescent="0.2">
      <c r="A20" s="1646" t="s">
        <v>195</v>
      </c>
      <c r="B20" s="1283" t="s">
        <v>226</v>
      </c>
      <c r="C20" s="1641" t="s">
        <v>2184</v>
      </c>
      <c r="D20" s="1206" t="s">
        <v>1834</v>
      </c>
      <c r="E20" s="1256" t="s">
        <v>162</v>
      </c>
      <c r="F20" s="1232" t="s">
        <v>132</v>
      </c>
      <c r="G20" s="1232" t="s">
        <v>1837</v>
      </c>
      <c r="H20" s="1233"/>
      <c r="I20" s="1245"/>
      <c r="J20" s="1245">
        <f>-425426+425426</f>
        <v>0</v>
      </c>
      <c r="K20" s="1245"/>
      <c r="L20" s="1245"/>
      <c r="M20" s="1245"/>
      <c r="N20" s="1245"/>
      <c r="O20" s="1245"/>
      <c r="P20" s="1246"/>
      <c r="Q20" s="1247"/>
      <c r="R20" s="1245"/>
      <c r="S20" s="1245"/>
      <c r="T20" s="1245"/>
      <c r="U20" s="1245"/>
      <c r="V20" s="1245"/>
      <c r="W20" s="1245"/>
      <c r="X20" s="1246"/>
    </row>
    <row r="21" spans="1:24" ht="58.5" customHeight="1" x14ac:dyDescent="0.2">
      <c r="A21" s="1646" t="s">
        <v>196</v>
      </c>
      <c r="B21" s="1283" t="s">
        <v>227</v>
      </c>
      <c r="C21" s="1641" t="s">
        <v>2185</v>
      </c>
      <c r="D21" s="1206" t="s">
        <v>1834</v>
      </c>
      <c r="E21" s="1256" t="s">
        <v>162</v>
      </c>
      <c r="F21" s="1232" t="s">
        <v>133</v>
      </c>
      <c r="G21" s="1232" t="s">
        <v>1829</v>
      </c>
      <c r="H21" s="1233"/>
      <c r="I21" s="1245"/>
      <c r="J21" s="1245">
        <f>275591+74409</f>
        <v>350000</v>
      </c>
      <c r="K21" s="1245"/>
      <c r="L21" s="1245"/>
      <c r="M21" s="1245"/>
      <c r="N21" s="1245"/>
      <c r="O21" s="1245"/>
      <c r="P21" s="1246"/>
      <c r="Q21" s="1247">
        <v>350000</v>
      </c>
      <c r="R21" s="1245"/>
      <c r="S21" s="1245"/>
      <c r="T21" s="1245"/>
      <c r="U21" s="1245"/>
      <c r="V21" s="1245"/>
      <c r="W21" s="1245"/>
      <c r="X21" s="1246"/>
    </row>
    <row r="22" spans="1:24" ht="27" customHeight="1" x14ac:dyDescent="0.2">
      <c r="A22" s="2099" t="s">
        <v>197</v>
      </c>
      <c r="B22" s="2104" t="s">
        <v>228</v>
      </c>
      <c r="C22" s="2102" t="s">
        <v>2186</v>
      </c>
      <c r="D22" s="1206" t="s">
        <v>1834</v>
      </c>
      <c r="E22" s="1256" t="s">
        <v>1288</v>
      </c>
      <c r="F22" s="1232" t="s">
        <v>128</v>
      </c>
      <c r="G22" s="1232" t="s">
        <v>1829</v>
      </c>
      <c r="H22" s="1233"/>
      <c r="I22" s="1245"/>
      <c r="J22" s="1245"/>
      <c r="K22" s="1245"/>
      <c r="L22" s="1245"/>
      <c r="M22" s="1245"/>
      <c r="N22" s="1245"/>
      <c r="O22" s="1245"/>
      <c r="P22" s="1246"/>
      <c r="Q22" s="1247"/>
      <c r="R22" s="1245"/>
      <c r="S22" s="1245"/>
      <c r="T22" s="1245"/>
      <c r="U22" s="1245"/>
      <c r="V22" s="1245"/>
      <c r="W22" s="1245"/>
      <c r="X22" s="1246">
        <v>540291</v>
      </c>
    </row>
    <row r="23" spans="1:24" ht="27" customHeight="1" x14ac:dyDescent="0.2">
      <c r="A23" s="2101"/>
      <c r="B23" s="2105"/>
      <c r="C23" s="2103"/>
      <c r="D23" s="1206" t="s">
        <v>1834</v>
      </c>
      <c r="E23" s="1256" t="s">
        <v>162</v>
      </c>
      <c r="F23" s="1232" t="s">
        <v>132</v>
      </c>
      <c r="G23" s="1232" t="s">
        <v>1829</v>
      </c>
      <c r="H23" s="1233"/>
      <c r="I23" s="1245"/>
      <c r="J23" s="1245">
        <f>425426+114865</f>
        <v>540291</v>
      </c>
      <c r="K23" s="1245"/>
      <c r="L23" s="1245"/>
      <c r="M23" s="1245"/>
      <c r="N23" s="1245"/>
      <c r="O23" s="1245"/>
      <c r="P23" s="1246"/>
      <c r="Q23" s="1247"/>
      <c r="R23" s="1245"/>
      <c r="S23" s="1245"/>
      <c r="T23" s="1245"/>
      <c r="U23" s="1245"/>
      <c r="V23" s="1245"/>
      <c r="W23" s="1245"/>
      <c r="X23" s="1246"/>
    </row>
    <row r="24" spans="1:24" ht="17.25" customHeight="1" x14ac:dyDescent="0.2">
      <c r="A24" s="2099" t="s">
        <v>198</v>
      </c>
      <c r="B24" s="2104" t="s">
        <v>229</v>
      </c>
      <c r="C24" s="2102" t="s">
        <v>1939</v>
      </c>
      <c r="D24" s="1206" t="s">
        <v>1834</v>
      </c>
      <c r="E24" s="1256" t="s">
        <v>162</v>
      </c>
      <c r="F24" s="1244" t="s">
        <v>91</v>
      </c>
      <c r="G24" s="1232" t="s">
        <v>1837</v>
      </c>
      <c r="H24" s="1245">
        <f>-484868+484868</f>
        <v>0</v>
      </c>
      <c r="I24" s="1245"/>
      <c r="J24" s="1245"/>
      <c r="K24" s="1245"/>
      <c r="L24" s="1245"/>
      <c r="M24" s="1245"/>
      <c r="N24" s="1245"/>
      <c r="O24" s="1245"/>
      <c r="P24" s="1246"/>
      <c r="Q24" s="1247"/>
      <c r="R24" s="1245"/>
      <c r="S24" s="1245"/>
      <c r="T24" s="1245"/>
      <c r="U24" s="1245"/>
      <c r="V24" s="1245"/>
      <c r="W24" s="1245"/>
      <c r="X24" s="1246"/>
    </row>
    <row r="25" spans="1:24" ht="17.25" customHeight="1" x14ac:dyDescent="0.2">
      <c r="A25" s="2101"/>
      <c r="B25" s="2105"/>
      <c r="C25" s="2103"/>
      <c r="D25" s="1206" t="s">
        <v>1834</v>
      </c>
      <c r="E25" s="1256" t="s">
        <v>162</v>
      </c>
      <c r="F25" s="1244" t="s">
        <v>132</v>
      </c>
      <c r="G25" s="1232" t="s">
        <v>1837</v>
      </c>
      <c r="H25" s="1245">
        <f>-206728+206728</f>
        <v>0</v>
      </c>
      <c r="I25" s="1245"/>
      <c r="J25" s="1245"/>
      <c r="K25" s="1245"/>
      <c r="L25" s="1245"/>
      <c r="M25" s="1245"/>
      <c r="N25" s="1245"/>
      <c r="O25" s="1245"/>
      <c r="P25" s="1246"/>
      <c r="Q25" s="1247"/>
      <c r="R25" s="1245"/>
      <c r="S25" s="1245"/>
      <c r="T25" s="1245"/>
      <c r="U25" s="1245"/>
      <c r="V25" s="1245"/>
      <c r="W25" s="1245"/>
      <c r="X25" s="1246"/>
    </row>
    <row r="26" spans="1:24" ht="42" customHeight="1" x14ac:dyDescent="0.2">
      <c r="A26" s="1646" t="s">
        <v>225</v>
      </c>
      <c r="B26" s="1283" t="s">
        <v>230</v>
      </c>
      <c r="C26" s="1641" t="s">
        <v>2187</v>
      </c>
      <c r="D26" s="1206" t="s">
        <v>1834</v>
      </c>
      <c r="E26" s="1256" t="s">
        <v>162</v>
      </c>
      <c r="F26" s="1244" t="s">
        <v>91</v>
      </c>
      <c r="G26" s="1232" t="s">
        <v>1829</v>
      </c>
      <c r="H26" s="1245"/>
      <c r="I26" s="1245"/>
      <c r="J26" s="1245">
        <v>5859</v>
      </c>
      <c r="K26" s="1245"/>
      <c r="L26" s="1245"/>
      <c r="M26" s="1245"/>
      <c r="N26" s="1245"/>
      <c r="O26" s="1245"/>
      <c r="P26" s="1246"/>
      <c r="Q26" s="1247"/>
      <c r="R26" s="1245"/>
      <c r="S26" s="1245"/>
      <c r="T26" s="1245">
        <v>5859</v>
      </c>
      <c r="U26" s="1245"/>
      <c r="V26" s="1245"/>
      <c r="W26" s="1245"/>
      <c r="X26" s="1246"/>
    </row>
    <row r="27" spans="1:24" ht="28.5" customHeight="1" x14ac:dyDescent="0.2">
      <c r="A27" s="2099" t="s">
        <v>226</v>
      </c>
      <c r="B27" s="2104" t="s">
        <v>231</v>
      </c>
      <c r="C27" s="2102" t="s">
        <v>2188</v>
      </c>
      <c r="D27" s="1206" t="s">
        <v>1834</v>
      </c>
      <c r="E27" s="1256" t="s">
        <v>1288</v>
      </c>
      <c r="F27" s="1244" t="s">
        <v>128</v>
      </c>
      <c r="G27" s="1232" t="s">
        <v>1829</v>
      </c>
      <c r="H27" s="1245"/>
      <c r="I27" s="1245"/>
      <c r="J27" s="1245"/>
      <c r="K27" s="1245"/>
      <c r="L27" s="1245"/>
      <c r="M27" s="1245"/>
      <c r="N27" s="1245"/>
      <c r="O27" s="1245"/>
      <c r="P27" s="1246"/>
      <c r="Q27" s="1247"/>
      <c r="R27" s="1245"/>
      <c r="S27" s="1245"/>
      <c r="T27" s="1245"/>
      <c r="U27" s="1245"/>
      <c r="V27" s="1245"/>
      <c r="W27" s="1245"/>
      <c r="X27" s="1246">
        <v>320000</v>
      </c>
    </row>
    <row r="28" spans="1:24" ht="28.5" customHeight="1" x14ac:dyDescent="0.2">
      <c r="A28" s="2101"/>
      <c r="B28" s="2105"/>
      <c r="C28" s="2103"/>
      <c r="D28" s="1206" t="s">
        <v>1834</v>
      </c>
      <c r="E28" s="1256" t="s">
        <v>162</v>
      </c>
      <c r="F28" s="1244" t="s">
        <v>133</v>
      </c>
      <c r="G28" s="1232" t="s">
        <v>1829</v>
      </c>
      <c r="H28" s="1245"/>
      <c r="I28" s="1245"/>
      <c r="J28" s="1245">
        <f>251969+68031</f>
        <v>320000</v>
      </c>
      <c r="K28" s="1245"/>
      <c r="L28" s="1245"/>
      <c r="M28" s="1245"/>
      <c r="N28" s="1245"/>
      <c r="O28" s="1245"/>
      <c r="P28" s="1246"/>
      <c r="Q28" s="1247"/>
      <c r="R28" s="1245"/>
      <c r="S28" s="1245"/>
      <c r="T28" s="1245"/>
      <c r="U28" s="1245"/>
      <c r="V28" s="1245"/>
      <c r="W28" s="1245"/>
      <c r="X28" s="1246"/>
    </row>
    <row r="29" spans="1:24" ht="23.25" customHeight="1" x14ac:dyDescent="0.2">
      <c r="A29" s="2099" t="s">
        <v>227</v>
      </c>
      <c r="B29" s="2104" t="s">
        <v>232</v>
      </c>
      <c r="C29" s="2102" t="s">
        <v>2032</v>
      </c>
      <c r="D29" s="1206" t="s">
        <v>1834</v>
      </c>
      <c r="E29" s="1256" t="s">
        <v>162</v>
      </c>
      <c r="F29" s="1244" t="s">
        <v>91</v>
      </c>
      <c r="G29" s="1232" t="s">
        <v>1837</v>
      </c>
      <c r="H29" s="1245">
        <f>-623077+623077</f>
        <v>0</v>
      </c>
      <c r="I29" s="1245"/>
      <c r="J29" s="1245"/>
      <c r="K29" s="1245"/>
      <c r="L29" s="1245"/>
      <c r="M29" s="1245"/>
      <c r="N29" s="1245"/>
      <c r="O29" s="1245"/>
      <c r="P29" s="1246"/>
      <c r="Q29" s="1247"/>
      <c r="R29" s="1245"/>
      <c r="S29" s="1245"/>
      <c r="T29" s="1245"/>
      <c r="U29" s="1245"/>
      <c r="V29" s="1245"/>
      <c r="W29" s="1245"/>
      <c r="X29" s="1246"/>
    </row>
    <row r="30" spans="1:24" ht="23.25" customHeight="1" x14ac:dyDescent="0.2">
      <c r="A30" s="2101"/>
      <c r="B30" s="2105"/>
      <c r="C30" s="2103"/>
      <c r="D30" s="1206" t="s">
        <v>1834</v>
      </c>
      <c r="E30" s="1256" t="s">
        <v>162</v>
      </c>
      <c r="F30" s="1244" t="s">
        <v>132</v>
      </c>
      <c r="G30" s="1232" t="s">
        <v>1837</v>
      </c>
      <c r="H30" s="1245">
        <f>-512579+512579</f>
        <v>0</v>
      </c>
      <c r="I30" s="1245"/>
      <c r="J30" s="1245"/>
      <c r="K30" s="1245"/>
      <c r="L30" s="1245"/>
      <c r="M30" s="1245"/>
      <c r="N30" s="1245"/>
      <c r="O30" s="1245"/>
      <c r="P30" s="1246"/>
      <c r="Q30" s="1247"/>
      <c r="R30" s="1245"/>
      <c r="S30" s="1245"/>
      <c r="T30" s="1245"/>
      <c r="U30" s="1245"/>
      <c r="V30" s="1245"/>
      <c r="W30" s="1245"/>
      <c r="X30" s="1246"/>
    </row>
    <row r="31" spans="1:24" ht="18.75" customHeight="1" x14ac:dyDescent="0.2">
      <c r="A31" s="2099" t="s">
        <v>228</v>
      </c>
      <c r="B31" s="2104" t="s">
        <v>233</v>
      </c>
      <c r="C31" s="2102" t="s">
        <v>2189</v>
      </c>
      <c r="D31" s="1206" t="s">
        <v>1834</v>
      </c>
      <c r="E31" s="1256" t="s">
        <v>1288</v>
      </c>
      <c r="F31" s="1244" t="s">
        <v>128</v>
      </c>
      <c r="G31" s="1232" t="s">
        <v>1829</v>
      </c>
      <c r="H31" s="1245"/>
      <c r="I31" s="1245"/>
      <c r="J31" s="1245"/>
      <c r="K31" s="1245"/>
      <c r="L31" s="1245"/>
      <c r="M31" s="1245"/>
      <c r="N31" s="1245"/>
      <c r="O31" s="1245"/>
      <c r="P31" s="1246"/>
      <c r="Q31" s="1247"/>
      <c r="R31" s="1245"/>
      <c r="S31" s="1245"/>
      <c r="T31" s="1245"/>
      <c r="U31" s="1245"/>
      <c r="V31" s="1245"/>
      <c r="W31" s="1245"/>
      <c r="X31" s="1246">
        <v>7447280</v>
      </c>
    </row>
    <row r="32" spans="1:24" ht="18.75" customHeight="1" x14ac:dyDescent="0.2">
      <c r="A32" s="2100"/>
      <c r="B32" s="2107"/>
      <c r="C32" s="2106"/>
      <c r="D32" s="1206" t="s">
        <v>1834</v>
      </c>
      <c r="E32" s="1256" t="s">
        <v>162</v>
      </c>
      <c r="F32" s="1244" t="s">
        <v>91</v>
      </c>
      <c r="G32" s="1232" t="s">
        <v>1829</v>
      </c>
      <c r="H32" s="1245"/>
      <c r="I32" s="1245"/>
      <c r="J32" s="1245">
        <f>5600000+1512000</f>
        <v>7112000</v>
      </c>
      <c r="K32" s="1245"/>
      <c r="L32" s="1245"/>
      <c r="M32" s="1245"/>
      <c r="N32" s="1245"/>
      <c r="O32" s="1245"/>
      <c r="P32" s="1246"/>
      <c r="Q32" s="1247"/>
      <c r="R32" s="1245"/>
      <c r="S32" s="1245"/>
      <c r="T32" s="1245"/>
      <c r="U32" s="1245"/>
      <c r="V32" s="1245"/>
      <c r="W32" s="1245"/>
      <c r="X32" s="1246"/>
    </row>
    <row r="33" spans="1:24" ht="18.75" customHeight="1" x14ac:dyDescent="0.2">
      <c r="A33" s="2101"/>
      <c r="B33" s="2105"/>
      <c r="C33" s="2103"/>
      <c r="D33" s="1206" t="s">
        <v>1834</v>
      </c>
      <c r="E33" s="1232" t="s">
        <v>162</v>
      </c>
      <c r="F33" s="1232" t="s">
        <v>132</v>
      </c>
      <c r="G33" s="1232" t="s">
        <v>1829</v>
      </c>
      <c r="H33" s="1233"/>
      <c r="I33" s="1245"/>
      <c r="J33" s="1245">
        <f>264000+71280</f>
        <v>335280</v>
      </c>
      <c r="K33" s="1245"/>
      <c r="L33" s="1245"/>
      <c r="M33" s="1245"/>
      <c r="N33" s="1245"/>
      <c r="O33" s="1245"/>
      <c r="P33" s="1246"/>
      <c r="Q33" s="1247"/>
      <c r="R33" s="1245"/>
      <c r="S33" s="1245"/>
      <c r="T33" s="1245"/>
      <c r="U33" s="1245"/>
      <c r="V33" s="1245"/>
      <c r="W33" s="1245"/>
      <c r="X33" s="1246"/>
    </row>
    <row r="34" spans="1:24" ht="40.5" customHeight="1" x14ac:dyDescent="0.2">
      <c r="A34" s="1645" t="s">
        <v>229</v>
      </c>
      <c r="B34" s="1458" t="s">
        <v>260</v>
      </c>
      <c r="C34" s="1640" t="s">
        <v>2190</v>
      </c>
      <c r="D34" s="1212" t="s">
        <v>1834</v>
      </c>
      <c r="E34" s="1244" t="s">
        <v>162</v>
      </c>
      <c r="F34" s="1244" t="s">
        <v>91</v>
      </c>
      <c r="G34" s="1244" t="s">
        <v>1829</v>
      </c>
      <c r="H34" s="1245"/>
      <c r="I34" s="1245"/>
      <c r="J34" s="1245">
        <v>300000</v>
      </c>
      <c r="K34" s="1245"/>
      <c r="L34" s="1245"/>
      <c r="M34" s="1245"/>
      <c r="N34" s="1245"/>
      <c r="O34" s="1245"/>
      <c r="P34" s="1246"/>
      <c r="Q34" s="1247"/>
      <c r="R34" s="1245"/>
      <c r="S34" s="1245"/>
      <c r="T34" s="1245">
        <v>300000</v>
      </c>
      <c r="U34" s="1245"/>
      <c r="V34" s="1245"/>
      <c r="W34" s="1245"/>
      <c r="X34" s="1246"/>
    </row>
    <row r="35" spans="1:24" ht="52.5" customHeight="1" x14ac:dyDescent="0.2">
      <c r="A35" s="1647" t="s">
        <v>230</v>
      </c>
      <c r="B35" s="1372" t="s">
        <v>261</v>
      </c>
      <c r="C35" s="1651" t="s">
        <v>2191</v>
      </c>
      <c r="D35" s="1212" t="s">
        <v>1834</v>
      </c>
      <c r="E35" s="1244" t="s">
        <v>162</v>
      </c>
      <c r="F35" s="1244" t="s">
        <v>132</v>
      </c>
      <c r="G35" s="1244" t="s">
        <v>1837</v>
      </c>
      <c r="H35" s="1245"/>
      <c r="I35" s="1245"/>
      <c r="J35" s="1245">
        <f>-250000-67500</f>
        <v>-317500</v>
      </c>
      <c r="K35" s="1245"/>
      <c r="L35" s="1245"/>
      <c r="M35" s="1245">
        <f>250000+67500</f>
        <v>317500</v>
      </c>
      <c r="N35" s="1245"/>
      <c r="O35" s="1245"/>
      <c r="P35" s="1246"/>
      <c r="Q35" s="1247"/>
      <c r="R35" s="1245"/>
      <c r="S35" s="1245"/>
      <c r="T35" s="1245"/>
      <c r="U35" s="1245"/>
      <c r="V35" s="1245"/>
      <c r="W35" s="1245"/>
      <c r="X35" s="1246"/>
    </row>
    <row r="36" spans="1:24" ht="18.75" x14ac:dyDescent="0.3">
      <c r="A36" s="2143" t="s">
        <v>1749</v>
      </c>
      <c r="B36" s="2144"/>
      <c r="C36" s="2083"/>
      <c r="D36" s="1179"/>
      <c r="E36" s="1179"/>
      <c r="F36" s="1179"/>
      <c r="G36" s="1179"/>
      <c r="H36" s="1365">
        <f t="shared" ref="H36:X36" si="0">SUM(H7:H35)</f>
        <v>0</v>
      </c>
      <c r="I36" s="1365">
        <f t="shared" si="0"/>
        <v>0</v>
      </c>
      <c r="J36" s="1365">
        <f t="shared" si="0"/>
        <v>11181230</v>
      </c>
      <c r="K36" s="1365">
        <f t="shared" si="0"/>
        <v>0</v>
      </c>
      <c r="L36" s="1365">
        <f t="shared" si="0"/>
        <v>0</v>
      </c>
      <c r="M36" s="1365">
        <f t="shared" si="0"/>
        <v>317500</v>
      </c>
      <c r="N36" s="1365">
        <f t="shared" si="0"/>
        <v>0</v>
      </c>
      <c r="O36" s="1365">
        <f t="shared" si="0"/>
        <v>0</v>
      </c>
      <c r="P36" s="1366">
        <f t="shared" si="0"/>
        <v>0</v>
      </c>
      <c r="Q36" s="1367">
        <f t="shared" si="0"/>
        <v>350000</v>
      </c>
      <c r="R36" s="1365">
        <f t="shared" si="0"/>
        <v>0</v>
      </c>
      <c r="S36" s="1365">
        <f t="shared" si="0"/>
        <v>0</v>
      </c>
      <c r="T36" s="1365">
        <f t="shared" si="0"/>
        <v>305859</v>
      </c>
      <c r="U36" s="1365">
        <f t="shared" si="0"/>
        <v>0</v>
      </c>
      <c r="V36" s="1365">
        <f t="shared" si="0"/>
        <v>0</v>
      </c>
      <c r="W36" s="1365">
        <f t="shared" si="0"/>
        <v>0</v>
      </c>
      <c r="X36" s="1366">
        <f t="shared" si="0"/>
        <v>10842871</v>
      </c>
    </row>
    <row r="37" spans="1:24" ht="21" customHeight="1" x14ac:dyDescent="0.3">
      <c r="A37" s="1217"/>
      <c r="B37" s="1217"/>
      <c r="C37" s="1258"/>
      <c r="D37" s="1192"/>
      <c r="E37" s="1192"/>
      <c r="F37" s="1192"/>
      <c r="G37" s="1192"/>
      <c r="H37" s="1252"/>
      <c r="I37" s="1252"/>
      <c r="J37" s="1252"/>
      <c r="K37" s="1252"/>
      <c r="L37" s="1252"/>
      <c r="M37" s="1252"/>
      <c r="N37" s="1252"/>
      <c r="O37" s="1252"/>
      <c r="P37" s="1252"/>
      <c r="Q37" s="1252"/>
      <c r="R37" s="1252"/>
      <c r="S37" s="1252"/>
      <c r="T37" s="1252"/>
      <c r="U37" s="1252"/>
      <c r="V37" s="1252"/>
      <c r="W37" s="1252"/>
      <c r="X37" s="1252"/>
    </row>
    <row r="38" spans="1:24" ht="21" customHeight="1" x14ac:dyDescent="0.3">
      <c r="A38" s="1217"/>
      <c r="B38" s="1217"/>
      <c r="C38" s="1258"/>
      <c r="D38" s="1192"/>
      <c r="E38" s="1192"/>
      <c r="F38" s="1192"/>
      <c r="G38" s="1192"/>
      <c r="H38" s="1193"/>
      <c r="I38" s="1193"/>
      <c r="J38" s="1193"/>
      <c r="K38" s="1193"/>
      <c r="L38" s="1193"/>
      <c r="M38" s="1193"/>
      <c r="N38" s="1193"/>
      <c r="O38" s="1193"/>
      <c r="P38" s="1193"/>
      <c r="Q38" s="1193"/>
      <c r="R38" s="1193"/>
      <c r="S38" s="1193"/>
      <c r="T38" s="1193"/>
      <c r="U38" s="1193"/>
      <c r="V38" s="1193"/>
      <c r="W38" s="1193"/>
      <c r="X38" s="1193"/>
    </row>
    <row r="39" spans="1:24" ht="15" x14ac:dyDescent="0.25">
      <c r="A39" s="1258"/>
      <c r="B39" s="1258"/>
      <c r="C39" s="1258"/>
      <c r="D39" s="1192"/>
      <c r="E39" s="1192"/>
      <c r="F39" s="1192"/>
      <c r="G39" s="1192"/>
      <c r="H39" s="1193"/>
      <c r="I39" s="1193"/>
      <c r="J39" s="1193"/>
      <c r="K39" s="1193"/>
      <c r="L39" s="1193"/>
      <c r="M39" s="1193"/>
      <c r="N39" s="1193"/>
      <c r="O39" s="1193"/>
      <c r="P39" s="1193"/>
      <c r="Q39" s="1193"/>
      <c r="R39" s="1193"/>
      <c r="S39" s="1193"/>
      <c r="T39" s="1193"/>
      <c r="U39" s="1193"/>
      <c r="V39" s="1193"/>
      <c r="W39" s="1193"/>
      <c r="X39" s="1193"/>
    </row>
    <row r="40" spans="1:24" ht="21" customHeight="1" x14ac:dyDescent="0.25">
      <c r="A40" s="1258"/>
      <c r="B40" s="1258"/>
      <c r="C40" s="1197"/>
      <c r="D40" s="1197"/>
      <c r="E40" s="1197"/>
      <c r="F40" s="1197"/>
      <c r="G40" s="1197"/>
      <c r="H40" s="1224"/>
      <c r="I40" s="2140" t="s">
        <v>1750</v>
      </c>
      <c r="J40" s="2142"/>
      <c r="K40" s="2141"/>
      <c r="L40" s="2140">
        <v>596269438</v>
      </c>
      <c r="M40" s="2141"/>
      <c r="N40" s="1225"/>
      <c r="O40" s="1225"/>
      <c r="P40" s="1225"/>
      <c r="Q40" s="1225"/>
      <c r="R40" s="2140" t="s">
        <v>1751</v>
      </c>
      <c r="S40" s="2142"/>
      <c r="T40" s="2141"/>
      <c r="U40" s="2140">
        <v>596269438</v>
      </c>
      <c r="V40" s="2141"/>
      <c r="W40" s="1224"/>
      <c r="X40" s="1224"/>
    </row>
    <row r="41" spans="1:24" ht="21" customHeight="1" x14ac:dyDescent="0.25">
      <c r="A41" s="1197"/>
      <c r="B41" s="1197"/>
      <c r="C41" s="1197"/>
      <c r="D41" s="1197"/>
      <c r="E41" s="1197"/>
      <c r="F41" s="1197"/>
      <c r="G41" s="1197"/>
      <c r="H41" s="1224"/>
      <c r="I41" s="2066" t="s">
        <v>3474</v>
      </c>
      <c r="J41" s="2066"/>
      <c r="K41" s="2066"/>
      <c r="L41" s="2140">
        <f>SUM(H36:P36)</f>
        <v>11498730</v>
      </c>
      <c r="M41" s="2141"/>
      <c r="N41" s="1225"/>
      <c r="O41" s="1225"/>
      <c r="P41" s="1225"/>
      <c r="Q41" s="1225"/>
      <c r="R41" s="2066" t="s">
        <v>3474</v>
      </c>
      <c r="S41" s="2066"/>
      <c r="T41" s="2066"/>
      <c r="U41" s="2140">
        <f>SUM(Q36:X36)</f>
        <v>11498730</v>
      </c>
      <c r="V41" s="2141"/>
      <c r="W41" s="1224"/>
      <c r="X41" s="1224"/>
    </row>
    <row r="42" spans="1:24" ht="23.25" customHeight="1" x14ac:dyDescent="0.25">
      <c r="A42" s="1197"/>
      <c r="B42" s="1197"/>
      <c r="C42" s="1197"/>
      <c r="D42" s="1197"/>
      <c r="E42" s="1197"/>
      <c r="F42" s="1197"/>
      <c r="G42" s="1197"/>
      <c r="H42" s="1224"/>
      <c r="I42" s="2140" t="s">
        <v>1561</v>
      </c>
      <c r="J42" s="2142"/>
      <c r="K42" s="2141"/>
      <c r="L42" s="2140">
        <f>+L40+L41</f>
        <v>607768168</v>
      </c>
      <c r="M42" s="2141"/>
      <c r="N42" s="1225"/>
      <c r="O42" s="1225"/>
      <c r="P42" s="1225"/>
      <c r="Q42" s="1225"/>
      <c r="R42" s="2140" t="s">
        <v>1561</v>
      </c>
      <c r="S42" s="2142"/>
      <c r="T42" s="2141"/>
      <c r="U42" s="2140">
        <f>+U40+U41</f>
        <v>607768168</v>
      </c>
      <c r="V42" s="2141"/>
      <c r="W42" s="1224"/>
      <c r="X42" s="1224"/>
    </row>
    <row r="43" spans="1:24" ht="15" x14ac:dyDescent="0.25">
      <c r="A43" s="1197"/>
      <c r="B43" s="1197"/>
      <c r="C43" s="1197"/>
      <c r="D43" s="1197"/>
      <c r="E43" s="1197"/>
      <c r="F43" s="1197"/>
      <c r="G43" s="1197"/>
      <c r="H43" s="1197"/>
      <c r="I43" s="1197"/>
      <c r="J43" s="1197"/>
      <c r="K43" s="1197"/>
      <c r="L43" s="1197"/>
      <c r="M43" s="1197"/>
      <c r="N43" s="1197"/>
      <c r="O43" s="1197"/>
      <c r="P43" s="1197"/>
      <c r="Q43" s="1197"/>
      <c r="R43" s="1197"/>
      <c r="S43" s="1197"/>
      <c r="T43" s="1197"/>
      <c r="U43" s="1197"/>
      <c r="V43" s="1197"/>
      <c r="W43" s="1197"/>
      <c r="X43" s="1197"/>
    </row>
    <row r="44" spans="1:24" x14ac:dyDescent="0.2">
      <c r="A44" s="348"/>
      <c r="B44" s="348"/>
      <c r="C44" s="348"/>
      <c r="D44" s="348"/>
      <c r="E44" s="348"/>
      <c r="F44" s="348"/>
      <c r="G44" s="348"/>
      <c r="H44" s="348"/>
      <c r="I44" s="348"/>
      <c r="J44" s="348"/>
      <c r="K44" s="348"/>
      <c r="L44" s="348"/>
      <c r="M44" s="348"/>
      <c r="N44" s="348"/>
      <c r="O44" s="348"/>
      <c r="P44" s="348"/>
      <c r="Q44" s="348"/>
      <c r="R44" s="348"/>
      <c r="S44" s="348"/>
      <c r="T44" s="348"/>
      <c r="U44" s="348"/>
      <c r="V44" s="348"/>
      <c r="W44" s="348"/>
      <c r="X44" s="348"/>
    </row>
    <row r="45" spans="1:24" x14ac:dyDescent="0.2">
      <c r="A45" s="348"/>
      <c r="B45" s="348"/>
      <c r="C45" s="348"/>
      <c r="D45" s="348"/>
      <c r="E45" s="348"/>
      <c r="F45" s="348"/>
      <c r="G45" s="348"/>
      <c r="H45" s="348"/>
      <c r="I45" s="348"/>
      <c r="J45" s="348"/>
      <c r="K45" s="348"/>
      <c r="L45" s="348"/>
      <c r="M45" s="348"/>
      <c r="N45" s="348"/>
      <c r="O45" s="348"/>
      <c r="P45" s="348"/>
      <c r="Q45" s="348"/>
      <c r="R45" s="348"/>
      <c r="S45" s="348"/>
      <c r="T45" s="348"/>
      <c r="U45" s="348"/>
      <c r="V45" s="348"/>
      <c r="W45" s="348"/>
      <c r="X45" s="348"/>
    </row>
    <row r="46" spans="1:24" ht="15.75" x14ac:dyDescent="0.25">
      <c r="A46" s="2069" t="s">
        <v>2641</v>
      </c>
      <c r="B46" s="2069"/>
      <c r="C46" s="2069"/>
      <c r="D46" s="2069"/>
      <c r="E46" s="2069"/>
      <c r="F46" s="2069"/>
      <c r="G46" s="2069"/>
      <c r="H46" s="2069"/>
      <c r="I46" s="2069"/>
      <c r="J46" s="2069"/>
      <c r="K46" s="2069"/>
      <c r="L46" s="2069"/>
      <c r="M46" s="2069"/>
      <c r="N46" s="2069"/>
      <c r="O46" s="2069"/>
      <c r="P46" s="2069"/>
      <c r="Q46" s="2069"/>
      <c r="R46" s="2069"/>
      <c r="S46" s="2069"/>
      <c r="T46" s="2069"/>
      <c r="U46" s="2069"/>
      <c r="V46" s="2069"/>
      <c r="W46" s="2069"/>
      <c r="X46" s="2069"/>
    </row>
    <row r="47" spans="1:24" ht="15" x14ac:dyDescent="0.25">
      <c r="A47" s="1195"/>
      <c r="B47" s="1195"/>
      <c r="C47" s="1195"/>
      <c r="D47" s="1195"/>
      <c r="E47" s="1195"/>
      <c r="F47" s="1195"/>
      <c r="G47" s="1195"/>
      <c r="H47" s="1195"/>
      <c r="I47" s="1195"/>
      <c r="J47" s="1195"/>
      <c r="K47" s="1195"/>
      <c r="L47" s="1195"/>
      <c r="M47" s="1195"/>
      <c r="N47" s="1195"/>
      <c r="O47" s="1195"/>
      <c r="P47" s="1195"/>
      <c r="Q47" s="1195"/>
      <c r="R47" s="1195"/>
      <c r="S47" s="1195"/>
      <c r="T47" s="1195"/>
      <c r="U47" s="1195"/>
      <c r="V47" s="1195"/>
      <c r="W47" s="1195"/>
      <c r="X47" s="1195"/>
    </row>
    <row r="48" spans="1:24" ht="15" x14ac:dyDescent="0.25">
      <c r="A48" s="2112" t="s">
        <v>88</v>
      </c>
      <c r="B48" s="2112"/>
      <c r="C48" s="2112"/>
      <c r="D48" s="2112"/>
      <c r="E48" s="2112"/>
      <c r="F48" s="2112"/>
      <c r="G48" s="2112"/>
      <c r="H48" s="2112"/>
      <c r="I48" s="2112"/>
      <c r="J48" s="2112"/>
      <c r="K48" s="2112"/>
      <c r="L48" s="2112"/>
      <c r="M48" s="2112"/>
      <c r="N48" s="2112"/>
      <c r="O48" s="2112"/>
      <c r="P48" s="2112"/>
      <c r="Q48" s="2112"/>
      <c r="R48" s="2112"/>
      <c r="S48" s="2112"/>
      <c r="T48" s="2112"/>
      <c r="U48" s="2112"/>
      <c r="V48" s="2112"/>
      <c r="W48" s="2112"/>
      <c r="X48" s="2112"/>
    </row>
    <row r="49" spans="1:24" ht="15" x14ac:dyDescent="0.25">
      <c r="A49" s="1197"/>
      <c r="B49" s="1197"/>
      <c r="C49" s="1197"/>
      <c r="D49" s="1197"/>
      <c r="E49" s="1197"/>
      <c r="F49" s="1197"/>
      <c r="G49" s="1197"/>
      <c r="H49" s="1197"/>
      <c r="I49" s="1197"/>
      <c r="J49" s="1197"/>
      <c r="K49" s="1197"/>
      <c r="L49" s="1197"/>
      <c r="M49" s="1197"/>
      <c r="N49" s="1197"/>
      <c r="O49" s="1197"/>
      <c r="P49" s="1197"/>
      <c r="Q49" s="1198"/>
      <c r="R49" s="1197"/>
      <c r="S49" s="1197"/>
      <c r="T49" s="1197"/>
      <c r="U49" s="1197"/>
      <c r="V49" s="1197"/>
      <c r="W49" s="1197"/>
      <c r="X49" s="1197"/>
    </row>
    <row r="50" spans="1:24" ht="15" customHeight="1" x14ac:dyDescent="0.25">
      <c r="A50" s="2124" t="s">
        <v>37</v>
      </c>
      <c r="B50" s="2093" t="s">
        <v>1726</v>
      </c>
      <c r="C50" s="2123" t="s">
        <v>2</v>
      </c>
      <c r="D50" s="2147" t="s">
        <v>1727</v>
      </c>
      <c r="E50" s="2147" t="s">
        <v>117</v>
      </c>
      <c r="F50" s="2147" t="s">
        <v>1728</v>
      </c>
      <c r="G50" s="2147" t="s">
        <v>1729</v>
      </c>
      <c r="H50" s="2133" t="s">
        <v>1730</v>
      </c>
      <c r="I50" s="2149"/>
      <c r="J50" s="2149"/>
      <c r="K50" s="2149"/>
      <c r="L50" s="2149"/>
      <c r="M50" s="2149"/>
      <c r="N50" s="2149"/>
      <c r="O50" s="2149"/>
      <c r="P50" s="1661"/>
      <c r="Q50" s="2149" t="s">
        <v>1731</v>
      </c>
      <c r="R50" s="2149"/>
      <c r="S50" s="2149"/>
      <c r="T50" s="2149"/>
      <c r="U50" s="2149"/>
      <c r="V50" s="2149"/>
      <c r="W50" s="2149"/>
      <c r="X50" s="2150"/>
    </row>
    <row r="51" spans="1:24" ht="83.25" customHeight="1" x14ac:dyDescent="0.2">
      <c r="A51" s="2145"/>
      <c r="B51" s="2094"/>
      <c r="C51" s="2146"/>
      <c r="D51" s="2148"/>
      <c r="E51" s="2148"/>
      <c r="F51" s="2148"/>
      <c r="G51" s="2148"/>
      <c r="H51" s="1154" t="s">
        <v>2385</v>
      </c>
      <c r="I51" s="1154" t="s">
        <v>1785</v>
      </c>
      <c r="J51" s="1154" t="s">
        <v>1786</v>
      </c>
      <c r="K51" s="1154" t="s">
        <v>1787</v>
      </c>
      <c r="L51" s="1154" t="s">
        <v>1788</v>
      </c>
      <c r="M51" s="1154" t="s">
        <v>1756</v>
      </c>
      <c r="N51" s="1154" t="s">
        <v>1757</v>
      </c>
      <c r="O51" s="1157" t="s">
        <v>1739</v>
      </c>
      <c r="P51" s="1159" t="s">
        <v>1758</v>
      </c>
      <c r="Q51" s="1227" t="s">
        <v>1741</v>
      </c>
      <c r="R51" s="1154" t="s">
        <v>1742</v>
      </c>
      <c r="S51" s="1154" t="s">
        <v>1770</v>
      </c>
      <c r="T51" s="1154" t="s">
        <v>1761</v>
      </c>
      <c r="U51" s="1154" t="s">
        <v>1745</v>
      </c>
      <c r="V51" s="1154" t="s">
        <v>1746</v>
      </c>
      <c r="W51" s="1154" t="s">
        <v>1747</v>
      </c>
      <c r="X51" s="1159" t="s">
        <v>1789</v>
      </c>
    </row>
    <row r="52" spans="1:24" ht="21" customHeight="1" x14ac:dyDescent="0.2">
      <c r="A52" s="2124" t="s">
        <v>231</v>
      </c>
      <c r="B52" s="2123" t="s">
        <v>262</v>
      </c>
      <c r="C52" s="2122" t="s">
        <v>2255</v>
      </c>
      <c r="D52" s="1201" t="s">
        <v>1834</v>
      </c>
      <c r="E52" s="1243" t="s">
        <v>1288</v>
      </c>
      <c r="F52" s="1243" t="s">
        <v>128</v>
      </c>
      <c r="G52" s="1243" t="s">
        <v>1829</v>
      </c>
      <c r="H52" s="1253"/>
      <c r="I52" s="1253"/>
      <c r="J52" s="1253"/>
      <c r="K52" s="1253"/>
      <c r="L52" s="1253"/>
      <c r="M52" s="1253"/>
      <c r="N52" s="1253"/>
      <c r="O52" s="1253"/>
      <c r="P52" s="1254"/>
      <c r="Q52" s="1255"/>
      <c r="R52" s="1253"/>
      <c r="S52" s="1253"/>
      <c r="T52" s="1253"/>
      <c r="U52" s="1253"/>
      <c r="V52" s="1253"/>
      <c r="W52" s="1253"/>
      <c r="X52" s="1254">
        <v>12119250</v>
      </c>
    </row>
    <row r="53" spans="1:24" ht="21" customHeight="1" x14ac:dyDescent="0.2">
      <c r="A53" s="2100"/>
      <c r="B53" s="2107"/>
      <c r="C53" s="2106"/>
      <c r="D53" s="1206" t="s">
        <v>1834</v>
      </c>
      <c r="E53" s="1232" t="s">
        <v>162</v>
      </c>
      <c r="F53" s="1232" t="s">
        <v>91</v>
      </c>
      <c r="G53" s="1232" t="s">
        <v>1829</v>
      </c>
      <c r="H53" s="1233">
        <v>7575000</v>
      </c>
      <c r="I53" s="1233">
        <v>984750</v>
      </c>
      <c r="J53" s="1233"/>
      <c r="K53" s="1233"/>
      <c r="L53" s="1233"/>
      <c r="M53" s="1233"/>
      <c r="N53" s="1233"/>
      <c r="O53" s="1233"/>
      <c r="P53" s="1234"/>
      <c r="Q53" s="1235"/>
      <c r="R53" s="1233"/>
      <c r="S53" s="1233"/>
      <c r="T53" s="1233"/>
      <c r="U53" s="1233"/>
      <c r="V53" s="1233"/>
      <c r="W53" s="1233"/>
      <c r="X53" s="1234"/>
    </row>
    <row r="54" spans="1:24" ht="21" customHeight="1" x14ac:dyDescent="0.2">
      <c r="A54" s="2101"/>
      <c r="B54" s="2105"/>
      <c r="C54" s="2103"/>
      <c r="D54" s="1206" t="s">
        <v>1834</v>
      </c>
      <c r="E54" s="1232" t="s">
        <v>162</v>
      </c>
      <c r="F54" s="1232" t="s">
        <v>132</v>
      </c>
      <c r="G54" s="1232" t="s">
        <v>1829</v>
      </c>
      <c r="H54" s="1233">
        <v>3150000</v>
      </c>
      <c r="I54" s="1233">
        <v>409500</v>
      </c>
      <c r="J54" s="1233"/>
      <c r="K54" s="1233"/>
      <c r="L54" s="1233"/>
      <c r="M54" s="1233"/>
      <c r="N54" s="1233"/>
      <c r="O54" s="1233"/>
      <c r="P54" s="1234"/>
      <c r="Q54" s="1235"/>
      <c r="R54" s="1233"/>
      <c r="S54" s="1233"/>
      <c r="T54" s="1233"/>
      <c r="U54" s="1233"/>
      <c r="V54" s="1233"/>
      <c r="W54" s="1233"/>
      <c r="X54" s="1234"/>
    </row>
    <row r="55" spans="1:24" ht="20.25" customHeight="1" x14ac:dyDescent="0.2">
      <c r="A55" s="2099" t="s">
        <v>232</v>
      </c>
      <c r="B55" s="2104" t="s">
        <v>263</v>
      </c>
      <c r="C55" s="2102" t="s">
        <v>2256</v>
      </c>
      <c r="D55" s="1206" t="s">
        <v>1834</v>
      </c>
      <c r="E55" s="1232" t="s">
        <v>162</v>
      </c>
      <c r="F55" s="1232" t="s">
        <v>91</v>
      </c>
      <c r="G55" s="1232" t="s">
        <v>1837</v>
      </c>
      <c r="H55" s="1233">
        <f>-541522+541522</f>
        <v>0</v>
      </c>
      <c r="I55" s="1233"/>
      <c r="J55" s="1233"/>
      <c r="K55" s="1233"/>
      <c r="L55" s="1233"/>
      <c r="M55" s="1233"/>
      <c r="N55" s="1233"/>
      <c r="O55" s="1233"/>
      <c r="P55" s="1234"/>
      <c r="Q55" s="1235"/>
      <c r="R55" s="1233"/>
      <c r="S55" s="1233"/>
      <c r="T55" s="1233"/>
      <c r="U55" s="1233"/>
      <c r="V55" s="1233"/>
      <c r="W55" s="1233"/>
      <c r="X55" s="1234"/>
    </row>
    <row r="56" spans="1:24" ht="20.25" customHeight="1" x14ac:dyDescent="0.2">
      <c r="A56" s="2101"/>
      <c r="B56" s="2105"/>
      <c r="C56" s="2103"/>
      <c r="D56" s="1206" t="s">
        <v>1834</v>
      </c>
      <c r="E56" s="1232" t="s">
        <v>162</v>
      </c>
      <c r="F56" s="1232" t="s">
        <v>132</v>
      </c>
      <c r="G56" s="1232" t="s">
        <v>1837</v>
      </c>
      <c r="H56" s="1233">
        <f>-139134+139134</f>
        <v>0</v>
      </c>
      <c r="I56" s="1233"/>
      <c r="J56" s="1233"/>
      <c r="K56" s="1233"/>
      <c r="L56" s="1233"/>
      <c r="M56" s="1233"/>
      <c r="N56" s="1233"/>
      <c r="O56" s="1233"/>
      <c r="P56" s="1234"/>
      <c r="Q56" s="1235"/>
      <c r="R56" s="1233"/>
      <c r="S56" s="1233"/>
      <c r="T56" s="1233"/>
      <c r="U56" s="1233"/>
      <c r="V56" s="1233"/>
      <c r="W56" s="1233"/>
      <c r="X56" s="1234"/>
    </row>
    <row r="57" spans="1:24" ht="39" customHeight="1" x14ac:dyDescent="0.2">
      <c r="A57" s="1646" t="s">
        <v>233</v>
      </c>
      <c r="B57" s="1643" t="s">
        <v>264</v>
      </c>
      <c r="C57" s="1641" t="s">
        <v>2272</v>
      </c>
      <c r="D57" s="1206" t="s">
        <v>1834</v>
      </c>
      <c r="E57" s="1232" t="s">
        <v>162</v>
      </c>
      <c r="F57" s="1232" t="s">
        <v>91</v>
      </c>
      <c r="G57" s="1232" t="s">
        <v>1837</v>
      </c>
      <c r="H57" s="1233"/>
      <c r="I57" s="1233"/>
      <c r="J57" s="1233">
        <f>-425197-114803</f>
        <v>-540000</v>
      </c>
      <c r="K57" s="1233"/>
      <c r="L57" s="1233"/>
      <c r="M57" s="1233">
        <f>425197+114803</f>
        <v>540000</v>
      </c>
      <c r="N57" s="1233"/>
      <c r="O57" s="1233"/>
      <c r="P57" s="1234"/>
      <c r="Q57" s="1235"/>
      <c r="R57" s="1233"/>
      <c r="S57" s="1233"/>
      <c r="T57" s="1233"/>
      <c r="U57" s="1233"/>
      <c r="V57" s="1233"/>
      <c r="W57" s="1233"/>
      <c r="X57" s="1234"/>
    </row>
    <row r="58" spans="1:24" ht="44.25" customHeight="1" x14ac:dyDescent="0.2">
      <c r="A58" s="1650" t="s">
        <v>260</v>
      </c>
      <c r="B58" s="1649" t="s">
        <v>265</v>
      </c>
      <c r="C58" s="1205" t="s">
        <v>2317</v>
      </c>
      <c r="D58" s="1206" t="s">
        <v>1834</v>
      </c>
      <c r="E58" s="1232" t="s">
        <v>1288</v>
      </c>
      <c r="F58" s="1232" t="s">
        <v>128</v>
      </c>
      <c r="G58" s="1232" t="s">
        <v>1829</v>
      </c>
      <c r="H58" s="1233"/>
      <c r="I58" s="1233"/>
      <c r="J58" s="1233"/>
      <c r="K58" s="1233"/>
      <c r="L58" s="1233">
        <v>5361669</v>
      </c>
      <c r="M58" s="1233"/>
      <c r="N58" s="1233"/>
      <c r="O58" s="1233"/>
      <c r="P58" s="1234"/>
      <c r="Q58" s="1235"/>
      <c r="R58" s="1233"/>
      <c r="S58" s="1233"/>
      <c r="T58" s="1233"/>
      <c r="U58" s="1233"/>
      <c r="V58" s="1233"/>
      <c r="W58" s="1233"/>
      <c r="X58" s="1234">
        <v>5361669</v>
      </c>
    </row>
    <row r="59" spans="1:24" ht="36" customHeight="1" x14ac:dyDescent="0.2">
      <c r="A59" s="1647" t="s">
        <v>261</v>
      </c>
      <c r="B59" s="1652" t="s">
        <v>266</v>
      </c>
      <c r="C59" s="1211" t="s">
        <v>2344</v>
      </c>
      <c r="D59" s="1212" t="s">
        <v>1834</v>
      </c>
      <c r="E59" s="1244" t="s">
        <v>162</v>
      </c>
      <c r="F59" s="1244" t="s">
        <v>91</v>
      </c>
      <c r="G59" s="1244" t="s">
        <v>1829</v>
      </c>
      <c r="H59" s="1245"/>
      <c r="I59" s="1245"/>
      <c r="J59" s="1245">
        <v>153883</v>
      </c>
      <c r="K59" s="1245"/>
      <c r="L59" s="1245"/>
      <c r="M59" s="1245"/>
      <c r="N59" s="1245"/>
      <c r="O59" s="1245"/>
      <c r="P59" s="1246"/>
      <c r="Q59" s="1247"/>
      <c r="R59" s="1245"/>
      <c r="S59" s="1245"/>
      <c r="T59" s="1245">
        <v>153883</v>
      </c>
      <c r="U59" s="1245"/>
      <c r="V59" s="1245"/>
      <c r="W59" s="1245"/>
      <c r="X59" s="1246"/>
    </row>
    <row r="60" spans="1:24" ht="44.25" customHeight="1" x14ac:dyDescent="0.2">
      <c r="A60" s="1647" t="s">
        <v>262</v>
      </c>
      <c r="B60" s="1652" t="s">
        <v>267</v>
      </c>
      <c r="C60" s="1211" t="s">
        <v>2377</v>
      </c>
      <c r="D60" s="1212" t="s">
        <v>1834</v>
      </c>
      <c r="E60" s="1244" t="s">
        <v>162</v>
      </c>
      <c r="F60" s="1244" t="s">
        <v>91</v>
      </c>
      <c r="G60" s="1244" t="s">
        <v>1837</v>
      </c>
      <c r="H60" s="1245"/>
      <c r="I60" s="1245"/>
      <c r="J60" s="1245">
        <f>-200000+200000</f>
        <v>0</v>
      </c>
      <c r="K60" s="1245"/>
      <c r="L60" s="1245"/>
      <c r="M60" s="1245"/>
      <c r="N60" s="1245"/>
      <c r="O60" s="1245"/>
      <c r="P60" s="1246"/>
      <c r="Q60" s="1247"/>
      <c r="R60" s="1245"/>
      <c r="S60" s="1245"/>
      <c r="T60" s="1245"/>
      <c r="U60" s="1245"/>
      <c r="V60" s="1245"/>
      <c r="W60" s="1245"/>
      <c r="X60" s="1246"/>
    </row>
    <row r="61" spans="1:24" ht="23.25" customHeight="1" x14ac:dyDescent="0.2">
      <c r="A61" s="2099" t="s">
        <v>263</v>
      </c>
      <c r="B61" s="2104" t="s">
        <v>268</v>
      </c>
      <c r="C61" s="2102" t="s">
        <v>2404</v>
      </c>
      <c r="D61" s="1212" t="s">
        <v>1834</v>
      </c>
      <c r="E61" s="1244" t="s">
        <v>162</v>
      </c>
      <c r="F61" s="1244" t="s">
        <v>91</v>
      </c>
      <c r="G61" s="1244" t="s">
        <v>1837</v>
      </c>
      <c r="H61" s="1245">
        <f>-675967+675967</f>
        <v>0</v>
      </c>
      <c r="I61" s="1245"/>
      <c r="J61" s="1245"/>
      <c r="K61" s="1245"/>
      <c r="L61" s="1245"/>
      <c r="M61" s="1245"/>
      <c r="N61" s="1245"/>
      <c r="O61" s="1245"/>
      <c r="P61" s="1246"/>
      <c r="Q61" s="1247"/>
      <c r="R61" s="1245"/>
      <c r="S61" s="1245"/>
      <c r="T61" s="1245"/>
      <c r="U61" s="1245"/>
      <c r="V61" s="1245"/>
      <c r="W61" s="1245"/>
      <c r="X61" s="1246"/>
    </row>
    <row r="62" spans="1:24" ht="23.25" customHeight="1" x14ac:dyDescent="0.2">
      <c r="A62" s="2101"/>
      <c r="B62" s="2105"/>
      <c r="C62" s="2103"/>
      <c r="D62" s="1212" t="s">
        <v>1834</v>
      </c>
      <c r="E62" s="1244" t="s">
        <v>162</v>
      </c>
      <c r="F62" s="1244" t="s">
        <v>132</v>
      </c>
      <c r="G62" s="1244" t="s">
        <v>1837</v>
      </c>
      <c r="H62" s="1245">
        <f>-100000+100000</f>
        <v>0</v>
      </c>
      <c r="I62" s="1245"/>
      <c r="J62" s="1245"/>
      <c r="K62" s="1245"/>
      <c r="L62" s="1245"/>
      <c r="M62" s="1245"/>
      <c r="N62" s="1245"/>
      <c r="O62" s="1245"/>
      <c r="P62" s="1246"/>
      <c r="Q62" s="1247"/>
      <c r="R62" s="1245"/>
      <c r="S62" s="1245"/>
      <c r="T62" s="1245"/>
      <c r="U62" s="1245"/>
      <c r="V62" s="1245"/>
      <c r="W62" s="1245"/>
      <c r="X62" s="1246"/>
    </row>
    <row r="63" spans="1:24" ht="32.25" customHeight="1" x14ac:dyDescent="0.2">
      <c r="A63" s="2099" t="s">
        <v>264</v>
      </c>
      <c r="B63" s="2104" t="s">
        <v>269</v>
      </c>
      <c r="C63" s="2102" t="s">
        <v>2408</v>
      </c>
      <c r="D63" s="1212" t="s">
        <v>1834</v>
      </c>
      <c r="E63" s="1244" t="s">
        <v>1288</v>
      </c>
      <c r="F63" s="1244" t="s">
        <v>128</v>
      </c>
      <c r="G63" s="1244" t="s">
        <v>1829</v>
      </c>
      <c r="H63" s="1245"/>
      <c r="I63" s="1245"/>
      <c r="J63" s="1245"/>
      <c r="K63" s="1245"/>
      <c r="L63" s="1245"/>
      <c r="M63" s="1245"/>
      <c r="N63" s="1245"/>
      <c r="O63" s="1245"/>
      <c r="P63" s="1246"/>
      <c r="Q63" s="1247"/>
      <c r="R63" s="1245"/>
      <c r="S63" s="1245"/>
      <c r="T63" s="1245"/>
      <c r="U63" s="1245"/>
      <c r="V63" s="1245"/>
      <c r="W63" s="1245"/>
      <c r="X63" s="1246">
        <v>1139176</v>
      </c>
    </row>
    <row r="64" spans="1:24" ht="32.25" customHeight="1" x14ac:dyDescent="0.2">
      <c r="A64" s="2101"/>
      <c r="B64" s="2105"/>
      <c r="C64" s="2103"/>
      <c r="D64" s="1212" t="s">
        <v>1834</v>
      </c>
      <c r="E64" s="1244" t="s">
        <v>162</v>
      </c>
      <c r="F64" s="1244" t="s">
        <v>91</v>
      </c>
      <c r="G64" s="1244" t="s">
        <v>1829</v>
      </c>
      <c r="H64" s="1245">
        <v>1008120</v>
      </c>
      <c r="I64" s="1245">
        <v>131056</v>
      </c>
      <c r="J64" s="1245"/>
      <c r="K64" s="1245"/>
      <c r="L64" s="1245"/>
      <c r="M64" s="1245"/>
      <c r="N64" s="1245"/>
      <c r="O64" s="1245"/>
      <c r="P64" s="1246"/>
      <c r="Q64" s="1247"/>
      <c r="R64" s="1245"/>
      <c r="S64" s="1245"/>
      <c r="T64" s="1245"/>
      <c r="U64" s="1245"/>
      <c r="V64" s="1245"/>
      <c r="W64" s="1245"/>
      <c r="X64" s="1246"/>
    </row>
    <row r="65" spans="1:24" ht="44.25" customHeight="1" x14ac:dyDescent="0.2">
      <c r="A65" s="1647" t="s">
        <v>265</v>
      </c>
      <c r="B65" s="1652" t="s">
        <v>270</v>
      </c>
      <c r="C65" s="1211" t="s">
        <v>2474</v>
      </c>
      <c r="D65" s="1212" t="s">
        <v>1834</v>
      </c>
      <c r="E65" s="1244" t="s">
        <v>162</v>
      </c>
      <c r="F65" s="1244" t="s">
        <v>132</v>
      </c>
      <c r="G65" s="1244" t="s">
        <v>1837</v>
      </c>
      <c r="H65" s="1245"/>
      <c r="I65" s="1245"/>
      <c r="J65" s="1245">
        <f>-169319-45716</f>
        <v>-215035</v>
      </c>
      <c r="K65" s="1245"/>
      <c r="L65" s="1245"/>
      <c r="M65" s="1245">
        <f>169319+45716</f>
        <v>215035</v>
      </c>
      <c r="N65" s="1245"/>
      <c r="O65" s="1245"/>
      <c r="P65" s="1246"/>
      <c r="Q65" s="1247"/>
      <c r="R65" s="1245"/>
      <c r="S65" s="1245"/>
      <c r="T65" s="1245"/>
      <c r="U65" s="1245"/>
      <c r="V65" s="1245"/>
      <c r="W65" s="1245"/>
      <c r="X65" s="1246"/>
    </row>
    <row r="66" spans="1:24" ht="22.5" customHeight="1" x14ac:dyDescent="0.2">
      <c r="A66" s="2099" t="s">
        <v>266</v>
      </c>
      <c r="B66" s="2104" t="s">
        <v>271</v>
      </c>
      <c r="C66" s="2102" t="s">
        <v>2526</v>
      </c>
      <c r="D66" s="1212" t="s">
        <v>1834</v>
      </c>
      <c r="E66" s="1244" t="s">
        <v>162</v>
      </c>
      <c r="F66" s="1244" t="s">
        <v>91</v>
      </c>
      <c r="G66" s="1244" t="s">
        <v>1837</v>
      </c>
      <c r="H66" s="1245">
        <f>-71725+71725</f>
        <v>0</v>
      </c>
      <c r="I66" s="1245"/>
      <c r="J66" s="1245"/>
      <c r="K66" s="1245"/>
      <c r="L66" s="1245"/>
      <c r="M66" s="1245"/>
      <c r="N66" s="1245"/>
      <c r="O66" s="1245"/>
      <c r="P66" s="1246"/>
      <c r="Q66" s="1247"/>
      <c r="R66" s="1245"/>
      <c r="S66" s="1245"/>
      <c r="T66" s="1245"/>
      <c r="U66" s="1245"/>
      <c r="V66" s="1245"/>
      <c r="W66" s="1245"/>
      <c r="X66" s="1246"/>
    </row>
    <row r="67" spans="1:24" ht="22.5" customHeight="1" x14ac:dyDescent="0.2">
      <c r="A67" s="2101"/>
      <c r="B67" s="2105"/>
      <c r="C67" s="2103"/>
      <c r="D67" s="1212" t="s">
        <v>1834</v>
      </c>
      <c r="E67" s="1244" t="s">
        <v>162</v>
      </c>
      <c r="F67" s="1244" t="s">
        <v>132</v>
      </c>
      <c r="G67" s="1244" t="s">
        <v>1837</v>
      </c>
      <c r="H67" s="1245">
        <f>-350000+300000+50000</f>
        <v>0</v>
      </c>
      <c r="I67" s="1245"/>
      <c r="J67" s="1245"/>
      <c r="K67" s="1245"/>
      <c r="L67" s="1245"/>
      <c r="M67" s="1245"/>
      <c r="N67" s="1245"/>
      <c r="O67" s="1245"/>
      <c r="P67" s="1246"/>
      <c r="Q67" s="1247"/>
      <c r="R67" s="1245"/>
      <c r="S67" s="1245"/>
      <c r="T67" s="1245"/>
      <c r="U67" s="1245"/>
      <c r="V67" s="1245"/>
      <c r="W67" s="1245"/>
      <c r="X67" s="1246"/>
    </row>
    <row r="68" spans="1:24" ht="44.25" customHeight="1" x14ac:dyDescent="0.2">
      <c r="A68" s="1647" t="s">
        <v>267</v>
      </c>
      <c r="B68" s="1652" t="s">
        <v>272</v>
      </c>
      <c r="C68" s="1211" t="s">
        <v>2578</v>
      </c>
      <c r="D68" s="1212" t="s">
        <v>1834</v>
      </c>
      <c r="E68" s="1244" t="s">
        <v>162</v>
      </c>
      <c r="F68" s="1244" t="s">
        <v>91</v>
      </c>
      <c r="G68" s="1244" t="s">
        <v>1837</v>
      </c>
      <c r="H68" s="1245"/>
      <c r="I68" s="1245"/>
      <c r="J68" s="1245"/>
      <c r="K68" s="1245"/>
      <c r="L68" s="1245"/>
      <c r="M68" s="1245">
        <f>-30000+30000</f>
        <v>0</v>
      </c>
      <c r="N68" s="1245"/>
      <c r="O68" s="1245"/>
      <c r="P68" s="1246"/>
      <c r="Q68" s="1247"/>
      <c r="R68" s="1245"/>
      <c r="S68" s="1245"/>
      <c r="T68" s="1245"/>
      <c r="U68" s="1245"/>
      <c r="V68" s="1245"/>
      <c r="W68" s="1245"/>
      <c r="X68" s="1246"/>
    </row>
    <row r="69" spans="1:24" ht="41.25" customHeight="1" x14ac:dyDescent="0.2">
      <c r="A69" s="1647" t="s">
        <v>268</v>
      </c>
      <c r="B69" s="1652" t="s">
        <v>276</v>
      </c>
      <c r="C69" s="1211" t="s">
        <v>2610</v>
      </c>
      <c r="D69" s="1212" t="s">
        <v>1834</v>
      </c>
      <c r="E69" s="1244" t="s">
        <v>162</v>
      </c>
      <c r="F69" s="1244" t="s">
        <v>91</v>
      </c>
      <c r="G69" s="1244" t="s">
        <v>1829</v>
      </c>
      <c r="H69" s="1245"/>
      <c r="I69" s="1245"/>
      <c r="J69" s="1245">
        <v>500000</v>
      </c>
      <c r="K69" s="1245"/>
      <c r="L69" s="1245"/>
      <c r="M69" s="1245"/>
      <c r="N69" s="1245"/>
      <c r="O69" s="1245"/>
      <c r="P69" s="1246"/>
      <c r="Q69" s="1247"/>
      <c r="R69" s="1245"/>
      <c r="S69" s="1245"/>
      <c r="T69" s="1245">
        <v>500000</v>
      </c>
      <c r="U69" s="1245"/>
      <c r="V69" s="1245"/>
      <c r="W69" s="1245"/>
      <c r="X69" s="1246"/>
    </row>
    <row r="70" spans="1:24" ht="18.75" x14ac:dyDescent="0.3">
      <c r="A70" s="2143" t="s">
        <v>1749</v>
      </c>
      <c r="B70" s="2144"/>
      <c r="C70" s="2083"/>
      <c r="D70" s="1179"/>
      <c r="E70" s="1179"/>
      <c r="F70" s="1179"/>
      <c r="G70" s="1179"/>
      <c r="H70" s="1365">
        <f t="shared" ref="H70:X70" si="1">SUM(H52:H69)+H36</f>
        <v>11733120</v>
      </c>
      <c r="I70" s="1365">
        <f t="shared" si="1"/>
        <v>1525306</v>
      </c>
      <c r="J70" s="1365">
        <f t="shared" si="1"/>
        <v>11080078</v>
      </c>
      <c r="K70" s="1365">
        <f t="shared" si="1"/>
        <v>0</v>
      </c>
      <c r="L70" s="1365">
        <f t="shared" si="1"/>
        <v>5361669</v>
      </c>
      <c r="M70" s="1365">
        <f t="shared" si="1"/>
        <v>1072535</v>
      </c>
      <c r="N70" s="1365">
        <f t="shared" si="1"/>
        <v>0</v>
      </c>
      <c r="O70" s="1365">
        <f t="shared" si="1"/>
        <v>0</v>
      </c>
      <c r="P70" s="1366">
        <f t="shared" si="1"/>
        <v>0</v>
      </c>
      <c r="Q70" s="1367">
        <f t="shared" si="1"/>
        <v>350000</v>
      </c>
      <c r="R70" s="1365">
        <f t="shared" si="1"/>
        <v>0</v>
      </c>
      <c r="S70" s="1365">
        <f t="shared" si="1"/>
        <v>0</v>
      </c>
      <c r="T70" s="1365">
        <f t="shared" si="1"/>
        <v>959742</v>
      </c>
      <c r="U70" s="1365">
        <f t="shared" si="1"/>
        <v>0</v>
      </c>
      <c r="V70" s="1365">
        <f t="shared" si="1"/>
        <v>0</v>
      </c>
      <c r="W70" s="1365">
        <f t="shared" si="1"/>
        <v>0</v>
      </c>
      <c r="X70" s="1366">
        <f t="shared" si="1"/>
        <v>29462966</v>
      </c>
    </row>
    <row r="71" spans="1:24" ht="21" customHeight="1" x14ac:dyDescent="0.3">
      <c r="A71" s="1217"/>
      <c r="B71" s="1217"/>
      <c r="C71" s="1258"/>
      <c r="D71" s="1192"/>
      <c r="E71" s="1192"/>
      <c r="F71" s="1192"/>
      <c r="G71" s="1192"/>
      <c r="H71" s="1252"/>
      <c r="I71" s="1252"/>
      <c r="J71" s="1252"/>
      <c r="K71" s="1252"/>
      <c r="L71" s="1252"/>
      <c r="M71" s="1252"/>
      <c r="N71" s="1252"/>
      <c r="O71" s="1252"/>
      <c r="P71" s="1252"/>
      <c r="Q71" s="1252"/>
      <c r="R71" s="1252"/>
      <c r="S71" s="1252"/>
      <c r="T71" s="1252"/>
      <c r="U71" s="1252"/>
      <c r="V71" s="1252"/>
      <c r="W71" s="1252"/>
      <c r="X71" s="1252"/>
    </row>
    <row r="72" spans="1:24" ht="22.5" customHeight="1" x14ac:dyDescent="0.3">
      <c r="A72" s="1217"/>
      <c r="B72" s="1217"/>
      <c r="C72" s="1258"/>
      <c r="D72" s="1192"/>
      <c r="E72" s="1192"/>
      <c r="F72" s="1192"/>
      <c r="G72" s="1192"/>
      <c r="H72" s="1193"/>
      <c r="I72" s="1193"/>
      <c r="J72" s="1193"/>
      <c r="K72" s="1193"/>
      <c r="L72" s="1193"/>
      <c r="M72" s="1193"/>
      <c r="N72" s="1193"/>
      <c r="O72" s="1193"/>
      <c r="P72" s="1193"/>
      <c r="Q72" s="1193"/>
      <c r="R72" s="1193"/>
      <c r="S72" s="1193"/>
      <c r="T72" s="1193"/>
      <c r="U72" s="1193"/>
      <c r="V72" s="1193"/>
      <c r="W72" s="1193"/>
      <c r="X72" s="1193"/>
    </row>
    <row r="73" spans="1:24" ht="15" x14ac:dyDescent="0.25">
      <c r="A73" s="1258"/>
      <c r="B73" s="1258"/>
      <c r="C73" s="1258"/>
      <c r="D73" s="1192"/>
      <c r="E73" s="1192"/>
      <c r="F73" s="1192"/>
      <c r="G73" s="1192"/>
      <c r="H73" s="1193"/>
      <c r="I73" s="1193"/>
      <c r="J73" s="1193"/>
      <c r="K73" s="1193"/>
      <c r="L73" s="1193"/>
      <c r="M73" s="1193"/>
      <c r="N73" s="1193"/>
      <c r="O73" s="1193"/>
      <c r="P73" s="1193"/>
      <c r="Q73" s="1193"/>
      <c r="R73" s="1193"/>
      <c r="S73" s="1193"/>
      <c r="T73" s="1193"/>
      <c r="U73" s="1193"/>
      <c r="V73" s="1193"/>
      <c r="W73" s="1193"/>
      <c r="X73" s="1193"/>
    </row>
    <row r="74" spans="1:24" ht="21.75" customHeight="1" x14ac:dyDescent="0.25">
      <c r="A74" s="1258"/>
      <c r="B74" s="1258"/>
      <c r="C74" s="1197"/>
      <c r="D74" s="1197"/>
      <c r="E74" s="1197"/>
      <c r="F74" s="1197"/>
      <c r="G74" s="1197"/>
      <c r="H74" s="1224"/>
      <c r="I74" s="2140" t="s">
        <v>1750</v>
      </c>
      <c r="J74" s="2142"/>
      <c r="K74" s="2141"/>
      <c r="L74" s="2140">
        <v>596269438</v>
      </c>
      <c r="M74" s="2141"/>
      <c r="N74" s="1225"/>
      <c r="O74" s="1225"/>
      <c r="P74" s="1225"/>
      <c r="Q74" s="1225"/>
      <c r="R74" s="2140" t="s">
        <v>1751</v>
      </c>
      <c r="S74" s="2142"/>
      <c r="T74" s="2141"/>
      <c r="U74" s="2140">
        <v>596269438</v>
      </c>
      <c r="V74" s="2141"/>
      <c r="W74" s="1224"/>
      <c r="X74" s="1224"/>
    </row>
    <row r="75" spans="1:24" ht="21" customHeight="1" x14ac:dyDescent="0.25">
      <c r="A75" s="1197"/>
      <c r="B75" s="1197"/>
      <c r="C75" s="1197"/>
      <c r="D75" s="1197"/>
      <c r="E75" s="1197"/>
      <c r="F75" s="1197"/>
      <c r="G75" s="1197"/>
      <c r="H75" s="1224"/>
      <c r="I75" s="2066" t="s">
        <v>3474</v>
      </c>
      <c r="J75" s="2066"/>
      <c r="K75" s="2066"/>
      <c r="L75" s="2140">
        <f>SUM(H70:P70)</f>
        <v>30772708</v>
      </c>
      <c r="M75" s="2141"/>
      <c r="N75" s="1225"/>
      <c r="O75" s="1225"/>
      <c r="P75" s="1225"/>
      <c r="Q75" s="1225"/>
      <c r="R75" s="2066" t="s">
        <v>3474</v>
      </c>
      <c r="S75" s="2066"/>
      <c r="T75" s="2066"/>
      <c r="U75" s="2140">
        <f>SUM(Q70:X70)</f>
        <v>30772708</v>
      </c>
      <c r="V75" s="2141"/>
      <c r="W75" s="1224"/>
      <c r="X75" s="1224"/>
    </row>
    <row r="76" spans="1:24" ht="22.5" customHeight="1" x14ac:dyDescent="0.25">
      <c r="A76" s="1197"/>
      <c r="B76" s="1197"/>
      <c r="C76" s="1197"/>
      <c r="D76" s="1197"/>
      <c r="E76" s="1197"/>
      <c r="F76" s="1197"/>
      <c r="G76" s="1197"/>
      <c r="H76" s="1224"/>
      <c r="I76" s="2140" t="s">
        <v>1561</v>
      </c>
      <c r="J76" s="2142"/>
      <c r="K76" s="2141"/>
      <c r="L76" s="2140">
        <f>+L74+L75</f>
        <v>627042146</v>
      </c>
      <c r="M76" s="2141"/>
      <c r="N76" s="1225"/>
      <c r="O76" s="1225"/>
      <c r="P76" s="1225"/>
      <c r="Q76" s="1225"/>
      <c r="R76" s="2140" t="s">
        <v>1561</v>
      </c>
      <c r="S76" s="2142"/>
      <c r="T76" s="2141"/>
      <c r="U76" s="2140">
        <f>+U74+U75</f>
        <v>627042146</v>
      </c>
      <c r="V76" s="2141"/>
      <c r="W76" s="1224"/>
      <c r="X76" s="1224"/>
    </row>
    <row r="77" spans="1:24" ht="15" x14ac:dyDescent="0.25">
      <c r="A77" s="1197"/>
      <c r="B77" s="1197"/>
      <c r="C77" s="1197"/>
      <c r="D77" s="1197"/>
      <c r="E77" s="1197"/>
      <c r="F77" s="1197"/>
      <c r="G77" s="1197"/>
      <c r="H77" s="1197"/>
      <c r="I77" s="1197"/>
      <c r="J77" s="1197"/>
      <c r="K77" s="1197"/>
      <c r="L77" s="1197"/>
      <c r="M77" s="1197"/>
      <c r="N77" s="1197"/>
      <c r="O77" s="1197"/>
      <c r="P77" s="1197"/>
      <c r="Q77" s="1197"/>
      <c r="R77" s="1197"/>
      <c r="S77" s="1197"/>
      <c r="T77" s="1197"/>
      <c r="U77" s="1197"/>
      <c r="V77" s="1197"/>
      <c r="W77" s="1197"/>
      <c r="X77" s="1197"/>
    </row>
    <row r="78" spans="1:24" x14ac:dyDescent="0.2">
      <c r="A78" s="348"/>
      <c r="B78" s="348"/>
      <c r="C78" s="348"/>
      <c r="D78" s="348"/>
      <c r="E78" s="348"/>
      <c r="F78" s="348"/>
      <c r="G78" s="348"/>
      <c r="H78" s="348"/>
      <c r="I78" s="348"/>
      <c r="J78" s="348"/>
      <c r="K78" s="348"/>
      <c r="L78" s="348"/>
      <c r="M78" s="348"/>
      <c r="N78" s="348"/>
      <c r="O78" s="348"/>
      <c r="P78" s="348"/>
      <c r="Q78" s="348"/>
      <c r="R78" s="348"/>
      <c r="S78" s="348"/>
      <c r="T78" s="348"/>
      <c r="U78" s="348"/>
      <c r="V78" s="348"/>
      <c r="W78" s="348"/>
      <c r="X78" s="348"/>
    </row>
    <row r="79" spans="1:24" x14ac:dyDescent="0.2">
      <c r="A79" s="348"/>
      <c r="B79" s="348"/>
      <c r="C79" s="348"/>
      <c r="D79" s="348"/>
      <c r="E79" s="348"/>
      <c r="F79" s="348"/>
      <c r="G79" s="348"/>
      <c r="H79" s="348"/>
      <c r="I79" s="348"/>
      <c r="J79" s="348"/>
      <c r="K79" s="348"/>
      <c r="L79" s="348"/>
      <c r="M79" s="348"/>
      <c r="N79" s="348"/>
      <c r="O79" s="348"/>
      <c r="P79" s="348"/>
      <c r="Q79" s="348"/>
      <c r="R79" s="348"/>
      <c r="S79" s="348"/>
      <c r="T79" s="348"/>
      <c r="U79" s="348"/>
      <c r="V79" s="348"/>
      <c r="W79" s="348"/>
      <c r="X79" s="348"/>
    </row>
    <row r="80" spans="1:24" ht="15.75" x14ac:dyDescent="0.25">
      <c r="A80" s="2069" t="s">
        <v>2824</v>
      </c>
      <c r="B80" s="2069"/>
      <c r="C80" s="2069"/>
      <c r="D80" s="2069"/>
      <c r="E80" s="2069"/>
      <c r="F80" s="2069"/>
      <c r="G80" s="2069"/>
      <c r="H80" s="2069"/>
      <c r="I80" s="2069"/>
      <c r="J80" s="2069"/>
      <c r="K80" s="2069"/>
      <c r="L80" s="2069"/>
      <c r="M80" s="2069"/>
      <c r="N80" s="2069"/>
      <c r="O80" s="2069"/>
      <c r="P80" s="2069"/>
      <c r="Q80" s="2069"/>
      <c r="R80" s="2069"/>
      <c r="S80" s="2069"/>
      <c r="T80" s="2069"/>
      <c r="U80" s="2069"/>
      <c r="V80" s="2069"/>
      <c r="W80" s="2069"/>
      <c r="X80" s="2069"/>
    </row>
    <row r="81" spans="1:24" ht="15" x14ac:dyDescent="0.25">
      <c r="A81" s="1195"/>
      <c r="B81" s="1195"/>
      <c r="C81" s="1195"/>
      <c r="D81" s="1195"/>
      <c r="E81" s="1195"/>
      <c r="F81" s="1195"/>
      <c r="G81" s="1195"/>
      <c r="H81" s="1195"/>
      <c r="I81" s="1195"/>
      <c r="J81" s="1195"/>
      <c r="K81" s="1195"/>
      <c r="L81" s="1195"/>
      <c r="M81" s="1195"/>
      <c r="N81" s="1195"/>
      <c r="O81" s="1195"/>
      <c r="P81" s="1195"/>
      <c r="Q81" s="1195"/>
      <c r="R81" s="1195"/>
      <c r="S81" s="1195"/>
      <c r="T81" s="1195"/>
      <c r="U81" s="1195"/>
      <c r="V81" s="1195"/>
      <c r="W81" s="1195"/>
      <c r="X81" s="1195"/>
    </row>
    <row r="82" spans="1:24" ht="15" x14ac:dyDescent="0.25">
      <c r="A82" s="2112" t="s">
        <v>88</v>
      </c>
      <c r="B82" s="2112"/>
      <c r="C82" s="2112"/>
      <c r="D82" s="2112"/>
      <c r="E82" s="2112"/>
      <c r="F82" s="2112"/>
      <c r="G82" s="2112"/>
      <c r="H82" s="2112"/>
      <c r="I82" s="2112"/>
      <c r="J82" s="2112"/>
      <c r="K82" s="2112"/>
      <c r="L82" s="2112"/>
      <c r="M82" s="2112"/>
      <c r="N82" s="2112"/>
      <c r="O82" s="2112"/>
      <c r="P82" s="2112"/>
      <c r="Q82" s="2112"/>
      <c r="R82" s="2112"/>
      <c r="S82" s="2112"/>
      <c r="T82" s="2112"/>
      <c r="U82" s="2112"/>
      <c r="V82" s="2112"/>
      <c r="W82" s="2112"/>
      <c r="X82" s="2112"/>
    </row>
    <row r="83" spans="1:24" ht="15" x14ac:dyDescent="0.25">
      <c r="A83" s="1197"/>
      <c r="B83" s="1197"/>
      <c r="C83" s="1197"/>
      <c r="D83" s="1197"/>
      <c r="E83" s="1197"/>
      <c r="F83" s="1197"/>
      <c r="G83" s="1197"/>
      <c r="H83" s="1197"/>
      <c r="I83" s="1197"/>
      <c r="J83" s="1197"/>
      <c r="K83" s="1197"/>
      <c r="L83" s="1197"/>
      <c r="M83" s="1197"/>
      <c r="N83" s="1197"/>
      <c r="O83" s="1197"/>
      <c r="P83" s="1197"/>
      <c r="Q83" s="1198"/>
      <c r="R83" s="1197"/>
      <c r="S83" s="1197"/>
      <c r="T83" s="1197"/>
      <c r="U83" s="1197"/>
      <c r="V83" s="1197"/>
      <c r="W83" s="1197"/>
      <c r="X83" s="1197"/>
    </row>
    <row r="84" spans="1:24" ht="15" customHeight="1" x14ac:dyDescent="0.25">
      <c r="A84" s="2124" t="s">
        <v>37</v>
      </c>
      <c r="B84" s="2093" t="s">
        <v>1726</v>
      </c>
      <c r="C84" s="2123" t="s">
        <v>2</v>
      </c>
      <c r="D84" s="2147" t="s">
        <v>1727</v>
      </c>
      <c r="E84" s="2147" t="s">
        <v>117</v>
      </c>
      <c r="F84" s="2147" t="s">
        <v>1728</v>
      </c>
      <c r="G84" s="2147" t="s">
        <v>1729</v>
      </c>
      <c r="H84" s="2133" t="s">
        <v>1730</v>
      </c>
      <c r="I84" s="2149"/>
      <c r="J84" s="2149"/>
      <c r="K84" s="2149"/>
      <c r="L84" s="2149"/>
      <c r="M84" s="2149"/>
      <c r="N84" s="2149"/>
      <c r="O84" s="2149"/>
      <c r="P84" s="1661"/>
      <c r="Q84" s="2149" t="s">
        <v>1731</v>
      </c>
      <c r="R84" s="2149"/>
      <c r="S84" s="2149"/>
      <c r="T84" s="2149"/>
      <c r="U84" s="2149"/>
      <c r="V84" s="2149"/>
      <c r="W84" s="2149"/>
      <c r="X84" s="2150"/>
    </row>
    <row r="85" spans="1:24" ht="88.5" customHeight="1" x14ac:dyDescent="0.2">
      <c r="A85" s="2145"/>
      <c r="B85" s="2094"/>
      <c r="C85" s="2146"/>
      <c r="D85" s="2148"/>
      <c r="E85" s="2148"/>
      <c r="F85" s="2148"/>
      <c r="G85" s="2148"/>
      <c r="H85" s="1154" t="s">
        <v>2385</v>
      </c>
      <c r="I85" s="1154" t="s">
        <v>1785</v>
      </c>
      <c r="J85" s="1154" t="s">
        <v>1786</v>
      </c>
      <c r="K85" s="1154" t="s">
        <v>1787</v>
      </c>
      <c r="L85" s="1154" t="s">
        <v>1788</v>
      </c>
      <c r="M85" s="1154" t="s">
        <v>1756</v>
      </c>
      <c r="N85" s="1154" t="s">
        <v>1757</v>
      </c>
      <c r="O85" s="1157" t="s">
        <v>1739</v>
      </c>
      <c r="P85" s="1159" t="s">
        <v>1758</v>
      </c>
      <c r="Q85" s="1227" t="s">
        <v>1741</v>
      </c>
      <c r="R85" s="1154" t="s">
        <v>1742</v>
      </c>
      <c r="S85" s="1154" t="s">
        <v>1770</v>
      </c>
      <c r="T85" s="1154" t="s">
        <v>1761</v>
      </c>
      <c r="U85" s="1154" t="s">
        <v>1745</v>
      </c>
      <c r="V85" s="1154" t="s">
        <v>1746</v>
      </c>
      <c r="W85" s="1154" t="s">
        <v>1747</v>
      </c>
      <c r="X85" s="1159" t="s">
        <v>1789</v>
      </c>
    </row>
    <row r="86" spans="1:24" ht="20.25" customHeight="1" x14ac:dyDescent="0.2">
      <c r="A86" s="2124" t="s">
        <v>269</v>
      </c>
      <c r="B86" s="2123" t="s">
        <v>277</v>
      </c>
      <c r="C86" s="2122" t="s">
        <v>2661</v>
      </c>
      <c r="D86" s="1201" t="s">
        <v>1834</v>
      </c>
      <c r="E86" s="1243" t="s">
        <v>1288</v>
      </c>
      <c r="F86" s="1243" t="s">
        <v>128</v>
      </c>
      <c r="G86" s="1243" t="s">
        <v>1829</v>
      </c>
      <c r="H86" s="1253"/>
      <c r="I86" s="1253"/>
      <c r="J86" s="1253"/>
      <c r="K86" s="1253"/>
      <c r="L86" s="1253"/>
      <c r="M86" s="1253"/>
      <c r="N86" s="1253"/>
      <c r="O86" s="1253"/>
      <c r="P86" s="1254"/>
      <c r="Q86" s="1255"/>
      <c r="R86" s="1253"/>
      <c r="S86" s="1253"/>
      <c r="T86" s="1253"/>
      <c r="U86" s="1253"/>
      <c r="V86" s="1253"/>
      <c r="W86" s="1253"/>
      <c r="X86" s="1254">
        <v>210000</v>
      </c>
    </row>
    <row r="87" spans="1:24" ht="20.25" customHeight="1" x14ac:dyDescent="0.2">
      <c r="A87" s="2101"/>
      <c r="B87" s="2105"/>
      <c r="C87" s="2103"/>
      <c r="D87" s="1206" t="s">
        <v>1834</v>
      </c>
      <c r="E87" s="1232" t="s">
        <v>162</v>
      </c>
      <c r="F87" s="1232" t="s">
        <v>91</v>
      </c>
      <c r="G87" s="1232" t="s">
        <v>1829</v>
      </c>
      <c r="H87" s="1233"/>
      <c r="I87" s="1233"/>
      <c r="J87" s="1233">
        <v>210000</v>
      </c>
      <c r="K87" s="1233"/>
      <c r="L87" s="1233"/>
      <c r="M87" s="1233"/>
      <c r="N87" s="1233"/>
      <c r="O87" s="1233"/>
      <c r="P87" s="1234"/>
      <c r="Q87" s="1235"/>
      <c r="R87" s="1233"/>
      <c r="S87" s="1233"/>
      <c r="T87" s="1233"/>
      <c r="U87" s="1233"/>
      <c r="V87" s="1233"/>
      <c r="W87" s="1233"/>
      <c r="X87" s="1234"/>
    </row>
    <row r="88" spans="1:24" ht="19.5" customHeight="1" x14ac:dyDescent="0.2">
      <c r="A88" s="2099" t="s">
        <v>270</v>
      </c>
      <c r="B88" s="2104" t="s">
        <v>278</v>
      </c>
      <c r="C88" s="2102" t="s">
        <v>2690</v>
      </c>
      <c r="D88" s="1206" t="s">
        <v>1834</v>
      </c>
      <c r="E88" s="1232" t="s">
        <v>162</v>
      </c>
      <c r="F88" s="1232" t="s">
        <v>91</v>
      </c>
      <c r="G88" s="1232" t="s">
        <v>1837</v>
      </c>
      <c r="H88" s="1233">
        <f>-231073+231073</f>
        <v>0</v>
      </c>
      <c r="I88" s="1233"/>
      <c r="J88" s="1233"/>
      <c r="K88" s="1233"/>
      <c r="L88" s="1233"/>
      <c r="M88" s="1233"/>
      <c r="N88" s="1233"/>
      <c r="O88" s="1233"/>
      <c r="P88" s="1234"/>
      <c r="Q88" s="1235"/>
      <c r="R88" s="1233"/>
      <c r="S88" s="1233"/>
      <c r="T88" s="1233"/>
      <c r="U88" s="1233"/>
      <c r="V88" s="1233"/>
      <c r="W88" s="1233"/>
      <c r="X88" s="1234"/>
    </row>
    <row r="89" spans="1:24" ht="19.5" customHeight="1" x14ac:dyDescent="0.2">
      <c r="A89" s="2101"/>
      <c r="B89" s="2105"/>
      <c r="C89" s="2103"/>
      <c r="D89" s="1206" t="s">
        <v>1834</v>
      </c>
      <c r="E89" s="1232" t="s">
        <v>162</v>
      </c>
      <c r="F89" s="1232" t="s">
        <v>132</v>
      </c>
      <c r="G89" s="1232" t="s">
        <v>1837</v>
      </c>
      <c r="H89" s="1233">
        <f>-263710+263710</f>
        <v>0</v>
      </c>
      <c r="I89" s="1233"/>
      <c r="J89" s="1233"/>
      <c r="K89" s="1233"/>
      <c r="L89" s="1233"/>
      <c r="M89" s="1233"/>
      <c r="N89" s="1233"/>
      <c r="O89" s="1233"/>
      <c r="P89" s="1234"/>
      <c r="Q89" s="1235"/>
      <c r="R89" s="1233"/>
      <c r="S89" s="1233"/>
      <c r="T89" s="1233"/>
      <c r="U89" s="1233"/>
      <c r="V89" s="1233"/>
      <c r="W89" s="1233"/>
      <c r="X89" s="1234"/>
    </row>
    <row r="90" spans="1:24" ht="39.75" customHeight="1" x14ac:dyDescent="0.2">
      <c r="A90" s="1647" t="s">
        <v>271</v>
      </c>
      <c r="B90" s="1652" t="s">
        <v>279</v>
      </c>
      <c r="C90" s="1211" t="s">
        <v>2715</v>
      </c>
      <c r="D90" s="1206" t="s">
        <v>1834</v>
      </c>
      <c r="E90" s="1232" t="s">
        <v>162</v>
      </c>
      <c r="F90" s="1232" t="s">
        <v>132</v>
      </c>
      <c r="G90" s="1232" t="s">
        <v>2716</v>
      </c>
      <c r="H90" s="1233"/>
      <c r="I90" s="1233"/>
      <c r="J90" s="1233">
        <f>-176000+176000</f>
        <v>0</v>
      </c>
      <c r="K90" s="1233"/>
      <c r="L90" s="1233"/>
      <c r="M90" s="1233"/>
      <c r="N90" s="1233"/>
      <c r="O90" s="1233"/>
      <c r="P90" s="1234"/>
      <c r="Q90" s="1235"/>
      <c r="R90" s="1233"/>
      <c r="S90" s="1233"/>
      <c r="T90" s="1233"/>
      <c r="U90" s="1233"/>
      <c r="V90" s="1233"/>
      <c r="W90" s="1233"/>
      <c r="X90" s="1234"/>
    </row>
    <row r="91" spans="1:24" ht="18" customHeight="1" x14ac:dyDescent="0.2">
      <c r="A91" s="2099" t="s">
        <v>272</v>
      </c>
      <c r="B91" s="2104" t="s">
        <v>280</v>
      </c>
      <c r="C91" s="2102" t="s">
        <v>2754</v>
      </c>
      <c r="D91" s="1206" t="s">
        <v>1834</v>
      </c>
      <c r="E91" s="1232" t="s">
        <v>1288</v>
      </c>
      <c r="F91" s="1232" t="s">
        <v>128</v>
      </c>
      <c r="G91" s="1232" t="s">
        <v>1829</v>
      </c>
      <c r="H91" s="1233"/>
      <c r="I91" s="1233"/>
      <c r="J91" s="1233"/>
      <c r="K91" s="1233"/>
      <c r="L91" s="1233"/>
      <c r="M91" s="1233"/>
      <c r="N91" s="1233"/>
      <c r="O91" s="1233"/>
      <c r="P91" s="1234"/>
      <c r="Q91" s="1235"/>
      <c r="R91" s="1233"/>
      <c r="S91" s="1233"/>
      <c r="T91" s="1233"/>
      <c r="U91" s="1233"/>
      <c r="V91" s="1233"/>
      <c r="W91" s="1233"/>
      <c r="X91" s="1234">
        <v>9024000</v>
      </c>
    </row>
    <row r="92" spans="1:24" ht="18" customHeight="1" x14ac:dyDescent="0.2">
      <c r="A92" s="2100"/>
      <c r="B92" s="2107"/>
      <c r="C92" s="2106"/>
      <c r="D92" s="1206" t="s">
        <v>1834</v>
      </c>
      <c r="E92" s="1232" t="s">
        <v>162</v>
      </c>
      <c r="F92" s="1232" t="s">
        <v>91</v>
      </c>
      <c r="G92" s="1232" t="s">
        <v>1829</v>
      </c>
      <c r="H92" s="1233">
        <v>4750000</v>
      </c>
      <c r="I92" s="1233">
        <v>1330000</v>
      </c>
      <c r="J92" s="1233"/>
      <c r="K92" s="1233"/>
      <c r="L92" s="1233"/>
      <c r="M92" s="1233"/>
      <c r="N92" s="1233"/>
      <c r="O92" s="1233"/>
      <c r="P92" s="1234"/>
      <c r="Q92" s="1235"/>
      <c r="R92" s="1233"/>
      <c r="S92" s="1233"/>
      <c r="T92" s="1233"/>
      <c r="U92" s="1233"/>
      <c r="V92" s="1233"/>
      <c r="W92" s="1233"/>
      <c r="X92" s="1234"/>
    </row>
    <row r="93" spans="1:24" ht="18" customHeight="1" x14ac:dyDescent="0.2">
      <c r="A93" s="2101"/>
      <c r="B93" s="2105"/>
      <c r="C93" s="2103"/>
      <c r="D93" s="1206" t="s">
        <v>1834</v>
      </c>
      <c r="E93" s="1232" t="s">
        <v>162</v>
      </c>
      <c r="F93" s="1232" t="s">
        <v>132</v>
      </c>
      <c r="G93" s="1232" t="s">
        <v>1829</v>
      </c>
      <c r="H93" s="1233">
        <v>2300000</v>
      </c>
      <c r="I93" s="1233">
        <v>644000</v>
      </c>
      <c r="J93" s="1233"/>
      <c r="K93" s="1233"/>
      <c r="L93" s="1233"/>
      <c r="M93" s="1233"/>
      <c r="N93" s="1233"/>
      <c r="O93" s="1233"/>
      <c r="P93" s="1234"/>
      <c r="Q93" s="1235"/>
      <c r="R93" s="1233"/>
      <c r="S93" s="1233"/>
      <c r="T93" s="1233"/>
      <c r="U93" s="1233"/>
      <c r="V93" s="1233"/>
      <c r="W93" s="1233"/>
      <c r="X93" s="1234"/>
    </row>
    <row r="94" spans="1:24" ht="31.5" customHeight="1" x14ac:dyDescent="0.2">
      <c r="A94" s="1650" t="s">
        <v>276</v>
      </c>
      <c r="B94" s="1649" t="s">
        <v>281</v>
      </c>
      <c r="C94" s="1648" t="s">
        <v>2815</v>
      </c>
      <c r="D94" s="1206" t="s">
        <v>1834</v>
      </c>
      <c r="E94" s="1232" t="s">
        <v>162</v>
      </c>
      <c r="F94" s="1232" t="s">
        <v>91</v>
      </c>
      <c r="G94" s="1232" t="s">
        <v>1829</v>
      </c>
      <c r="H94" s="1233"/>
      <c r="I94" s="1233"/>
      <c r="J94" s="1233">
        <f>1200720+324195</f>
        <v>1524915</v>
      </c>
      <c r="K94" s="1233"/>
      <c r="L94" s="1233"/>
      <c r="M94" s="1233"/>
      <c r="N94" s="1233"/>
      <c r="O94" s="1233"/>
      <c r="P94" s="1234"/>
      <c r="Q94" s="1235"/>
      <c r="R94" s="1233"/>
      <c r="S94" s="1233"/>
      <c r="T94" s="1233">
        <v>1524915</v>
      </c>
      <c r="U94" s="1233"/>
      <c r="V94" s="1233"/>
      <c r="W94" s="1233"/>
      <c r="X94" s="1234"/>
    </row>
    <row r="95" spans="1:24" ht="21" customHeight="1" x14ac:dyDescent="0.2">
      <c r="A95" s="2099" t="s">
        <v>277</v>
      </c>
      <c r="B95" s="2104" t="s">
        <v>282</v>
      </c>
      <c r="C95" s="2102" t="s">
        <v>2856</v>
      </c>
      <c r="D95" s="1206" t="s">
        <v>1834</v>
      </c>
      <c r="E95" s="1232" t="s">
        <v>162</v>
      </c>
      <c r="F95" s="1232" t="s">
        <v>91</v>
      </c>
      <c r="G95" s="1232" t="s">
        <v>1837</v>
      </c>
      <c r="H95" s="1233">
        <f>-230946+230946</f>
        <v>0</v>
      </c>
      <c r="I95" s="1233"/>
      <c r="J95" s="1233"/>
      <c r="K95" s="1233"/>
      <c r="L95" s="1233"/>
      <c r="M95" s="1233"/>
      <c r="N95" s="1233"/>
      <c r="O95" s="1233"/>
      <c r="P95" s="1234"/>
      <c r="Q95" s="1235"/>
      <c r="R95" s="1233"/>
      <c r="S95" s="1233"/>
      <c r="T95" s="1233"/>
      <c r="U95" s="1233"/>
      <c r="V95" s="1233"/>
      <c r="W95" s="1233"/>
      <c r="X95" s="1234"/>
    </row>
    <row r="96" spans="1:24" ht="21" customHeight="1" x14ac:dyDescent="0.2">
      <c r="A96" s="2101"/>
      <c r="B96" s="2105"/>
      <c r="C96" s="2103"/>
      <c r="D96" s="1206" t="s">
        <v>1834</v>
      </c>
      <c r="E96" s="1232" t="s">
        <v>162</v>
      </c>
      <c r="F96" s="1232" t="s">
        <v>132</v>
      </c>
      <c r="G96" s="1232" t="s">
        <v>1837</v>
      </c>
      <c r="H96" s="1233">
        <f>-92035+92035</f>
        <v>0</v>
      </c>
      <c r="I96" s="1233"/>
      <c r="J96" s="1233"/>
      <c r="K96" s="1233"/>
      <c r="L96" s="1233"/>
      <c r="M96" s="1233"/>
      <c r="N96" s="1233"/>
      <c r="O96" s="1233"/>
      <c r="P96" s="1234"/>
      <c r="Q96" s="1235"/>
      <c r="R96" s="1233"/>
      <c r="S96" s="1233"/>
      <c r="T96" s="1233"/>
      <c r="U96" s="1233"/>
      <c r="V96" s="1233"/>
      <c r="W96" s="1233"/>
      <c r="X96" s="1234"/>
    </row>
    <row r="97" spans="1:24" ht="39.75" customHeight="1" x14ac:dyDescent="0.2">
      <c r="A97" s="1647" t="s">
        <v>278</v>
      </c>
      <c r="B97" s="1652" t="s">
        <v>283</v>
      </c>
      <c r="C97" s="1651" t="s">
        <v>2925</v>
      </c>
      <c r="D97" s="1206" t="s">
        <v>1834</v>
      </c>
      <c r="E97" s="1232" t="s">
        <v>162</v>
      </c>
      <c r="F97" s="1232" t="s">
        <v>91</v>
      </c>
      <c r="G97" s="1232" t="s">
        <v>1837</v>
      </c>
      <c r="H97" s="1233"/>
      <c r="I97" s="1233"/>
      <c r="J97" s="1233">
        <f>-279370-75430</f>
        <v>-354800</v>
      </c>
      <c r="K97" s="1233"/>
      <c r="L97" s="1233"/>
      <c r="M97" s="1233">
        <f>279370+75430</f>
        <v>354800</v>
      </c>
      <c r="N97" s="1233"/>
      <c r="O97" s="1233"/>
      <c r="P97" s="1234"/>
      <c r="Q97" s="1235"/>
      <c r="R97" s="1233"/>
      <c r="S97" s="1233"/>
      <c r="T97" s="1233"/>
      <c r="U97" s="1233"/>
      <c r="V97" s="1233"/>
      <c r="W97" s="1233"/>
      <c r="X97" s="1234"/>
    </row>
    <row r="98" spans="1:24" ht="39.75" customHeight="1" x14ac:dyDescent="0.2">
      <c r="A98" s="1647" t="s">
        <v>279</v>
      </c>
      <c r="B98" s="1652" t="s">
        <v>284</v>
      </c>
      <c r="C98" s="1651" t="s">
        <v>2960</v>
      </c>
      <c r="D98" s="1206" t="s">
        <v>1834</v>
      </c>
      <c r="E98" s="1232" t="s">
        <v>162</v>
      </c>
      <c r="F98" s="1232" t="s">
        <v>91</v>
      </c>
      <c r="G98" s="1232" t="s">
        <v>1837</v>
      </c>
      <c r="H98" s="1233"/>
      <c r="I98" s="1233"/>
      <c r="J98" s="1233">
        <f>-200000+200000</f>
        <v>0</v>
      </c>
      <c r="K98" s="1233"/>
      <c r="L98" s="1233"/>
      <c r="M98" s="1233"/>
      <c r="N98" s="1233"/>
      <c r="O98" s="1233"/>
      <c r="P98" s="1234"/>
      <c r="Q98" s="1235"/>
      <c r="R98" s="1233"/>
      <c r="S98" s="1233"/>
      <c r="T98" s="1233"/>
      <c r="U98" s="1233"/>
      <c r="V98" s="1233"/>
      <c r="W98" s="1233"/>
      <c r="X98" s="1234"/>
    </row>
    <row r="99" spans="1:24" ht="20.25" customHeight="1" x14ac:dyDescent="0.2">
      <c r="A99" s="1657"/>
      <c r="B99" s="1654"/>
      <c r="C99" s="1215"/>
      <c r="D99" s="1206"/>
      <c r="E99" s="1232"/>
      <c r="F99" s="1232"/>
      <c r="G99" s="1232"/>
      <c r="H99" s="1233"/>
      <c r="I99" s="1233"/>
      <c r="J99" s="1233"/>
      <c r="K99" s="1233"/>
      <c r="L99" s="1233"/>
      <c r="M99" s="1233"/>
      <c r="N99" s="1233"/>
      <c r="O99" s="1233"/>
      <c r="P99" s="1234"/>
      <c r="Q99" s="1235"/>
      <c r="R99" s="1233"/>
      <c r="S99" s="1233"/>
      <c r="T99" s="1233"/>
      <c r="U99" s="1233"/>
      <c r="V99" s="1233"/>
      <c r="W99" s="1233"/>
      <c r="X99" s="1234"/>
    </row>
    <row r="100" spans="1:24" ht="18.75" x14ac:dyDescent="0.3">
      <c r="A100" s="2143" t="s">
        <v>1749</v>
      </c>
      <c r="B100" s="2144"/>
      <c r="C100" s="2083"/>
      <c r="D100" s="1179"/>
      <c r="E100" s="1179"/>
      <c r="F100" s="1179"/>
      <c r="G100" s="1179"/>
      <c r="H100" s="1365">
        <f t="shared" ref="H100:X100" si="2">SUM(H86:H99)+H70</f>
        <v>18783120</v>
      </c>
      <c r="I100" s="1365">
        <f t="shared" si="2"/>
        <v>3499306</v>
      </c>
      <c r="J100" s="1365">
        <f t="shared" si="2"/>
        <v>12460193</v>
      </c>
      <c r="K100" s="1365">
        <f t="shared" si="2"/>
        <v>0</v>
      </c>
      <c r="L100" s="1365">
        <f t="shared" si="2"/>
        <v>5361669</v>
      </c>
      <c r="M100" s="1365">
        <f t="shared" si="2"/>
        <v>1427335</v>
      </c>
      <c r="N100" s="1365">
        <f t="shared" si="2"/>
        <v>0</v>
      </c>
      <c r="O100" s="1365">
        <f t="shared" si="2"/>
        <v>0</v>
      </c>
      <c r="P100" s="1366">
        <f t="shared" si="2"/>
        <v>0</v>
      </c>
      <c r="Q100" s="1367">
        <f t="shared" si="2"/>
        <v>350000</v>
      </c>
      <c r="R100" s="1365">
        <f t="shared" si="2"/>
        <v>0</v>
      </c>
      <c r="S100" s="1365">
        <f t="shared" si="2"/>
        <v>0</v>
      </c>
      <c r="T100" s="1365">
        <f t="shared" si="2"/>
        <v>2484657</v>
      </c>
      <c r="U100" s="1365">
        <f t="shared" si="2"/>
        <v>0</v>
      </c>
      <c r="V100" s="1365">
        <f t="shared" si="2"/>
        <v>0</v>
      </c>
      <c r="W100" s="1365">
        <f t="shared" si="2"/>
        <v>0</v>
      </c>
      <c r="X100" s="1366">
        <f t="shared" si="2"/>
        <v>38696966</v>
      </c>
    </row>
    <row r="101" spans="1:24" ht="18.75" x14ac:dyDescent="0.3">
      <c r="A101" s="1217"/>
      <c r="B101" s="1217"/>
      <c r="C101" s="1258"/>
      <c r="D101" s="1192"/>
      <c r="E101" s="1192"/>
      <c r="F101" s="1192"/>
      <c r="G101" s="1192"/>
      <c r="H101" s="1252"/>
      <c r="I101" s="1252"/>
      <c r="J101" s="1252"/>
      <c r="K101" s="1252"/>
      <c r="L101" s="1252"/>
      <c r="M101" s="1252"/>
      <c r="N101" s="1252"/>
      <c r="O101" s="1252"/>
      <c r="P101" s="1252"/>
      <c r="Q101" s="1252"/>
      <c r="R101" s="1252"/>
      <c r="S101" s="1252"/>
      <c r="T101" s="1252"/>
      <c r="U101" s="1252"/>
      <c r="V101" s="1252"/>
      <c r="W101" s="1252"/>
      <c r="X101" s="1252"/>
    </row>
    <row r="102" spans="1:24" ht="18.75" x14ac:dyDescent="0.3">
      <c r="A102" s="1217"/>
      <c r="B102" s="1217"/>
      <c r="C102" s="1258"/>
      <c r="D102" s="1192"/>
      <c r="E102" s="1192"/>
      <c r="F102" s="1192"/>
      <c r="G102" s="1192"/>
      <c r="H102" s="1193"/>
      <c r="I102" s="1193"/>
      <c r="J102" s="1193"/>
      <c r="K102" s="1193"/>
      <c r="L102" s="1193"/>
      <c r="M102" s="1193"/>
      <c r="N102" s="1193"/>
      <c r="O102" s="1193"/>
      <c r="P102" s="1193"/>
      <c r="Q102" s="1193"/>
      <c r="R102" s="1193"/>
      <c r="S102" s="1193"/>
      <c r="T102" s="1193"/>
      <c r="U102" s="1193"/>
      <c r="V102" s="1193"/>
      <c r="W102" s="1193"/>
      <c r="X102" s="1193"/>
    </row>
    <row r="103" spans="1:24" ht="15" x14ac:dyDescent="0.25">
      <c r="A103" s="1258"/>
      <c r="B103" s="1258"/>
      <c r="C103" s="1258"/>
      <c r="D103" s="1192"/>
      <c r="E103" s="1192"/>
      <c r="F103" s="1192"/>
      <c r="G103" s="1192"/>
      <c r="H103" s="1193"/>
      <c r="I103" s="1193"/>
      <c r="J103" s="1193"/>
      <c r="K103" s="1193"/>
      <c r="L103" s="1193"/>
      <c r="M103" s="1193"/>
      <c r="N103" s="1193"/>
      <c r="O103" s="1193"/>
      <c r="P103" s="1193"/>
      <c r="Q103" s="1193"/>
      <c r="R103" s="1193"/>
      <c r="S103" s="1193"/>
      <c r="T103" s="1193"/>
      <c r="U103" s="1193"/>
      <c r="V103" s="1193"/>
      <c r="W103" s="1193"/>
      <c r="X103" s="1193"/>
    </row>
    <row r="104" spans="1:24" ht="21" customHeight="1" x14ac:dyDescent="0.25">
      <c r="A104" s="1258"/>
      <c r="B104" s="1258"/>
      <c r="C104" s="1197"/>
      <c r="D104" s="1197"/>
      <c r="E104" s="1197"/>
      <c r="F104" s="1197"/>
      <c r="G104" s="1197"/>
      <c r="H104" s="1224"/>
      <c r="I104" s="2140" t="s">
        <v>1750</v>
      </c>
      <c r="J104" s="2142"/>
      <c r="K104" s="2141"/>
      <c r="L104" s="2140">
        <v>596269438</v>
      </c>
      <c r="M104" s="2141"/>
      <c r="N104" s="1225"/>
      <c r="O104" s="1225"/>
      <c r="P104" s="1225"/>
      <c r="Q104" s="1225"/>
      <c r="R104" s="2140" t="s">
        <v>1751</v>
      </c>
      <c r="S104" s="2142"/>
      <c r="T104" s="2141"/>
      <c r="U104" s="2140">
        <v>596269438</v>
      </c>
      <c r="V104" s="2141"/>
      <c r="W104" s="1224"/>
      <c r="X104" s="1224"/>
    </row>
    <row r="105" spans="1:24" ht="21" customHeight="1" x14ac:dyDescent="0.25">
      <c r="A105" s="1197"/>
      <c r="B105" s="1197"/>
      <c r="C105" s="1197"/>
      <c r="D105" s="1197"/>
      <c r="E105" s="1197"/>
      <c r="F105" s="1197"/>
      <c r="G105" s="1197"/>
      <c r="H105" s="1224"/>
      <c r="I105" s="2066" t="s">
        <v>3474</v>
      </c>
      <c r="J105" s="2066"/>
      <c r="K105" s="2066"/>
      <c r="L105" s="2140">
        <f>SUM(H100:P100)</f>
        <v>41531623</v>
      </c>
      <c r="M105" s="2141"/>
      <c r="N105" s="1225"/>
      <c r="O105" s="1225"/>
      <c r="P105" s="1225"/>
      <c r="Q105" s="1225"/>
      <c r="R105" s="2066" t="s">
        <v>3474</v>
      </c>
      <c r="S105" s="2066"/>
      <c r="T105" s="2066"/>
      <c r="U105" s="2140">
        <f>SUM(Q100:X100)</f>
        <v>41531623</v>
      </c>
      <c r="V105" s="2141"/>
      <c r="W105" s="1224"/>
      <c r="X105" s="1224"/>
    </row>
    <row r="106" spans="1:24" ht="22.5" customHeight="1" x14ac:dyDescent="0.25">
      <c r="A106" s="1197"/>
      <c r="B106" s="1197"/>
      <c r="C106" s="1197"/>
      <c r="D106" s="1197"/>
      <c r="E106" s="1197"/>
      <c r="F106" s="1197"/>
      <c r="G106" s="1197"/>
      <c r="H106" s="1224"/>
      <c r="I106" s="2140" t="s">
        <v>1561</v>
      </c>
      <c r="J106" s="2142"/>
      <c r="K106" s="2141"/>
      <c r="L106" s="2140">
        <f>+L104+L105</f>
        <v>637801061</v>
      </c>
      <c r="M106" s="2141"/>
      <c r="N106" s="1225"/>
      <c r="O106" s="1225"/>
      <c r="P106" s="1225"/>
      <c r="Q106" s="1225"/>
      <c r="R106" s="2140" t="s">
        <v>1561</v>
      </c>
      <c r="S106" s="2142"/>
      <c r="T106" s="2141"/>
      <c r="U106" s="2140">
        <f>+U104+U105</f>
        <v>637801061</v>
      </c>
      <c r="V106" s="2141"/>
      <c r="W106" s="1224"/>
      <c r="X106" s="1224"/>
    </row>
    <row r="107" spans="1:24" x14ac:dyDescent="0.2">
      <c r="A107" s="348"/>
      <c r="B107" s="348"/>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row>
    <row r="108" spans="1:24" x14ac:dyDescent="0.2">
      <c r="A108" s="348"/>
      <c r="B108" s="348"/>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row>
    <row r="109" spans="1:24" x14ac:dyDescent="0.2">
      <c r="A109" s="348"/>
      <c r="B109" s="348"/>
      <c r="C109" s="348"/>
      <c r="D109" s="348"/>
      <c r="E109" s="348"/>
      <c r="F109" s="348"/>
      <c r="G109" s="348"/>
      <c r="H109" s="348"/>
      <c r="I109" s="348"/>
      <c r="J109" s="348"/>
      <c r="K109" s="348"/>
      <c r="L109" s="348"/>
      <c r="M109" s="348"/>
      <c r="N109" s="348"/>
      <c r="O109" s="348"/>
      <c r="P109" s="348"/>
      <c r="Q109" s="348"/>
      <c r="R109" s="348"/>
      <c r="S109" s="348"/>
      <c r="T109" s="348"/>
      <c r="U109" s="348"/>
      <c r="V109" s="348"/>
      <c r="W109" s="348"/>
      <c r="X109" s="348"/>
    </row>
    <row r="110" spans="1:24" x14ac:dyDescent="0.2">
      <c r="A110" s="348"/>
      <c r="B110" s="348"/>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row>
    <row r="111" spans="1:24" ht="15.75" x14ac:dyDescent="0.25">
      <c r="A111" s="2069" t="s">
        <v>3354</v>
      </c>
      <c r="B111" s="2069"/>
      <c r="C111" s="2069"/>
      <c r="D111" s="2069"/>
      <c r="E111" s="2069"/>
      <c r="F111" s="2069"/>
      <c r="G111" s="2069"/>
      <c r="H111" s="2069"/>
      <c r="I111" s="2069"/>
      <c r="J111" s="2069"/>
      <c r="K111" s="2069"/>
      <c r="L111" s="2069"/>
      <c r="M111" s="2069"/>
      <c r="N111" s="2069"/>
      <c r="O111" s="2069"/>
      <c r="P111" s="2069"/>
      <c r="Q111" s="2069"/>
      <c r="R111" s="2069"/>
      <c r="S111" s="2069"/>
      <c r="T111" s="2069"/>
      <c r="U111" s="2069"/>
      <c r="V111" s="2069"/>
      <c r="W111" s="2069"/>
      <c r="X111" s="2069"/>
    </row>
    <row r="112" spans="1:24" ht="15" x14ac:dyDescent="0.25">
      <c r="A112" s="1195"/>
      <c r="B112" s="1195"/>
      <c r="C112" s="1195"/>
      <c r="D112" s="1195"/>
      <c r="E112" s="1195"/>
      <c r="F112" s="1195"/>
      <c r="G112" s="1195"/>
      <c r="H112" s="1195"/>
      <c r="I112" s="1195"/>
      <c r="J112" s="1195"/>
      <c r="K112" s="1195"/>
      <c r="L112" s="1195"/>
      <c r="M112" s="1195"/>
      <c r="N112" s="1195"/>
      <c r="O112" s="1195"/>
      <c r="P112" s="1195"/>
      <c r="Q112" s="1195"/>
      <c r="R112" s="1195"/>
      <c r="S112" s="1195"/>
      <c r="T112" s="1195"/>
      <c r="U112" s="1195"/>
      <c r="V112" s="1195"/>
      <c r="W112" s="1195"/>
      <c r="X112" s="1195"/>
    </row>
    <row r="113" spans="1:24" ht="15" x14ac:dyDescent="0.25">
      <c r="A113" s="2112" t="s">
        <v>88</v>
      </c>
      <c r="B113" s="2112"/>
      <c r="C113" s="2112"/>
      <c r="D113" s="2112"/>
      <c r="E113" s="2112"/>
      <c r="F113" s="2112"/>
      <c r="G113" s="2112"/>
      <c r="H113" s="2112"/>
      <c r="I113" s="2112"/>
      <c r="J113" s="2112"/>
      <c r="K113" s="2112"/>
      <c r="L113" s="2112"/>
      <c r="M113" s="2112"/>
      <c r="N113" s="2112"/>
      <c r="O113" s="2112"/>
      <c r="P113" s="2112"/>
      <c r="Q113" s="2112"/>
      <c r="R113" s="2112"/>
      <c r="S113" s="2112"/>
      <c r="T113" s="2112"/>
      <c r="U113" s="2112"/>
      <c r="V113" s="2112"/>
      <c r="W113" s="2112"/>
      <c r="X113" s="2112"/>
    </row>
    <row r="114" spans="1:24" ht="15" x14ac:dyDescent="0.25">
      <c r="A114" s="1197"/>
      <c r="B114" s="1197"/>
      <c r="C114" s="1197"/>
      <c r="D114" s="1197"/>
      <c r="E114" s="1197"/>
      <c r="F114" s="1197"/>
      <c r="G114" s="1197"/>
      <c r="H114" s="1197"/>
      <c r="I114" s="1197"/>
      <c r="J114" s="1197"/>
      <c r="K114" s="1197"/>
      <c r="L114" s="1197"/>
      <c r="M114" s="1197"/>
      <c r="N114" s="1197"/>
      <c r="O114" s="1197"/>
      <c r="P114" s="1197"/>
      <c r="Q114" s="1198"/>
      <c r="R114" s="1197"/>
      <c r="S114" s="1197"/>
      <c r="T114" s="1197"/>
      <c r="U114" s="1197"/>
      <c r="V114" s="1197"/>
      <c r="W114" s="1197"/>
      <c r="X114" s="1197"/>
    </row>
    <row r="115" spans="1:24" ht="15" customHeight="1" x14ac:dyDescent="0.25">
      <c r="A115" s="2124" t="s">
        <v>37</v>
      </c>
      <c r="B115" s="2093" t="s">
        <v>1726</v>
      </c>
      <c r="C115" s="2123" t="s">
        <v>2</v>
      </c>
      <c r="D115" s="2147" t="s">
        <v>1727</v>
      </c>
      <c r="E115" s="2147" t="s">
        <v>117</v>
      </c>
      <c r="F115" s="2147" t="s">
        <v>1728</v>
      </c>
      <c r="G115" s="2147" t="s">
        <v>1729</v>
      </c>
      <c r="H115" s="2133" t="s">
        <v>1730</v>
      </c>
      <c r="I115" s="2149"/>
      <c r="J115" s="2149"/>
      <c r="K115" s="2149"/>
      <c r="L115" s="2149"/>
      <c r="M115" s="2149"/>
      <c r="N115" s="2149"/>
      <c r="O115" s="2149"/>
      <c r="P115" s="1661"/>
      <c r="Q115" s="2149" t="s">
        <v>1731</v>
      </c>
      <c r="R115" s="2149"/>
      <c r="S115" s="2149"/>
      <c r="T115" s="2149"/>
      <c r="U115" s="2149"/>
      <c r="V115" s="2149"/>
      <c r="W115" s="2149"/>
      <c r="X115" s="2150"/>
    </row>
    <row r="116" spans="1:24" ht="91.5" customHeight="1" x14ac:dyDescent="0.2">
      <c r="A116" s="2145"/>
      <c r="B116" s="2094"/>
      <c r="C116" s="2146"/>
      <c r="D116" s="2148"/>
      <c r="E116" s="2148"/>
      <c r="F116" s="2148"/>
      <c r="G116" s="2148"/>
      <c r="H116" s="1154" t="s">
        <v>2385</v>
      </c>
      <c r="I116" s="1154" t="s">
        <v>1785</v>
      </c>
      <c r="J116" s="1154" t="s">
        <v>1786</v>
      </c>
      <c r="K116" s="1154" t="s">
        <v>1787</v>
      </c>
      <c r="L116" s="1154" t="s">
        <v>1788</v>
      </c>
      <c r="M116" s="1154" t="s">
        <v>1756</v>
      </c>
      <c r="N116" s="1154" t="s">
        <v>1757</v>
      </c>
      <c r="O116" s="1157" t="s">
        <v>1739</v>
      </c>
      <c r="P116" s="1159" t="s">
        <v>1758</v>
      </c>
      <c r="Q116" s="1227" t="s">
        <v>1741</v>
      </c>
      <c r="R116" s="1154" t="s">
        <v>1742</v>
      </c>
      <c r="S116" s="1154" t="s">
        <v>1770</v>
      </c>
      <c r="T116" s="1154" t="s">
        <v>1761</v>
      </c>
      <c r="U116" s="1154" t="s">
        <v>1745</v>
      </c>
      <c r="V116" s="1154" t="s">
        <v>1746</v>
      </c>
      <c r="W116" s="1154" t="s">
        <v>1747</v>
      </c>
      <c r="X116" s="1159" t="s">
        <v>1789</v>
      </c>
    </row>
    <row r="117" spans="1:24" ht="18.75" customHeight="1" x14ac:dyDescent="0.2">
      <c r="A117" s="2124" t="s">
        <v>280</v>
      </c>
      <c r="B117" s="2123" t="s">
        <v>285</v>
      </c>
      <c r="C117" s="2122" t="s">
        <v>3030</v>
      </c>
      <c r="D117" s="1201" t="s">
        <v>1834</v>
      </c>
      <c r="E117" s="1243" t="s">
        <v>162</v>
      </c>
      <c r="F117" s="1243" t="s">
        <v>91</v>
      </c>
      <c r="G117" s="1243" t="s">
        <v>1837</v>
      </c>
      <c r="H117" s="1253">
        <f>-889509+150958+738551</f>
        <v>0</v>
      </c>
      <c r="I117" s="1253"/>
      <c r="J117" s="1253"/>
      <c r="K117" s="1253"/>
      <c r="L117" s="1253"/>
      <c r="M117" s="1253"/>
      <c r="N117" s="1253"/>
      <c r="O117" s="1253"/>
      <c r="P117" s="1254"/>
      <c r="Q117" s="1255"/>
      <c r="R117" s="1253"/>
      <c r="S117" s="1253"/>
      <c r="T117" s="1253"/>
      <c r="U117" s="1253"/>
      <c r="V117" s="1253"/>
      <c r="W117" s="1253"/>
      <c r="X117" s="1254"/>
    </row>
    <row r="118" spans="1:24" ht="18.75" customHeight="1" x14ac:dyDescent="0.2">
      <c r="A118" s="2101"/>
      <c r="B118" s="2105"/>
      <c r="C118" s="2103"/>
      <c r="D118" s="1206" t="s">
        <v>1834</v>
      </c>
      <c r="E118" s="1232" t="s">
        <v>162</v>
      </c>
      <c r="F118" s="1232" t="s">
        <v>132</v>
      </c>
      <c r="G118" s="1232" t="s">
        <v>1837</v>
      </c>
      <c r="H118" s="1233">
        <f>-100000+100000</f>
        <v>0</v>
      </c>
      <c r="I118" s="1233"/>
      <c r="J118" s="1233"/>
      <c r="K118" s="1233"/>
      <c r="L118" s="1233"/>
      <c r="M118" s="1233"/>
      <c r="N118" s="1233"/>
      <c r="O118" s="1233"/>
      <c r="P118" s="1234"/>
      <c r="Q118" s="1235"/>
      <c r="R118" s="1233"/>
      <c r="S118" s="1233"/>
      <c r="T118" s="1233"/>
      <c r="U118" s="1233"/>
      <c r="V118" s="1233"/>
      <c r="W118" s="1233"/>
      <c r="X118" s="1234"/>
    </row>
    <row r="119" spans="1:24" ht="39.75" customHeight="1" x14ac:dyDescent="0.2">
      <c r="A119" s="1646" t="s">
        <v>281</v>
      </c>
      <c r="B119" s="1643" t="s">
        <v>286</v>
      </c>
      <c r="C119" s="1641" t="s">
        <v>3129</v>
      </c>
      <c r="D119" s="1206" t="s">
        <v>1834</v>
      </c>
      <c r="E119" s="1232" t="s">
        <v>162</v>
      </c>
      <c r="F119" s="1232" t="s">
        <v>132</v>
      </c>
      <c r="G119" s="1232" t="s">
        <v>1837</v>
      </c>
      <c r="H119" s="1233"/>
      <c r="I119" s="1233"/>
      <c r="J119" s="1233">
        <f>-300000-81000</f>
        <v>-381000</v>
      </c>
      <c r="K119" s="1233"/>
      <c r="L119" s="1233"/>
      <c r="M119" s="1233">
        <f>300000+81000</f>
        <v>381000</v>
      </c>
      <c r="N119" s="1233"/>
      <c r="O119" s="1233"/>
      <c r="P119" s="1234"/>
      <c r="Q119" s="1235"/>
      <c r="R119" s="1233"/>
      <c r="S119" s="1233"/>
      <c r="T119" s="1233"/>
      <c r="U119" s="1233"/>
      <c r="V119" s="1233"/>
      <c r="W119" s="1233"/>
      <c r="X119" s="1234"/>
    </row>
    <row r="120" spans="1:24" ht="41.25" customHeight="1" x14ac:dyDescent="0.2">
      <c r="A120" s="1646" t="s">
        <v>282</v>
      </c>
      <c r="B120" s="1643" t="s">
        <v>287</v>
      </c>
      <c r="C120" s="1641" t="s">
        <v>3130</v>
      </c>
      <c r="D120" s="1206" t="s">
        <v>1834</v>
      </c>
      <c r="E120" s="1232" t="s">
        <v>162</v>
      </c>
      <c r="F120" s="1232" t="s">
        <v>133</v>
      </c>
      <c r="G120" s="1232" t="s">
        <v>1837</v>
      </c>
      <c r="H120" s="1233"/>
      <c r="I120" s="1233"/>
      <c r="J120" s="1233">
        <f>-22106+22106</f>
        <v>0</v>
      </c>
      <c r="K120" s="1233"/>
      <c r="L120" s="1233"/>
      <c r="M120" s="1233"/>
      <c r="N120" s="1233"/>
      <c r="O120" s="1233"/>
      <c r="P120" s="1234"/>
      <c r="Q120" s="1235"/>
      <c r="R120" s="1233"/>
      <c r="S120" s="1233"/>
      <c r="T120" s="1233"/>
      <c r="U120" s="1233"/>
      <c r="V120" s="1233"/>
      <c r="W120" s="1233"/>
      <c r="X120" s="1234"/>
    </row>
    <row r="121" spans="1:24" ht="25.5" customHeight="1" x14ac:dyDescent="0.2">
      <c r="A121" s="2099" t="s">
        <v>283</v>
      </c>
      <c r="B121" s="2104" t="s">
        <v>288</v>
      </c>
      <c r="C121" s="2102" t="s">
        <v>3181</v>
      </c>
      <c r="D121" s="1206" t="s">
        <v>1834</v>
      </c>
      <c r="E121" s="1232" t="s">
        <v>162</v>
      </c>
      <c r="F121" s="1232" t="s">
        <v>91</v>
      </c>
      <c r="G121" s="1232" t="s">
        <v>1837</v>
      </c>
      <c r="H121" s="1233">
        <f>-27036540+27000000+36540</f>
        <v>0</v>
      </c>
      <c r="I121" s="1233"/>
      <c r="J121" s="1233"/>
      <c r="K121" s="1233"/>
      <c r="L121" s="1233"/>
      <c r="M121" s="1233"/>
      <c r="N121" s="1233"/>
      <c r="O121" s="1233"/>
      <c r="P121" s="1234"/>
      <c r="Q121" s="1235"/>
      <c r="R121" s="1233"/>
      <c r="S121" s="1233"/>
      <c r="T121" s="1233"/>
      <c r="U121" s="1233"/>
      <c r="V121" s="1233"/>
      <c r="W121" s="1233"/>
      <c r="X121" s="1234"/>
    </row>
    <row r="122" spans="1:24" ht="25.5" customHeight="1" x14ac:dyDescent="0.2">
      <c r="A122" s="2101"/>
      <c r="B122" s="2105"/>
      <c r="C122" s="2103"/>
      <c r="D122" s="1206" t="s">
        <v>1834</v>
      </c>
      <c r="E122" s="1232" t="s">
        <v>162</v>
      </c>
      <c r="F122" s="1232" t="s">
        <v>132</v>
      </c>
      <c r="G122" s="1232" t="s">
        <v>1837</v>
      </c>
      <c r="H122" s="1233">
        <f>-11672092+11500000+172092</f>
        <v>0</v>
      </c>
      <c r="I122" s="1233"/>
      <c r="J122" s="1233"/>
      <c r="K122" s="1233"/>
      <c r="L122" s="1233"/>
      <c r="M122" s="1233"/>
      <c r="N122" s="1233"/>
      <c r="O122" s="1233"/>
      <c r="P122" s="1234"/>
      <c r="Q122" s="1235"/>
      <c r="R122" s="1233"/>
      <c r="S122" s="1233"/>
      <c r="T122" s="1233"/>
      <c r="U122" s="1233"/>
      <c r="V122" s="1233"/>
      <c r="W122" s="1233"/>
      <c r="X122" s="1234"/>
    </row>
    <row r="123" spans="1:24" ht="26.25" customHeight="1" x14ac:dyDescent="0.2">
      <c r="A123" s="2099" t="s">
        <v>284</v>
      </c>
      <c r="B123" s="2104" t="s">
        <v>289</v>
      </c>
      <c r="C123" s="2102" t="s">
        <v>3205</v>
      </c>
      <c r="D123" s="1206" t="s">
        <v>1834</v>
      </c>
      <c r="E123" s="1232" t="s">
        <v>1288</v>
      </c>
      <c r="F123" s="1232" t="s">
        <v>128</v>
      </c>
      <c r="G123" s="1232" t="s">
        <v>1829</v>
      </c>
      <c r="H123" s="1233"/>
      <c r="I123" s="1233"/>
      <c r="J123" s="1233"/>
      <c r="K123" s="1233"/>
      <c r="L123" s="1233"/>
      <c r="M123" s="1233"/>
      <c r="N123" s="1233"/>
      <c r="O123" s="1233"/>
      <c r="P123" s="1234"/>
      <c r="Q123" s="1235"/>
      <c r="R123" s="1233"/>
      <c r="S123" s="1233"/>
      <c r="T123" s="1233"/>
      <c r="U123" s="1233"/>
      <c r="V123" s="1233"/>
      <c r="W123" s="1233"/>
      <c r="X123" s="1234">
        <v>400000</v>
      </c>
    </row>
    <row r="124" spans="1:24" ht="26.25" customHeight="1" x14ac:dyDescent="0.2">
      <c r="A124" s="2101"/>
      <c r="B124" s="2105"/>
      <c r="C124" s="2103"/>
      <c r="D124" s="1206" t="s">
        <v>1834</v>
      </c>
      <c r="E124" s="1232" t="s">
        <v>162</v>
      </c>
      <c r="F124" s="1232" t="s">
        <v>133</v>
      </c>
      <c r="G124" s="1232" t="s">
        <v>1829</v>
      </c>
      <c r="H124" s="1233"/>
      <c r="I124" s="1233"/>
      <c r="J124" s="1233">
        <f>314961+85039</f>
        <v>400000</v>
      </c>
      <c r="K124" s="1233"/>
      <c r="L124" s="1233"/>
      <c r="M124" s="1233"/>
      <c r="N124" s="1233"/>
      <c r="O124" s="1233"/>
      <c r="P124" s="1234"/>
      <c r="Q124" s="1235"/>
      <c r="R124" s="1233"/>
      <c r="S124" s="1233"/>
      <c r="T124" s="1233"/>
      <c r="U124" s="1233"/>
      <c r="V124" s="1233"/>
      <c r="W124" s="1233"/>
      <c r="X124" s="1234"/>
    </row>
    <row r="125" spans="1:24" ht="51" customHeight="1" x14ac:dyDescent="0.2">
      <c r="A125" s="1646" t="s">
        <v>285</v>
      </c>
      <c r="B125" s="1643" t="s">
        <v>290</v>
      </c>
      <c r="C125" s="1641" t="s">
        <v>3340</v>
      </c>
      <c r="D125" s="1206" t="s">
        <v>1834</v>
      </c>
      <c r="E125" s="1232" t="s">
        <v>162</v>
      </c>
      <c r="F125" s="1232" t="s">
        <v>132</v>
      </c>
      <c r="G125" s="1232" t="s">
        <v>1837</v>
      </c>
      <c r="H125" s="1233"/>
      <c r="I125" s="1233"/>
      <c r="J125" s="1233">
        <v>-698500</v>
      </c>
      <c r="K125" s="1233"/>
      <c r="L125" s="1233"/>
      <c r="M125" s="1233">
        <f>550000+148500</f>
        <v>698500</v>
      </c>
      <c r="N125" s="1233"/>
      <c r="O125" s="1233"/>
      <c r="P125" s="1234"/>
      <c r="Q125" s="1235"/>
      <c r="R125" s="1233"/>
      <c r="S125" s="1233"/>
      <c r="T125" s="1233"/>
      <c r="U125" s="1233"/>
      <c r="V125" s="1233"/>
      <c r="W125" s="1233"/>
      <c r="X125" s="1234"/>
    </row>
    <row r="126" spans="1:24" ht="41.25" customHeight="1" x14ac:dyDescent="0.2">
      <c r="A126" s="1646" t="s">
        <v>286</v>
      </c>
      <c r="B126" s="1643" t="s">
        <v>291</v>
      </c>
      <c r="C126" s="1641" t="s">
        <v>3130</v>
      </c>
      <c r="D126" s="1206" t="s">
        <v>1834</v>
      </c>
      <c r="E126" s="1232" t="s">
        <v>162</v>
      </c>
      <c r="F126" s="1232" t="s">
        <v>133</v>
      </c>
      <c r="G126" s="1232" t="s">
        <v>1837</v>
      </c>
      <c r="H126" s="1233"/>
      <c r="I126" s="1233"/>
      <c r="J126" s="1233">
        <f>-10000+10000</f>
        <v>0</v>
      </c>
      <c r="K126" s="1233"/>
      <c r="L126" s="1233"/>
      <c r="M126" s="1233"/>
      <c r="N126" s="1233"/>
      <c r="O126" s="1233"/>
      <c r="P126" s="1234"/>
      <c r="Q126" s="1235"/>
      <c r="R126" s="1233"/>
      <c r="S126" s="1233"/>
      <c r="T126" s="1233"/>
      <c r="U126" s="1233"/>
      <c r="V126" s="1233"/>
      <c r="W126" s="1233"/>
      <c r="X126" s="1234"/>
    </row>
    <row r="127" spans="1:24" ht="24" customHeight="1" x14ac:dyDescent="0.2">
      <c r="A127" s="2099" t="s">
        <v>287</v>
      </c>
      <c r="B127" s="2104" t="s">
        <v>188</v>
      </c>
      <c r="C127" s="2102" t="s">
        <v>3363</v>
      </c>
      <c r="D127" s="1206" t="s">
        <v>1834</v>
      </c>
      <c r="E127" s="1232" t="s">
        <v>1288</v>
      </c>
      <c r="F127" s="1232" t="s">
        <v>128</v>
      </c>
      <c r="G127" s="1232" t="s">
        <v>1829</v>
      </c>
      <c r="H127" s="1233"/>
      <c r="I127" s="1233"/>
      <c r="J127" s="1233"/>
      <c r="K127" s="1233"/>
      <c r="L127" s="1233"/>
      <c r="M127" s="1233"/>
      <c r="N127" s="1233"/>
      <c r="O127" s="1233"/>
      <c r="P127" s="1234"/>
      <c r="Q127" s="1235"/>
      <c r="R127" s="1233"/>
      <c r="S127" s="1233"/>
      <c r="T127" s="1233"/>
      <c r="U127" s="1233"/>
      <c r="V127" s="1233"/>
      <c r="W127" s="1233"/>
      <c r="X127" s="1234">
        <v>457200</v>
      </c>
    </row>
    <row r="128" spans="1:24" ht="24" customHeight="1" x14ac:dyDescent="0.2">
      <c r="A128" s="2101"/>
      <c r="B128" s="2105"/>
      <c r="C128" s="2103"/>
      <c r="D128" s="1206" t="s">
        <v>1834</v>
      </c>
      <c r="E128" s="1232" t="s">
        <v>162</v>
      </c>
      <c r="F128" s="1232" t="s">
        <v>91</v>
      </c>
      <c r="G128" s="1232" t="s">
        <v>1829</v>
      </c>
      <c r="H128" s="1233"/>
      <c r="I128" s="1233"/>
      <c r="J128" s="1233">
        <f>360000+97200</f>
        <v>457200</v>
      </c>
      <c r="K128" s="1233"/>
      <c r="L128" s="1233"/>
      <c r="M128" s="1233"/>
      <c r="N128" s="1233"/>
      <c r="O128" s="1233"/>
      <c r="P128" s="1234"/>
      <c r="Q128" s="1235"/>
      <c r="R128" s="1233"/>
      <c r="S128" s="1233"/>
      <c r="T128" s="1233"/>
      <c r="U128" s="1233"/>
      <c r="V128" s="1233"/>
      <c r="W128" s="1233"/>
      <c r="X128" s="1234"/>
    </row>
    <row r="129" spans="1:24" ht="24.75" customHeight="1" x14ac:dyDescent="0.2">
      <c r="A129" s="2099" t="s">
        <v>288</v>
      </c>
      <c r="B129" s="2104" t="s">
        <v>189</v>
      </c>
      <c r="C129" s="2102" t="s">
        <v>3373</v>
      </c>
      <c r="D129" s="1206" t="s">
        <v>1834</v>
      </c>
      <c r="E129" s="1232" t="s">
        <v>162</v>
      </c>
      <c r="F129" s="1232" t="s">
        <v>91</v>
      </c>
      <c r="G129" s="1232" t="s">
        <v>3120</v>
      </c>
      <c r="H129" s="1233">
        <f>-2606236+278498</f>
        <v>-2327738</v>
      </c>
      <c r="I129" s="1233"/>
      <c r="J129" s="1233"/>
      <c r="K129" s="1233"/>
      <c r="L129" s="1233"/>
      <c r="M129" s="1233"/>
      <c r="N129" s="1233"/>
      <c r="O129" s="1233"/>
      <c r="P129" s="1234"/>
      <c r="Q129" s="1235"/>
      <c r="R129" s="1233"/>
      <c r="S129" s="1233"/>
      <c r="T129" s="1233"/>
      <c r="U129" s="1233"/>
      <c r="V129" s="1233"/>
      <c r="W129" s="1233"/>
      <c r="X129" s="1234"/>
    </row>
    <row r="130" spans="1:24" ht="24.75" customHeight="1" x14ac:dyDescent="0.2">
      <c r="A130" s="2101"/>
      <c r="B130" s="2105"/>
      <c r="C130" s="2103"/>
      <c r="D130" s="1206" t="s">
        <v>1834</v>
      </c>
      <c r="E130" s="1232" t="s">
        <v>162</v>
      </c>
      <c r="F130" s="1232" t="s">
        <v>132</v>
      </c>
      <c r="G130" s="1232" t="s">
        <v>1837</v>
      </c>
      <c r="H130" s="1233">
        <f>2327738-559682+559682</f>
        <v>2327738</v>
      </c>
      <c r="I130" s="1233"/>
      <c r="J130" s="1233"/>
      <c r="K130" s="1233"/>
      <c r="L130" s="1233"/>
      <c r="M130" s="1233"/>
      <c r="N130" s="1233"/>
      <c r="O130" s="1233"/>
      <c r="P130" s="1234"/>
      <c r="Q130" s="1235"/>
      <c r="R130" s="1233"/>
      <c r="S130" s="1233"/>
      <c r="T130" s="1233"/>
      <c r="U130" s="1233"/>
      <c r="V130" s="1233"/>
      <c r="W130" s="1233"/>
      <c r="X130" s="1234"/>
    </row>
    <row r="131" spans="1:24" ht="38.25" customHeight="1" x14ac:dyDescent="0.2">
      <c r="A131" s="1646" t="s">
        <v>289</v>
      </c>
      <c r="B131" s="1643" t="s">
        <v>190</v>
      </c>
      <c r="C131" s="1641" t="s">
        <v>3428</v>
      </c>
      <c r="D131" s="1206" t="s">
        <v>1834</v>
      </c>
      <c r="E131" s="1232" t="s">
        <v>162</v>
      </c>
      <c r="F131" s="1232" t="s">
        <v>132</v>
      </c>
      <c r="G131" s="1232" t="s">
        <v>1837</v>
      </c>
      <c r="H131" s="1233">
        <f>-94960+94960</f>
        <v>0</v>
      </c>
      <c r="I131" s="1233"/>
      <c r="J131" s="1233"/>
      <c r="K131" s="1233"/>
      <c r="L131" s="1233"/>
      <c r="M131" s="1233"/>
      <c r="N131" s="1233"/>
      <c r="O131" s="1233"/>
      <c r="P131" s="1234"/>
      <c r="Q131" s="1235"/>
      <c r="R131" s="1233"/>
      <c r="S131" s="1233"/>
      <c r="T131" s="1233"/>
      <c r="U131" s="1233"/>
      <c r="V131" s="1233"/>
      <c r="W131" s="1233"/>
      <c r="X131" s="1234"/>
    </row>
    <row r="132" spans="1:24" ht="41.25" customHeight="1" x14ac:dyDescent="0.2">
      <c r="A132" s="1646" t="s">
        <v>290</v>
      </c>
      <c r="B132" s="1643" t="s">
        <v>191</v>
      </c>
      <c r="C132" s="1641" t="s">
        <v>3437</v>
      </c>
      <c r="D132" s="1206" t="s">
        <v>1834</v>
      </c>
      <c r="E132" s="1232" t="s">
        <v>162</v>
      </c>
      <c r="F132" s="1232" t="s">
        <v>133</v>
      </c>
      <c r="G132" s="1232" t="s">
        <v>1837</v>
      </c>
      <c r="H132" s="1233"/>
      <c r="I132" s="1233"/>
      <c r="J132" s="1233">
        <f>-150848+150848</f>
        <v>0</v>
      </c>
      <c r="K132" s="1233"/>
      <c r="L132" s="1233"/>
      <c r="M132" s="1233"/>
      <c r="N132" s="1233"/>
      <c r="O132" s="1233"/>
      <c r="P132" s="1234"/>
      <c r="Q132" s="1235"/>
      <c r="R132" s="1233"/>
      <c r="S132" s="1233"/>
      <c r="T132" s="1233"/>
      <c r="U132" s="1233"/>
      <c r="V132" s="1233"/>
      <c r="W132" s="1233"/>
      <c r="X132" s="1234"/>
    </row>
    <row r="133" spans="1:24" ht="24" customHeight="1" x14ac:dyDescent="0.2">
      <c r="A133" s="2099" t="s">
        <v>291</v>
      </c>
      <c r="B133" s="2104" t="s">
        <v>192</v>
      </c>
      <c r="C133" s="2102" t="s">
        <v>3451</v>
      </c>
      <c r="D133" s="1206" t="s">
        <v>1834</v>
      </c>
      <c r="E133" s="1232" t="s">
        <v>162</v>
      </c>
      <c r="F133" s="1232" t="s">
        <v>91</v>
      </c>
      <c r="G133" s="1232" t="s">
        <v>1837</v>
      </c>
      <c r="H133" s="1233">
        <f>-71999+66849+5150</f>
        <v>0</v>
      </c>
      <c r="I133" s="1233"/>
      <c r="J133" s="1233"/>
      <c r="K133" s="1233"/>
      <c r="L133" s="1233"/>
      <c r="M133" s="1233"/>
      <c r="N133" s="1233"/>
      <c r="O133" s="1233"/>
      <c r="P133" s="1234"/>
      <c r="Q133" s="1235"/>
      <c r="R133" s="1233"/>
      <c r="S133" s="1233"/>
      <c r="T133" s="1233"/>
      <c r="U133" s="1233"/>
      <c r="V133" s="1233"/>
      <c r="W133" s="1233"/>
      <c r="X133" s="1234"/>
    </row>
    <row r="134" spans="1:24" ht="24" customHeight="1" x14ac:dyDescent="0.2">
      <c r="A134" s="2101"/>
      <c r="B134" s="2105"/>
      <c r="C134" s="2103"/>
      <c r="D134" s="1206" t="s">
        <v>1834</v>
      </c>
      <c r="E134" s="1232" t="s">
        <v>162</v>
      </c>
      <c r="F134" s="1232" t="s">
        <v>132</v>
      </c>
      <c r="G134" s="1232" t="s">
        <v>1837</v>
      </c>
      <c r="H134" s="1233">
        <f>-200509+200000+509</f>
        <v>0</v>
      </c>
      <c r="I134" s="1233"/>
      <c r="J134" s="1233"/>
      <c r="K134" s="1233"/>
      <c r="L134" s="1233"/>
      <c r="M134" s="1233"/>
      <c r="N134" s="1233"/>
      <c r="O134" s="1233"/>
      <c r="P134" s="1234"/>
      <c r="Q134" s="1235"/>
      <c r="R134" s="1233"/>
      <c r="S134" s="1233"/>
      <c r="T134" s="1233"/>
      <c r="U134" s="1233"/>
      <c r="V134" s="1233"/>
      <c r="W134" s="1233"/>
      <c r="X134" s="1234"/>
    </row>
    <row r="135" spans="1:24" ht="28.5" customHeight="1" x14ac:dyDescent="0.2">
      <c r="A135" s="1646" t="s">
        <v>292</v>
      </c>
      <c r="B135" s="1643" t="s">
        <v>193</v>
      </c>
      <c r="C135" s="1641" t="s">
        <v>3468</v>
      </c>
      <c r="D135" s="1206" t="s">
        <v>1834</v>
      </c>
      <c r="E135" s="1232" t="s">
        <v>162</v>
      </c>
      <c r="F135" s="1232" t="s">
        <v>91</v>
      </c>
      <c r="G135" s="1232" t="s">
        <v>1828</v>
      </c>
      <c r="H135" s="1233"/>
      <c r="I135" s="1233"/>
      <c r="J135" s="1233">
        <v>-271134</v>
      </c>
      <c r="K135" s="1233"/>
      <c r="L135" s="1233"/>
      <c r="M135" s="1233"/>
      <c r="N135" s="1233"/>
      <c r="O135" s="1233"/>
      <c r="P135" s="1234"/>
      <c r="Q135" s="1235"/>
      <c r="R135" s="1233"/>
      <c r="S135" s="1233"/>
      <c r="T135" s="1233">
        <f>-172500-7-98627</f>
        <v>-271134</v>
      </c>
      <c r="U135" s="1233"/>
      <c r="V135" s="1233"/>
      <c r="W135" s="1233"/>
      <c r="X135" s="1234"/>
    </row>
    <row r="136" spans="1:24" ht="20.25" customHeight="1" x14ac:dyDescent="0.2">
      <c r="A136" s="1650"/>
      <c r="B136" s="1649"/>
      <c r="C136" s="1205"/>
      <c r="D136" s="1206"/>
      <c r="E136" s="1232"/>
      <c r="F136" s="1232"/>
      <c r="G136" s="1232"/>
      <c r="H136" s="1233"/>
      <c r="I136" s="1233"/>
      <c r="J136" s="1233"/>
      <c r="K136" s="1233"/>
      <c r="L136" s="1233"/>
      <c r="M136" s="1233"/>
      <c r="N136" s="1233"/>
      <c r="O136" s="1233"/>
      <c r="P136" s="1234"/>
      <c r="Q136" s="1235"/>
      <c r="R136" s="1233"/>
      <c r="S136" s="1233"/>
      <c r="T136" s="1233"/>
      <c r="U136" s="1233"/>
      <c r="V136" s="1233"/>
      <c r="W136" s="1233"/>
      <c r="X136" s="1234"/>
    </row>
    <row r="137" spans="1:24" ht="18.75" x14ac:dyDescent="0.3">
      <c r="A137" s="2143" t="s">
        <v>1749</v>
      </c>
      <c r="B137" s="2144"/>
      <c r="C137" s="2083"/>
      <c r="D137" s="1179"/>
      <c r="E137" s="1179"/>
      <c r="F137" s="1179"/>
      <c r="G137" s="1179"/>
      <c r="H137" s="1365">
        <f t="shared" ref="H137:X137" si="3">SUM(H117:H136)+H100</f>
        <v>18783120</v>
      </c>
      <c r="I137" s="1365">
        <f t="shared" si="3"/>
        <v>3499306</v>
      </c>
      <c r="J137" s="1365">
        <f t="shared" si="3"/>
        <v>11966759</v>
      </c>
      <c r="K137" s="1365">
        <f t="shared" si="3"/>
        <v>0</v>
      </c>
      <c r="L137" s="1365">
        <f t="shared" si="3"/>
        <v>5361669</v>
      </c>
      <c r="M137" s="1365">
        <f t="shared" si="3"/>
        <v>2506835</v>
      </c>
      <c r="N137" s="1365">
        <f t="shared" si="3"/>
        <v>0</v>
      </c>
      <c r="O137" s="1365">
        <f t="shared" si="3"/>
        <v>0</v>
      </c>
      <c r="P137" s="1366">
        <f t="shared" si="3"/>
        <v>0</v>
      </c>
      <c r="Q137" s="1367">
        <f t="shared" si="3"/>
        <v>350000</v>
      </c>
      <c r="R137" s="1365">
        <f t="shared" si="3"/>
        <v>0</v>
      </c>
      <c r="S137" s="1365">
        <f t="shared" si="3"/>
        <v>0</v>
      </c>
      <c r="T137" s="1365">
        <f t="shared" si="3"/>
        <v>2213523</v>
      </c>
      <c r="U137" s="1365">
        <f t="shared" si="3"/>
        <v>0</v>
      </c>
      <c r="V137" s="1365">
        <f t="shared" si="3"/>
        <v>0</v>
      </c>
      <c r="W137" s="1365">
        <f t="shared" si="3"/>
        <v>0</v>
      </c>
      <c r="X137" s="1366">
        <f t="shared" si="3"/>
        <v>39554166</v>
      </c>
    </row>
    <row r="138" spans="1:24" ht="18.75" x14ac:dyDescent="0.3">
      <c r="A138" s="1217"/>
      <c r="B138" s="1217"/>
      <c r="C138" s="1258"/>
      <c r="D138" s="1192"/>
      <c r="E138" s="1192"/>
      <c r="F138" s="1192"/>
      <c r="G138" s="1192"/>
      <c r="H138" s="1252">
        <f>+'2.3. sz. Mese Óvoda'!Q9-'2.3. sz. Mese Óvoda'!P9</f>
        <v>18783120</v>
      </c>
      <c r="I138" s="1252">
        <f>+'2.3. sz. Mese Óvoda'!Q10-'2.3. sz. Mese Óvoda'!P10</f>
        <v>3499306</v>
      </c>
      <c r="J138" s="1252">
        <f>+'2.3. sz. Mese Óvoda'!Q11-'2.3. sz. Mese Óvoda'!P11</f>
        <v>11966759</v>
      </c>
      <c r="K138" s="1252">
        <f>+'2.3. sz. Mese Óvoda'!Q12-'2.3. sz. Mese Óvoda'!P12</f>
        <v>0</v>
      </c>
      <c r="L138" s="1252">
        <f>+'2.3. sz. Mese Óvoda'!Q13-'2.3. sz. Mese Óvoda'!P13</f>
        <v>5361669</v>
      </c>
      <c r="M138" s="1252">
        <f>+'2.3. sz. Mese Óvoda'!Q17-'2.3. sz. Mese Óvoda'!P17</f>
        <v>2506835</v>
      </c>
      <c r="N138" s="1252">
        <f>+'2.3. sz. Mese Óvoda'!Q18-'2.3. sz. Mese Óvoda'!P18</f>
        <v>0</v>
      </c>
      <c r="O138" s="1252">
        <f>+'2.3. sz. Mese Óvoda'!Q19-'2.3. sz. Mese Óvoda'!P19</f>
        <v>0</v>
      </c>
      <c r="P138" s="1252">
        <f>+'2.3. sz. Mese Óvoda'!Q22-'2.3. sz. Mese Óvoda'!P22</f>
        <v>0</v>
      </c>
      <c r="Q138" s="1252">
        <f>+'2.3. sz. Mese Óvoda'!Q31-'2.3. sz. Mese Óvoda'!P31</f>
        <v>350000</v>
      </c>
      <c r="R138" s="1252">
        <f>+'2.3. sz. Mese Óvoda'!Q32-'2.3. sz. Mese Óvoda'!P32</f>
        <v>0</v>
      </c>
      <c r="S138" s="1252">
        <f>+'2.3. sz. Mese Óvoda'!Q33-'2.3. sz. Mese Óvoda'!P33</f>
        <v>0</v>
      </c>
      <c r="T138" s="1252">
        <f>+'2.3. sz. Mese Óvoda'!Q34-'2.3. sz. Mese Óvoda'!P34</f>
        <v>2213523</v>
      </c>
      <c r="U138" s="1252">
        <f>+'2.3. sz. Mese Óvoda'!Q35-'2.3. sz. Mese Óvoda'!P35</f>
        <v>0</v>
      </c>
      <c r="V138" s="1252">
        <f>+'2.3. sz. Mese Óvoda'!Q36-'2.3. sz. Mese Óvoda'!P36</f>
        <v>0</v>
      </c>
      <c r="W138" s="1252">
        <f>+'2.3. sz. Mese Óvoda'!Q37-'2.3. sz. Mese Óvoda'!P37</f>
        <v>0</v>
      </c>
      <c r="X138" s="1252">
        <f>+'2.3. sz. Mese Óvoda'!Q39-'2.3. sz. Mese Óvoda'!P39</f>
        <v>39554166</v>
      </c>
    </row>
    <row r="139" spans="1:24" ht="18.75" x14ac:dyDescent="0.3">
      <c r="A139" s="1217"/>
      <c r="B139" s="1217"/>
      <c r="C139" s="1258"/>
      <c r="D139" s="1192"/>
      <c r="E139" s="1192"/>
      <c r="F139" s="1192"/>
      <c r="G139" s="1192"/>
      <c r="H139" s="1193">
        <f>+H138-H137</f>
        <v>0</v>
      </c>
      <c r="I139" s="1193">
        <f t="shared" ref="I139:M139" si="4">+I138-I137</f>
        <v>0</v>
      </c>
      <c r="J139" s="1193">
        <f t="shared" si="4"/>
        <v>0</v>
      </c>
      <c r="K139" s="1193">
        <f t="shared" si="4"/>
        <v>0</v>
      </c>
      <c r="L139" s="1193">
        <f t="shared" si="4"/>
        <v>0</v>
      </c>
      <c r="M139" s="1193">
        <f t="shared" si="4"/>
        <v>0</v>
      </c>
      <c r="N139" s="1193">
        <f>+N138-N137</f>
        <v>0</v>
      </c>
      <c r="O139" s="1193">
        <f t="shared" ref="O139:P139" si="5">+O138-O137</f>
        <v>0</v>
      </c>
      <c r="P139" s="1193">
        <f t="shared" si="5"/>
        <v>0</v>
      </c>
      <c r="Q139" s="1193">
        <f>+Q138-Q137</f>
        <v>0</v>
      </c>
      <c r="R139" s="1193">
        <f t="shared" ref="R139:X139" si="6">+R138-R137</f>
        <v>0</v>
      </c>
      <c r="S139" s="1193">
        <f t="shared" si="6"/>
        <v>0</v>
      </c>
      <c r="T139" s="1193">
        <f t="shared" si="6"/>
        <v>0</v>
      </c>
      <c r="U139" s="1193">
        <f t="shared" si="6"/>
        <v>0</v>
      </c>
      <c r="V139" s="1193">
        <f t="shared" si="6"/>
        <v>0</v>
      </c>
      <c r="W139" s="1193">
        <f t="shared" si="6"/>
        <v>0</v>
      </c>
      <c r="X139" s="1193">
        <f t="shared" si="6"/>
        <v>0</v>
      </c>
    </row>
    <row r="140" spans="1:24" ht="15" x14ac:dyDescent="0.25">
      <c r="A140" s="1258"/>
      <c r="B140" s="1258"/>
      <c r="C140" s="1258"/>
      <c r="D140" s="1192"/>
      <c r="E140" s="1192"/>
      <c r="F140" s="1192"/>
      <c r="G140" s="1192"/>
      <c r="H140" s="1193"/>
      <c r="I140" s="1193"/>
      <c r="J140" s="1193"/>
      <c r="K140" s="1193"/>
      <c r="L140" s="1193"/>
      <c r="M140" s="1193"/>
      <c r="N140" s="1193"/>
      <c r="O140" s="1193"/>
      <c r="P140" s="1193"/>
      <c r="Q140" s="1193"/>
      <c r="R140" s="1193"/>
      <c r="S140" s="1193"/>
      <c r="T140" s="1193"/>
      <c r="U140" s="1193"/>
      <c r="V140" s="1193"/>
      <c r="W140" s="1193"/>
      <c r="X140" s="1193"/>
    </row>
    <row r="141" spans="1:24" ht="24" customHeight="1" x14ac:dyDescent="0.25">
      <c r="A141" s="1258"/>
      <c r="B141" s="1258"/>
      <c r="C141" s="1197"/>
      <c r="D141" s="1197"/>
      <c r="E141" s="1197"/>
      <c r="F141" s="1197"/>
      <c r="G141" s="1197"/>
      <c r="H141" s="1224"/>
      <c r="I141" s="2140" t="s">
        <v>1750</v>
      </c>
      <c r="J141" s="2142"/>
      <c r="K141" s="2141"/>
      <c r="L141" s="2140">
        <v>596269438</v>
      </c>
      <c r="M141" s="2141"/>
      <c r="N141" s="1225"/>
      <c r="O141" s="1225"/>
      <c r="P141" s="1225"/>
      <c r="Q141" s="1225"/>
      <c r="R141" s="2140" t="s">
        <v>1751</v>
      </c>
      <c r="S141" s="2142"/>
      <c r="T141" s="2141"/>
      <c r="U141" s="2140">
        <v>596269438</v>
      </c>
      <c r="V141" s="2141"/>
      <c r="W141" s="1224"/>
      <c r="X141" s="1224"/>
    </row>
    <row r="142" spans="1:24" ht="22.5" customHeight="1" x14ac:dyDescent="0.25">
      <c r="A142" s="1197"/>
      <c r="B142" s="1197"/>
      <c r="C142" s="1197"/>
      <c r="D142" s="1197"/>
      <c r="E142" s="1197"/>
      <c r="F142" s="1197"/>
      <c r="G142" s="1197"/>
      <c r="H142" s="1224"/>
      <c r="I142" s="2066" t="s">
        <v>3474</v>
      </c>
      <c r="J142" s="2066"/>
      <c r="K142" s="2066"/>
      <c r="L142" s="2140">
        <f>SUM(H137:P137)</f>
        <v>42117689</v>
      </c>
      <c r="M142" s="2141"/>
      <c r="N142" s="1225"/>
      <c r="O142" s="1225"/>
      <c r="P142" s="1225"/>
      <c r="Q142" s="1225"/>
      <c r="R142" s="2066" t="s">
        <v>3474</v>
      </c>
      <c r="S142" s="2066"/>
      <c r="T142" s="2066"/>
      <c r="U142" s="2140">
        <f>SUM(Q137:X137)</f>
        <v>42117689</v>
      </c>
      <c r="V142" s="2141"/>
      <c r="W142" s="1224"/>
      <c r="X142" s="1224"/>
    </row>
    <row r="143" spans="1:24" ht="21" customHeight="1" x14ac:dyDescent="0.25">
      <c r="A143" s="1197"/>
      <c r="B143" s="1197"/>
      <c r="C143" s="1197"/>
      <c r="D143" s="1197"/>
      <c r="E143" s="1197"/>
      <c r="F143" s="1197"/>
      <c r="G143" s="1197"/>
      <c r="H143" s="1224"/>
      <c r="I143" s="2140" t="s">
        <v>1561</v>
      </c>
      <c r="J143" s="2142"/>
      <c r="K143" s="2141"/>
      <c r="L143" s="2140">
        <f>+L141+L142</f>
        <v>638387127</v>
      </c>
      <c r="M143" s="2141"/>
      <c r="N143" s="1225"/>
      <c r="O143" s="1225"/>
      <c r="P143" s="1225"/>
      <c r="Q143" s="1225"/>
      <c r="R143" s="2140" t="s">
        <v>1561</v>
      </c>
      <c r="S143" s="2142"/>
      <c r="T143" s="2141"/>
      <c r="U143" s="2140">
        <f>+U141+U142</f>
        <v>638387127</v>
      </c>
      <c r="V143" s="2141"/>
      <c r="W143" s="1224"/>
      <c r="X143" s="1224"/>
    </row>
    <row r="144" spans="1:24" x14ac:dyDescent="0.2">
      <c r="A144" s="348"/>
      <c r="B144" s="348"/>
      <c r="C144" s="348"/>
      <c r="D144" s="348"/>
      <c r="E144" s="348"/>
      <c r="F144" s="348"/>
      <c r="G144" s="348"/>
      <c r="H144" s="348"/>
      <c r="I144" s="348"/>
      <c r="J144" s="348"/>
      <c r="K144" s="348"/>
      <c r="L144" s="348"/>
      <c r="M144" s="348"/>
      <c r="N144" s="348"/>
      <c r="O144" s="348"/>
      <c r="P144" s="348"/>
      <c r="Q144" s="348"/>
      <c r="R144" s="348"/>
      <c r="S144" s="348"/>
      <c r="T144" s="348"/>
      <c r="U144" s="348"/>
      <c r="V144" s="348"/>
      <c r="W144" s="348"/>
      <c r="X144" s="348"/>
    </row>
    <row r="145" spans="1:24" x14ac:dyDescent="0.2">
      <c r="A145" s="348"/>
      <c r="B145" s="348"/>
      <c r="C145" s="348"/>
      <c r="D145" s="348"/>
      <c r="E145" s="348"/>
      <c r="F145" s="348"/>
      <c r="G145" s="348"/>
      <c r="H145" s="348"/>
      <c r="I145" s="348"/>
      <c r="J145" s="348"/>
      <c r="K145" s="348"/>
      <c r="L145" s="348"/>
      <c r="M145" s="348"/>
      <c r="N145" s="348"/>
      <c r="O145" s="348"/>
      <c r="P145" s="348"/>
      <c r="Q145" s="348"/>
      <c r="R145" s="348"/>
      <c r="S145" s="348"/>
      <c r="T145" s="348"/>
      <c r="U145" s="348"/>
      <c r="V145" s="348"/>
      <c r="W145" s="348"/>
      <c r="X145" s="348"/>
    </row>
    <row r="146" spans="1:24" x14ac:dyDescent="0.2">
      <c r="A146" s="348"/>
      <c r="B146" s="348"/>
      <c r="C146" s="348"/>
      <c r="D146" s="348"/>
      <c r="E146" s="348"/>
      <c r="F146" s="348"/>
      <c r="G146" s="348"/>
      <c r="H146" s="348"/>
      <c r="I146" s="348"/>
      <c r="J146" s="348"/>
      <c r="K146" s="348"/>
      <c r="L146" s="348"/>
      <c r="M146" s="348"/>
      <c r="N146" s="348"/>
      <c r="O146" s="348"/>
      <c r="P146" s="348"/>
      <c r="Q146" s="348"/>
      <c r="R146" s="348"/>
      <c r="S146" s="348"/>
      <c r="T146" s="348"/>
      <c r="U146" s="348"/>
      <c r="V146" s="348"/>
      <c r="W146" s="348"/>
      <c r="X146" s="348"/>
    </row>
    <row r="147" spans="1:24" x14ac:dyDescent="0.2">
      <c r="A147" s="348"/>
      <c r="B147" s="348"/>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row>
    <row r="148" spans="1:24" x14ac:dyDescent="0.2">
      <c r="A148" s="348"/>
      <c r="B148" s="348"/>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row>
    <row r="149" spans="1:24" x14ac:dyDescent="0.2">
      <c r="A149" s="348"/>
      <c r="B149" s="348"/>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row>
    <row r="150" spans="1:24" x14ac:dyDescent="0.2">
      <c r="A150" s="348"/>
      <c r="B150" s="348"/>
      <c r="C150" s="348"/>
      <c r="D150" s="348"/>
      <c r="E150" s="348"/>
      <c r="F150" s="348"/>
      <c r="G150" s="348"/>
      <c r="H150" s="348"/>
      <c r="I150" s="348"/>
      <c r="J150" s="348"/>
      <c r="K150" s="348"/>
      <c r="L150" s="348"/>
      <c r="M150" s="348"/>
      <c r="N150" s="348"/>
      <c r="O150" s="348"/>
      <c r="P150" s="348"/>
      <c r="Q150" s="348"/>
      <c r="R150" s="348"/>
      <c r="S150" s="348"/>
      <c r="T150" s="348"/>
      <c r="U150" s="348"/>
      <c r="V150" s="348"/>
      <c r="W150" s="348"/>
      <c r="X150" s="348"/>
    </row>
    <row r="151" spans="1:24" x14ac:dyDescent="0.2">
      <c r="A151" s="348"/>
      <c r="B151" s="348"/>
      <c r="C151" s="348"/>
      <c r="D151" s="348"/>
      <c r="E151" s="348"/>
      <c r="F151" s="348"/>
      <c r="G151" s="348"/>
      <c r="H151" s="348"/>
      <c r="I151" s="348"/>
      <c r="J151" s="348"/>
      <c r="K151" s="348"/>
      <c r="L151" s="348"/>
      <c r="M151" s="348"/>
      <c r="N151" s="348"/>
      <c r="O151" s="348"/>
      <c r="P151" s="348"/>
      <c r="Q151" s="348"/>
      <c r="R151" s="348"/>
      <c r="S151" s="348"/>
      <c r="T151" s="348"/>
      <c r="U151" s="348"/>
      <c r="V151" s="348"/>
      <c r="W151" s="348"/>
      <c r="X151" s="348"/>
    </row>
    <row r="152" spans="1:24" x14ac:dyDescent="0.2">
      <c r="A152" s="348"/>
      <c r="B152" s="348"/>
      <c r="C152" s="348"/>
      <c r="D152" s="348"/>
      <c r="E152" s="348"/>
      <c r="F152" s="348"/>
      <c r="G152" s="348"/>
      <c r="H152" s="348"/>
      <c r="I152" s="348"/>
      <c r="J152" s="348"/>
      <c r="K152" s="348"/>
      <c r="L152" s="348"/>
      <c r="M152" s="348"/>
      <c r="N152" s="348"/>
      <c r="O152" s="348"/>
      <c r="P152" s="348"/>
      <c r="Q152" s="348"/>
      <c r="R152" s="348"/>
      <c r="S152" s="348"/>
      <c r="T152" s="348"/>
      <c r="U152" s="348"/>
      <c r="V152" s="348"/>
      <c r="W152" s="348"/>
      <c r="X152" s="348"/>
    </row>
    <row r="153" spans="1:24" x14ac:dyDescent="0.2">
      <c r="A153" s="348"/>
      <c r="B153" s="348"/>
      <c r="C153" s="348"/>
      <c r="D153" s="348"/>
      <c r="E153" s="348"/>
      <c r="F153" s="348"/>
      <c r="G153" s="348"/>
      <c r="H153" s="348"/>
      <c r="I153" s="348"/>
      <c r="J153" s="348"/>
      <c r="K153" s="348"/>
      <c r="L153" s="348"/>
      <c r="M153" s="348"/>
      <c r="N153" s="348"/>
      <c r="O153" s="348"/>
      <c r="P153" s="348"/>
      <c r="Q153" s="348"/>
      <c r="R153" s="348"/>
      <c r="S153" s="348"/>
      <c r="T153" s="348"/>
      <c r="U153" s="348"/>
      <c r="V153" s="348"/>
      <c r="W153" s="348"/>
      <c r="X153" s="348"/>
    </row>
    <row r="154" spans="1:24" x14ac:dyDescent="0.2">
      <c r="A154" s="348"/>
      <c r="B154" s="348"/>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348"/>
    </row>
    <row r="155" spans="1:24" x14ac:dyDescent="0.2">
      <c r="A155" s="348"/>
      <c r="B155" s="348"/>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348"/>
    </row>
    <row r="156" spans="1:24" x14ac:dyDescent="0.2">
      <c r="A156" s="348"/>
      <c r="B156" s="348"/>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348"/>
    </row>
    <row r="157" spans="1:24" x14ac:dyDescent="0.2">
      <c r="A157" s="348"/>
      <c r="B157" s="348"/>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348"/>
    </row>
    <row r="158" spans="1:24" x14ac:dyDescent="0.2">
      <c r="A158" s="348"/>
      <c r="B158" s="348"/>
      <c r="C158" s="348"/>
      <c r="D158" s="348"/>
      <c r="E158" s="348"/>
      <c r="F158" s="348"/>
      <c r="G158" s="348"/>
      <c r="H158" s="348"/>
      <c r="I158" s="348"/>
      <c r="J158" s="348"/>
      <c r="K158" s="348"/>
      <c r="L158" s="348"/>
      <c r="M158" s="348"/>
      <c r="N158" s="348"/>
      <c r="O158" s="348"/>
      <c r="P158" s="348"/>
      <c r="Q158" s="348"/>
      <c r="R158" s="348"/>
      <c r="S158" s="348"/>
      <c r="T158" s="348"/>
      <c r="U158" s="348"/>
      <c r="V158" s="348"/>
      <c r="W158" s="348"/>
      <c r="X158" s="348"/>
    </row>
    <row r="159" spans="1:24" x14ac:dyDescent="0.2">
      <c r="A159" s="348"/>
      <c r="B159" s="348"/>
      <c r="C159" s="348"/>
      <c r="D159" s="348"/>
      <c r="E159" s="348"/>
      <c r="F159" s="348"/>
      <c r="G159" s="348"/>
      <c r="H159" s="348"/>
      <c r="I159" s="348"/>
      <c r="J159" s="348"/>
      <c r="K159" s="348"/>
      <c r="L159" s="348"/>
      <c r="M159" s="348"/>
      <c r="N159" s="348"/>
      <c r="O159" s="348"/>
      <c r="P159" s="348"/>
      <c r="Q159" s="348"/>
      <c r="R159" s="348"/>
      <c r="S159" s="348"/>
      <c r="T159" s="348"/>
      <c r="U159" s="348"/>
      <c r="V159" s="348"/>
      <c r="W159" s="348"/>
      <c r="X159" s="348"/>
    </row>
    <row r="160" spans="1:24" x14ac:dyDescent="0.2">
      <c r="A160" s="348"/>
      <c r="B160" s="348"/>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348"/>
    </row>
    <row r="161" spans="1:24" x14ac:dyDescent="0.2">
      <c r="A161" s="348"/>
      <c r="B161" s="348"/>
      <c r="C161" s="348"/>
      <c r="D161" s="348"/>
      <c r="E161" s="348"/>
      <c r="F161" s="348"/>
      <c r="G161" s="348"/>
      <c r="H161" s="348"/>
      <c r="I161" s="348"/>
      <c r="J161" s="348"/>
      <c r="K161" s="348"/>
      <c r="L161" s="348"/>
      <c r="M161" s="348"/>
      <c r="N161" s="348"/>
      <c r="O161" s="348"/>
      <c r="P161" s="348"/>
      <c r="Q161" s="348"/>
      <c r="R161" s="348"/>
      <c r="S161" s="348"/>
      <c r="T161" s="348"/>
      <c r="U161" s="348"/>
      <c r="V161" s="348"/>
      <c r="W161" s="348"/>
      <c r="X161" s="348"/>
    </row>
    <row r="162" spans="1:24" x14ac:dyDescent="0.2">
      <c r="A162" s="348"/>
      <c r="B162" s="348"/>
      <c r="C162" s="348"/>
      <c r="D162" s="348"/>
      <c r="E162" s="348"/>
      <c r="F162" s="348"/>
      <c r="G162" s="348"/>
      <c r="H162" s="348"/>
      <c r="I162" s="348"/>
      <c r="J162" s="348"/>
      <c r="K162" s="348"/>
      <c r="L162" s="348"/>
      <c r="M162" s="348"/>
      <c r="N162" s="348"/>
      <c r="O162" s="348"/>
      <c r="P162" s="348"/>
      <c r="Q162" s="348"/>
      <c r="R162" s="348"/>
      <c r="S162" s="348"/>
      <c r="T162" s="348"/>
      <c r="U162" s="348"/>
      <c r="V162" s="348"/>
      <c r="W162" s="348"/>
      <c r="X162" s="348"/>
    </row>
    <row r="163" spans="1:24" x14ac:dyDescent="0.2">
      <c r="A163" s="348"/>
      <c r="B163" s="348"/>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348"/>
    </row>
    <row r="164" spans="1:24" x14ac:dyDescent="0.2">
      <c r="A164" s="348"/>
      <c r="B164" s="348"/>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348"/>
    </row>
    <row r="165" spans="1:24" x14ac:dyDescent="0.2">
      <c r="A165" s="348"/>
      <c r="B165" s="348"/>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348"/>
    </row>
    <row r="166" spans="1:24" x14ac:dyDescent="0.2">
      <c r="A166" s="348"/>
      <c r="B166" s="348"/>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row>
    <row r="167" spans="1:24" x14ac:dyDescent="0.2">
      <c r="A167" s="348"/>
      <c r="B167" s="348"/>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row>
  </sheetData>
  <mergeCells count="168">
    <mergeCell ref="C86:C87"/>
    <mergeCell ref="B86:B87"/>
    <mergeCell ref="A86:A87"/>
    <mergeCell ref="C55:C56"/>
    <mergeCell ref="B55:B56"/>
    <mergeCell ref="A55:A56"/>
    <mergeCell ref="I76:K76"/>
    <mergeCell ref="I75:K75"/>
    <mergeCell ref="A70:C70"/>
    <mergeCell ref="I74:K74"/>
    <mergeCell ref="C61:C62"/>
    <mergeCell ref="B61:B62"/>
    <mergeCell ref="A61:A62"/>
    <mergeCell ref="C63:C64"/>
    <mergeCell ref="B63:B64"/>
    <mergeCell ref="A63:A64"/>
    <mergeCell ref="C66:C67"/>
    <mergeCell ref="B66:B67"/>
    <mergeCell ref="A66:A67"/>
    <mergeCell ref="A80:X80"/>
    <mergeCell ref="A82:X82"/>
    <mergeCell ref="A84:A85"/>
    <mergeCell ref="B84:B85"/>
    <mergeCell ref="C84:C85"/>
    <mergeCell ref="G50:G51"/>
    <mergeCell ref="H50:O50"/>
    <mergeCell ref="Q50:X50"/>
    <mergeCell ref="R76:T76"/>
    <mergeCell ref="U76:V76"/>
    <mergeCell ref="L74:M74"/>
    <mergeCell ref="R74:T74"/>
    <mergeCell ref="U74:V74"/>
    <mergeCell ref="L75:M75"/>
    <mergeCell ref="R75:T75"/>
    <mergeCell ref="U75:V75"/>
    <mergeCell ref="L76:M76"/>
    <mergeCell ref="C52:C54"/>
    <mergeCell ref="B52:B54"/>
    <mergeCell ref="A52:A54"/>
    <mergeCell ref="C18:C19"/>
    <mergeCell ref="B18:B19"/>
    <mergeCell ref="A18:A19"/>
    <mergeCell ref="A36:C36"/>
    <mergeCell ref="B22:B23"/>
    <mergeCell ref="A22:A23"/>
    <mergeCell ref="C24:C25"/>
    <mergeCell ref="B24:B25"/>
    <mergeCell ref="A24:A25"/>
    <mergeCell ref="C31:C33"/>
    <mergeCell ref="B31:B33"/>
    <mergeCell ref="A31:A33"/>
    <mergeCell ref="B27:B28"/>
    <mergeCell ref="A46:X46"/>
    <mergeCell ref="A48:X48"/>
    <mergeCell ref="A50:A51"/>
    <mergeCell ref="B50:B51"/>
    <mergeCell ref="C50:C51"/>
    <mergeCell ref="D50:D51"/>
    <mergeCell ref="E50:E51"/>
    <mergeCell ref="F50:F51"/>
    <mergeCell ref="C12:C14"/>
    <mergeCell ref="B12:B14"/>
    <mergeCell ref="A12:A14"/>
    <mergeCell ref="C7:C8"/>
    <mergeCell ref="B7:B8"/>
    <mergeCell ref="A7:A8"/>
    <mergeCell ref="C9:C11"/>
    <mergeCell ref="B9:B11"/>
    <mergeCell ref="A9:A11"/>
    <mergeCell ref="C22:C23"/>
    <mergeCell ref="I41:K41"/>
    <mergeCell ref="L41:M41"/>
    <mergeCell ref="R41:T41"/>
    <mergeCell ref="U41:V41"/>
    <mergeCell ref="I42:K42"/>
    <mergeCell ref="L42:M42"/>
    <mergeCell ref="R42:T42"/>
    <mergeCell ref="U42:V42"/>
    <mergeCell ref="A1:X1"/>
    <mergeCell ref="A3:X3"/>
    <mergeCell ref="A5:A6"/>
    <mergeCell ref="B5:B6"/>
    <mergeCell ref="C5:C6"/>
    <mergeCell ref="D5:D6"/>
    <mergeCell ref="E5:E6"/>
    <mergeCell ref="F5:F6"/>
    <mergeCell ref="G5:G6"/>
    <mergeCell ref="H5:O5"/>
    <mergeCell ref="Q5:X5"/>
    <mergeCell ref="A27:A28"/>
    <mergeCell ref="C29:C30"/>
    <mergeCell ref="B29:B30"/>
    <mergeCell ref="A29:A30"/>
    <mergeCell ref="C27:C28"/>
    <mergeCell ref="I40:K40"/>
    <mergeCell ref="L40:M40"/>
    <mergeCell ref="R40:T40"/>
    <mergeCell ref="U40:V40"/>
    <mergeCell ref="D84:D85"/>
    <mergeCell ref="E84:E85"/>
    <mergeCell ref="F84:F85"/>
    <mergeCell ref="G84:G85"/>
    <mergeCell ref="H84:O84"/>
    <mergeCell ref="Q84:X84"/>
    <mergeCell ref="I105:K105"/>
    <mergeCell ref="L105:M105"/>
    <mergeCell ref="R105:T105"/>
    <mergeCell ref="U105:V105"/>
    <mergeCell ref="C88:C89"/>
    <mergeCell ref="B88:B89"/>
    <mergeCell ref="A88:A89"/>
    <mergeCell ref="I106:K106"/>
    <mergeCell ref="L106:M106"/>
    <mergeCell ref="R106:T106"/>
    <mergeCell ref="U106:V106"/>
    <mergeCell ref="A100:C100"/>
    <mergeCell ref="I104:K104"/>
    <mergeCell ref="L104:M104"/>
    <mergeCell ref="R104:T104"/>
    <mergeCell ref="U104:V104"/>
    <mergeCell ref="C91:C93"/>
    <mergeCell ref="B91:B93"/>
    <mergeCell ref="A91:A93"/>
    <mergeCell ref="C95:C96"/>
    <mergeCell ref="B95:B96"/>
    <mergeCell ref="A95:A96"/>
    <mergeCell ref="A127:A128"/>
    <mergeCell ref="C129:C130"/>
    <mergeCell ref="B129:B130"/>
    <mergeCell ref="A129:A130"/>
    <mergeCell ref="C133:C134"/>
    <mergeCell ref="B133:B134"/>
    <mergeCell ref="A133:A134"/>
    <mergeCell ref="A111:X111"/>
    <mergeCell ref="A113:X113"/>
    <mergeCell ref="A115:A116"/>
    <mergeCell ref="B115:B116"/>
    <mergeCell ref="C115:C116"/>
    <mergeCell ref="D115:D116"/>
    <mergeCell ref="E115:E116"/>
    <mergeCell ref="F115:F116"/>
    <mergeCell ref="G115:G116"/>
    <mergeCell ref="H115:O115"/>
    <mergeCell ref="Q115:X115"/>
    <mergeCell ref="I142:K142"/>
    <mergeCell ref="L142:M142"/>
    <mergeCell ref="R142:T142"/>
    <mergeCell ref="U142:V142"/>
    <mergeCell ref="I143:K143"/>
    <mergeCell ref="L143:M143"/>
    <mergeCell ref="R143:T143"/>
    <mergeCell ref="U143:V143"/>
    <mergeCell ref="C117:C118"/>
    <mergeCell ref="A137:C137"/>
    <mergeCell ref="I141:K141"/>
    <mergeCell ref="L141:M141"/>
    <mergeCell ref="R141:T141"/>
    <mergeCell ref="U141:V141"/>
    <mergeCell ref="B117:B118"/>
    <mergeCell ref="A117:A118"/>
    <mergeCell ref="C121:C122"/>
    <mergeCell ref="B121:B122"/>
    <mergeCell ref="A121:A122"/>
    <mergeCell ref="C123:C124"/>
    <mergeCell ref="B123:B124"/>
    <mergeCell ref="A123:A124"/>
    <mergeCell ref="C127:C128"/>
    <mergeCell ref="B127:B128"/>
  </mergeCells>
  <pageMargins left="0.51181102362204722" right="0.51181102362204722" top="0.74803149606299213" bottom="0.74803149606299213" header="0.31496062992125984" footer="0.31496062992125984"/>
  <pageSetup paperSize="9" scale="52" orientation="landscape" r:id="rId1"/>
  <headerFooter>
    <oddHeader>&amp;C2023. évi költségvetés&amp;RDunaharaszti Mese Óvoda előirányzat-módosítása</oddHeader>
    <oddFooter>&amp;C&amp;P/&amp;N</oddFooter>
  </headerFooter>
  <rowBreaks count="4" manualBreakCount="4">
    <brk id="34" max="23" man="1"/>
    <brk id="70" max="23" man="1"/>
    <brk id="106" max="23" man="1"/>
    <brk id="134" max="2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X147"/>
  <sheetViews>
    <sheetView view="pageBreakPreview" topLeftCell="A103" zoomScale="90" zoomScaleNormal="100" zoomScaleSheetLayoutView="90" workbookViewId="0">
      <selection activeCell="R31" sqref="R31:T31"/>
    </sheetView>
  </sheetViews>
  <sheetFormatPr defaultRowHeight="12.75" x14ac:dyDescent="0.2"/>
  <cols>
    <col min="1" max="1" width="5" customWidth="1"/>
    <col min="2" max="2" width="4.7109375" customWidth="1"/>
    <col min="3" max="3" width="32.85546875" customWidth="1"/>
    <col min="4" max="4" width="6" customWidth="1"/>
    <col min="5" max="5" width="6.85546875" customWidth="1"/>
    <col min="6" max="6" width="5.42578125" customWidth="1"/>
    <col min="7" max="7" width="5.7109375" customWidth="1"/>
    <col min="8" max="8" width="11.7109375" customWidth="1"/>
    <col min="9" max="9" width="13.140625" customWidth="1"/>
    <col min="10" max="10" width="11.85546875" customWidth="1"/>
    <col min="11" max="11" width="11.28515625" customWidth="1"/>
    <col min="12" max="12" width="11.5703125" customWidth="1"/>
    <col min="13" max="13" width="11.42578125" customWidth="1"/>
    <col min="14" max="14" width="11.28515625" customWidth="1"/>
    <col min="15" max="15" width="12" customWidth="1"/>
    <col min="16" max="16" width="10.42578125" customWidth="1"/>
    <col min="17" max="17" width="13.85546875" customWidth="1"/>
    <col min="18" max="18" width="13.7109375" customWidth="1"/>
    <col min="19" max="19" width="11" customWidth="1"/>
    <col min="20" max="20" width="11.7109375" customWidth="1"/>
    <col min="21" max="21" width="11" customWidth="1"/>
    <col min="22" max="22" width="11.7109375" customWidth="1"/>
    <col min="23" max="23" width="11.28515625" customWidth="1"/>
    <col min="24" max="24" width="11.42578125" customWidth="1"/>
  </cols>
  <sheetData>
    <row r="1" spans="1:24" ht="15.75" x14ac:dyDescent="0.25">
      <c r="A1" s="2069" t="s">
        <v>2024</v>
      </c>
      <c r="B1" s="2069"/>
      <c r="C1" s="2069"/>
      <c r="D1" s="2069"/>
      <c r="E1" s="2069"/>
      <c r="F1" s="2069"/>
      <c r="G1" s="2069"/>
      <c r="H1" s="2069"/>
      <c r="I1" s="2069"/>
      <c r="J1" s="2069"/>
      <c r="K1" s="2069"/>
      <c r="L1" s="2069"/>
      <c r="M1" s="2069"/>
      <c r="N1" s="2069"/>
      <c r="O1" s="2069"/>
      <c r="P1" s="2069"/>
      <c r="Q1" s="2069"/>
      <c r="R1" s="2069"/>
      <c r="S1" s="2069"/>
      <c r="T1" s="2069"/>
      <c r="U1" s="2069"/>
      <c r="V1" s="2069"/>
      <c r="W1" s="2069"/>
      <c r="X1" s="2069"/>
    </row>
    <row r="2" spans="1:24" ht="15" x14ac:dyDescent="0.25">
      <c r="A2" s="1195"/>
      <c r="B2" s="1195"/>
      <c r="C2" s="1195"/>
      <c r="D2" s="1195"/>
      <c r="E2" s="1195"/>
      <c r="F2" s="1195"/>
      <c r="G2" s="1195"/>
      <c r="H2" s="1195"/>
      <c r="I2" s="1195"/>
      <c r="J2" s="1195"/>
      <c r="K2" s="1195"/>
      <c r="L2" s="1195"/>
      <c r="M2" s="1195"/>
      <c r="N2" s="1195"/>
      <c r="O2" s="1195"/>
      <c r="P2" s="1195"/>
      <c r="Q2" s="1195"/>
      <c r="R2" s="1195"/>
      <c r="S2" s="1195"/>
      <c r="T2" s="1195"/>
      <c r="U2" s="1195"/>
      <c r="V2" s="1195"/>
      <c r="W2" s="1195"/>
      <c r="X2" s="1195"/>
    </row>
    <row r="3" spans="1:24" ht="15" x14ac:dyDescent="0.25">
      <c r="A3" s="2112" t="s">
        <v>1790</v>
      </c>
      <c r="B3" s="2112"/>
      <c r="C3" s="2112"/>
      <c r="D3" s="2112"/>
      <c r="E3" s="2112"/>
      <c r="F3" s="2112"/>
      <c r="G3" s="2112"/>
      <c r="H3" s="2112"/>
      <c r="I3" s="2112"/>
      <c r="J3" s="2112"/>
      <c r="K3" s="2112"/>
      <c r="L3" s="2112"/>
      <c r="M3" s="2112"/>
      <c r="N3" s="2112"/>
      <c r="O3" s="2112"/>
      <c r="P3" s="2112"/>
      <c r="Q3" s="2112"/>
      <c r="R3" s="2112"/>
      <c r="S3" s="2112"/>
      <c r="T3" s="2112"/>
      <c r="U3" s="2112"/>
      <c r="V3" s="2112"/>
      <c r="W3" s="2112"/>
      <c r="X3" s="2112"/>
    </row>
    <row r="4" spans="1:24" ht="15" x14ac:dyDescent="0.25">
      <c r="A4" s="1197"/>
      <c r="B4" s="1197"/>
      <c r="C4" s="1226"/>
      <c r="D4" s="1197"/>
      <c r="E4" s="1197"/>
      <c r="F4" s="1197"/>
      <c r="G4" s="1197"/>
      <c r="H4" s="1197"/>
      <c r="I4" s="1197"/>
      <c r="J4" s="1197"/>
      <c r="K4" s="1197"/>
      <c r="L4" s="1197"/>
      <c r="M4" s="1197"/>
      <c r="N4" s="1197"/>
      <c r="O4" s="1197"/>
      <c r="P4" s="1197"/>
      <c r="Q4" s="1198"/>
      <c r="R4" s="1197"/>
      <c r="S4" s="1197"/>
      <c r="T4" s="1197"/>
      <c r="U4" s="1197"/>
      <c r="V4" s="1197"/>
      <c r="W4" s="1197"/>
      <c r="X4" s="1197"/>
    </row>
    <row r="5" spans="1:24" ht="15" x14ac:dyDescent="0.25">
      <c r="A5" s="2155" t="s">
        <v>37</v>
      </c>
      <c r="B5" s="2093" t="s">
        <v>1726</v>
      </c>
      <c r="C5" s="2157" t="s">
        <v>2</v>
      </c>
      <c r="D5" s="2159" t="s">
        <v>1727</v>
      </c>
      <c r="E5" s="2159" t="s">
        <v>117</v>
      </c>
      <c r="F5" s="2159" t="s">
        <v>1728</v>
      </c>
      <c r="G5" s="2159" t="s">
        <v>1729</v>
      </c>
      <c r="H5" s="2161" t="s">
        <v>1730</v>
      </c>
      <c r="I5" s="2161"/>
      <c r="J5" s="2161"/>
      <c r="K5" s="2161"/>
      <c r="L5" s="2161"/>
      <c r="M5" s="2161"/>
      <c r="N5" s="2161"/>
      <c r="O5" s="2162"/>
      <c r="P5" s="1259"/>
      <c r="Q5" s="2174" t="s">
        <v>1731</v>
      </c>
      <c r="R5" s="2161"/>
      <c r="S5" s="2161"/>
      <c r="T5" s="2161"/>
      <c r="U5" s="2161"/>
      <c r="V5" s="2161"/>
      <c r="W5" s="2161"/>
      <c r="X5" s="2164"/>
    </row>
    <row r="6" spans="1:24" ht="87" customHeight="1" x14ac:dyDescent="0.2">
      <c r="A6" s="2156"/>
      <c r="B6" s="2094"/>
      <c r="C6" s="2158"/>
      <c r="D6" s="2160"/>
      <c r="E6" s="2160"/>
      <c r="F6" s="2160"/>
      <c r="G6" s="2160"/>
      <c r="H6" s="1260" t="s">
        <v>2386</v>
      </c>
      <c r="I6" s="1260" t="s">
        <v>1791</v>
      </c>
      <c r="J6" s="1260" t="s">
        <v>1792</v>
      </c>
      <c r="K6" s="1260" t="s">
        <v>1754</v>
      </c>
      <c r="L6" s="1260" t="s">
        <v>1788</v>
      </c>
      <c r="M6" s="1260" t="s">
        <v>1756</v>
      </c>
      <c r="N6" s="1260" t="s">
        <v>1757</v>
      </c>
      <c r="O6" s="1261" t="s">
        <v>1739</v>
      </c>
      <c r="P6" s="1261" t="s">
        <v>1758</v>
      </c>
      <c r="Q6" s="1262" t="s">
        <v>1741</v>
      </c>
      <c r="R6" s="1260" t="s">
        <v>1742</v>
      </c>
      <c r="S6" s="1260" t="s">
        <v>1793</v>
      </c>
      <c r="T6" s="1260" t="s">
        <v>1794</v>
      </c>
      <c r="U6" s="1260" t="s">
        <v>1745</v>
      </c>
      <c r="V6" s="1260" t="s">
        <v>1746</v>
      </c>
      <c r="W6" s="1260" t="s">
        <v>1747</v>
      </c>
      <c r="X6" s="1263" t="s">
        <v>1795</v>
      </c>
    </row>
    <row r="7" spans="1:24" ht="17.25" customHeight="1" x14ac:dyDescent="0.2">
      <c r="A7" s="2169" t="s">
        <v>188</v>
      </c>
      <c r="B7" s="2167" t="s">
        <v>192</v>
      </c>
      <c r="C7" s="2165" t="s">
        <v>1826</v>
      </c>
      <c r="D7" s="1201" t="s">
        <v>1835</v>
      </c>
      <c r="E7" s="1264">
        <v>104031</v>
      </c>
      <c r="F7" s="1368" t="s">
        <v>152</v>
      </c>
      <c r="G7" s="1264" t="s">
        <v>1828</v>
      </c>
      <c r="H7" s="1265"/>
      <c r="I7" s="1265"/>
      <c r="J7" s="1265"/>
      <c r="K7" s="1265"/>
      <c r="L7" s="1265"/>
      <c r="M7" s="1265"/>
      <c r="N7" s="1265"/>
      <c r="O7" s="1265"/>
      <c r="P7" s="1266"/>
      <c r="Q7" s="1267"/>
      <c r="R7" s="1265"/>
      <c r="S7" s="1265"/>
      <c r="T7" s="1265">
        <f>-1070794-75831</f>
        <v>-1146625</v>
      </c>
      <c r="U7" s="1265"/>
      <c r="V7" s="1265"/>
      <c r="W7" s="1265"/>
      <c r="X7" s="1266"/>
    </row>
    <row r="8" spans="1:24" ht="17.25" customHeight="1" x14ac:dyDescent="0.2">
      <c r="A8" s="2154"/>
      <c r="B8" s="2172"/>
      <c r="C8" s="2152"/>
      <c r="D8" s="1206" t="s">
        <v>1835</v>
      </c>
      <c r="E8" s="1268" t="s">
        <v>555</v>
      </c>
      <c r="F8" s="1269" t="s">
        <v>91</v>
      </c>
      <c r="G8" s="1270" t="s">
        <v>1829</v>
      </c>
      <c r="H8" s="1271"/>
      <c r="I8" s="1271"/>
      <c r="J8" s="1271"/>
      <c r="K8" s="1271"/>
      <c r="L8" s="1271"/>
      <c r="M8" s="1271"/>
      <c r="N8" s="1271"/>
      <c r="O8" s="1271"/>
      <c r="P8" s="1272"/>
      <c r="Q8" s="1273"/>
      <c r="R8" s="1271"/>
      <c r="S8" s="1271"/>
      <c r="T8" s="1271">
        <f>280860+75831</f>
        <v>356691</v>
      </c>
      <c r="U8" s="1271"/>
      <c r="V8" s="1271"/>
      <c r="W8" s="1271"/>
      <c r="X8" s="1272"/>
    </row>
    <row r="9" spans="1:24" ht="17.25" customHeight="1" x14ac:dyDescent="0.2">
      <c r="A9" s="2154"/>
      <c r="B9" s="2172"/>
      <c r="C9" s="2152"/>
      <c r="D9" s="1206" t="s">
        <v>1835</v>
      </c>
      <c r="E9" s="1270">
        <v>104031</v>
      </c>
      <c r="F9" s="1369" t="s">
        <v>132</v>
      </c>
      <c r="G9" s="1269" t="s">
        <v>1829</v>
      </c>
      <c r="H9" s="1271"/>
      <c r="I9" s="1271"/>
      <c r="J9" s="1271"/>
      <c r="K9" s="1271"/>
      <c r="L9" s="1271"/>
      <c r="M9" s="1271"/>
      <c r="N9" s="1271"/>
      <c r="O9" s="1271"/>
      <c r="P9" s="1272"/>
      <c r="Q9" s="1273"/>
      <c r="R9" s="1271"/>
      <c r="S9" s="1271"/>
      <c r="T9" s="1271">
        <v>510300</v>
      </c>
      <c r="U9" s="1271"/>
      <c r="V9" s="1271"/>
      <c r="W9" s="1271"/>
      <c r="X9" s="1272"/>
    </row>
    <row r="10" spans="1:24" ht="17.25" customHeight="1" x14ac:dyDescent="0.2">
      <c r="A10" s="2170"/>
      <c r="B10" s="2168"/>
      <c r="C10" s="2166"/>
      <c r="D10" s="1236" t="s">
        <v>1835</v>
      </c>
      <c r="E10" s="1274" t="s">
        <v>545</v>
      </c>
      <c r="F10" s="1274" t="s">
        <v>151</v>
      </c>
      <c r="G10" s="1274" t="s">
        <v>1829</v>
      </c>
      <c r="H10" s="1275"/>
      <c r="I10" s="1275"/>
      <c r="J10" s="1275"/>
      <c r="K10" s="1275"/>
      <c r="L10" s="1275"/>
      <c r="M10" s="1275"/>
      <c r="N10" s="1275"/>
      <c r="O10" s="1275"/>
      <c r="P10" s="1276"/>
      <c r="Q10" s="1277"/>
      <c r="R10" s="1275"/>
      <c r="S10" s="1275"/>
      <c r="T10" s="1275">
        <v>279634</v>
      </c>
      <c r="U10" s="1275"/>
      <c r="V10" s="1275"/>
      <c r="W10" s="1275"/>
      <c r="X10" s="1276"/>
    </row>
    <row r="11" spans="1:24" ht="20.25" customHeight="1" x14ac:dyDescent="0.2">
      <c r="A11" s="2156" t="s">
        <v>189</v>
      </c>
      <c r="B11" s="2158" t="s">
        <v>193</v>
      </c>
      <c r="C11" s="2102" t="s">
        <v>1836</v>
      </c>
      <c r="D11" s="1206" t="s">
        <v>1835</v>
      </c>
      <c r="E11" s="1268" t="s">
        <v>555</v>
      </c>
      <c r="F11" s="1269" t="s">
        <v>91</v>
      </c>
      <c r="G11" s="1278" t="s">
        <v>1837</v>
      </c>
      <c r="H11" s="1271">
        <f>-1732+1732</f>
        <v>0</v>
      </c>
      <c r="I11" s="1271"/>
      <c r="J11" s="1271"/>
      <c r="K11" s="1271"/>
      <c r="L11" s="1271"/>
      <c r="M11" s="1271"/>
      <c r="N11" s="1271"/>
      <c r="O11" s="1271"/>
      <c r="P11" s="1272"/>
      <c r="Q11" s="1273"/>
      <c r="R11" s="1271"/>
      <c r="S11" s="1271"/>
      <c r="T11" s="1271"/>
      <c r="U11" s="1271"/>
      <c r="V11" s="1271"/>
      <c r="W11" s="1271"/>
      <c r="X11" s="1272"/>
    </row>
    <row r="12" spans="1:24" ht="20.25" customHeight="1" x14ac:dyDescent="0.2">
      <c r="A12" s="2170"/>
      <c r="B12" s="2168"/>
      <c r="C12" s="2103"/>
      <c r="D12" s="1206" t="s">
        <v>1835</v>
      </c>
      <c r="E12" s="1370" t="s">
        <v>545</v>
      </c>
      <c r="F12" s="1371" t="s">
        <v>132</v>
      </c>
      <c r="G12" s="1278" t="s">
        <v>1837</v>
      </c>
      <c r="H12" s="1271">
        <f>-200000+200000</f>
        <v>0</v>
      </c>
      <c r="I12" s="1271"/>
      <c r="J12" s="1271"/>
      <c r="K12" s="1271"/>
      <c r="L12" s="1271"/>
      <c r="M12" s="1271"/>
      <c r="N12" s="1271"/>
      <c r="O12" s="1271"/>
      <c r="P12" s="1272"/>
      <c r="Q12" s="1273"/>
      <c r="R12" s="1271"/>
      <c r="S12" s="1271"/>
      <c r="T12" s="1271"/>
      <c r="U12" s="1271"/>
      <c r="V12" s="1271"/>
      <c r="W12" s="1271"/>
      <c r="X12" s="1272"/>
    </row>
    <row r="13" spans="1:24" ht="29.25" customHeight="1" x14ac:dyDescent="0.2">
      <c r="A13" s="1664" t="s">
        <v>190</v>
      </c>
      <c r="B13" s="1674" t="s">
        <v>194</v>
      </c>
      <c r="C13" s="1641" t="s">
        <v>1841</v>
      </c>
      <c r="D13" s="1206" t="s">
        <v>1835</v>
      </c>
      <c r="E13" s="1370" t="s">
        <v>555</v>
      </c>
      <c r="F13" s="1371" t="s">
        <v>91</v>
      </c>
      <c r="G13" s="1278" t="s">
        <v>1837</v>
      </c>
      <c r="H13" s="1271">
        <f>-2453+2453</f>
        <v>0</v>
      </c>
      <c r="I13" s="1271"/>
      <c r="J13" s="1271"/>
      <c r="K13" s="1271"/>
      <c r="L13" s="1271"/>
      <c r="M13" s="1271"/>
      <c r="N13" s="1271"/>
      <c r="O13" s="1271"/>
      <c r="P13" s="1272"/>
      <c r="Q13" s="1273"/>
      <c r="R13" s="1271"/>
      <c r="S13" s="1271"/>
      <c r="T13" s="1271"/>
      <c r="U13" s="1271"/>
      <c r="V13" s="1271"/>
      <c r="W13" s="1271"/>
      <c r="X13" s="1272"/>
    </row>
    <row r="14" spans="1:24" ht="42" customHeight="1" x14ac:dyDescent="0.2">
      <c r="A14" s="1664" t="s">
        <v>191</v>
      </c>
      <c r="B14" s="1674" t="s">
        <v>195</v>
      </c>
      <c r="C14" s="1641" t="s">
        <v>2192</v>
      </c>
      <c r="D14" s="1206" t="s">
        <v>1835</v>
      </c>
      <c r="E14" s="1370" t="s">
        <v>545</v>
      </c>
      <c r="F14" s="1371" t="s">
        <v>132</v>
      </c>
      <c r="G14" s="1278" t="s">
        <v>1837</v>
      </c>
      <c r="H14" s="1271"/>
      <c r="I14" s="1271"/>
      <c r="J14" s="1271">
        <f>-50000+10000+40000</f>
        <v>0</v>
      </c>
      <c r="K14" s="1271"/>
      <c r="L14" s="1271"/>
      <c r="M14" s="1271"/>
      <c r="N14" s="1271"/>
      <c r="O14" s="1271"/>
      <c r="P14" s="1272"/>
      <c r="Q14" s="1273"/>
      <c r="R14" s="1271"/>
      <c r="S14" s="1271"/>
      <c r="T14" s="1271"/>
      <c r="U14" s="1271"/>
      <c r="V14" s="1271"/>
      <c r="W14" s="1271"/>
      <c r="X14" s="1272"/>
    </row>
    <row r="15" spans="1:24" ht="28.5" customHeight="1" x14ac:dyDescent="0.2">
      <c r="A15" s="1664" t="s">
        <v>192</v>
      </c>
      <c r="B15" s="1674" t="s">
        <v>196</v>
      </c>
      <c r="C15" s="1641" t="s">
        <v>1939</v>
      </c>
      <c r="D15" s="1206" t="s">
        <v>1835</v>
      </c>
      <c r="E15" s="1370" t="s">
        <v>555</v>
      </c>
      <c r="F15" s="1371" t="s">
        <v>91</v>
      </c>
      <c r="G15" s="1278" t="s">
        <v>1837</v>
      </c>
      <c r="H15" s="1271">
        <f>-3463+3463</f>
        <v>0</v>
      </c>
      <c r="I15" s="1271"/>
      <c r="J15" s="1271"/>
      <c r="K15" s="1271"/>
      <c r="L15" s="1271"/>
      <c r="M15" s="1271"/>
      <c r="N15" s="1271"/>
      <c r="O15" s="1271"/>
      <c r="P15" s="1272"/>
      <c r="Q15" s="1273"/>
      <c r="R15" s="1271"/>
      <c r="S15" s="1271"/>
      <c r="T15" s="1271"/>
      <c r="U15" s="1271"/>
      <c r="V15" s="1271"/>
      <c r="W15" s="1271"/>
      <c r="X15" s="1272"/>
    </row>
    <row r="16" spans="1:24" ht="15" customHeight="1" x14ac:dyDescent="0.2">
      <c r="A16" s="2156" t="s">
        <v>193</v>
      </c>
      <c r="B16" s="2158" t="s">
        <v>197</v>
      </c>
      <c r="C16" s="2102" t="s">
        <v>2011</v>
      </c>
      <c r="D16" s="1206" t="s">
        <v>1835</v>
      </c>
      <c r="E16" s="1370" t="s">
        <v>555</v>
      </c>
      <c r="F16" s="1371" t="s">
        <v>91</v>
      </c>
      <c r="G16" s="1278" t="s">
        <v>1829</v>
      </c>
      <c r="H16" s="1271"/>
      <c r="I16" s="1271"/>
      <c r="J16" s="1271">
        <v>56445</v>
      </c>
      <c r="K16" s="1271"/>
      <c r="L16" s="1271"/>
      <c r="M16" s="1271"/>
      <c r="N16" s="1271"/>
      <c r="O16" s="1271"/>
      <c r="P16" s="1272"/>
      <c r="Q16" s="1273"/>
      <c r="R16" s="1271"/>
      <c r="S16" s="1271"/>
      <c r="T16" s="1271">
        <v>56445</v>
      </c>
      <c r="U16" s="1271"/>
      <c r="V16" s="1271"/>
      <c r="W16" s="1271"/>
      <c r="X16" s="1272"/>
    </row>
    <row r="17" spans="1:24" ht="15" customHeight="1" x14ac:dyDescent="0.2">
      <c r="A17" s="2154"/>
      <c r="B17" s="2172"/>
      <c r="C17" s="2106"/>
      <c r="D17" s="1206" t="s">
        <v>1835</v>
      </c>
      <c r="E17" s="1370" t="s">
        <v>545</v>
      </c>
      <c r="F17" s="1371" t="s">
        <v>132</v>
      </c>
      <c r="G17" s="1278" t="s">
        <v>1951</v>
      </c>
      <c r="H17" s="1271"/>
      <c r="I17" s="1271"/>
      <c r="J17" s="1271">
        <v>229741</v>
      </c>
      <c r="K17" s="1271"/>
      <c r="L17" s="1271"/>
      <c r="M17" s="1271"/>
      <c r="N17" s="1271"/>
      <c r="O17" s="1271"/>
      <c r="P17" s="1272"/>
      <c r="Q17" s="1273"/>
      <c r="R17" s="1271"/>
      <c r="S17" s="1271"/>
      <c r="T17" s="1271">
        <v>229741</v>
      </c>
      <c r="U17" s="1271"/>
      <c r="V17" s="1271"/>
      <c r="W17" s="1271"/>
      <c r="X17" s="1272"/>
    </row>
    <row r="18" spans="1:24" ht="15" customHeight="1" x14ac:dyDescent="0.2">
      <c r="A18" s="2170"/>
      <c r="B18" s="2168"/>
      <c r="C18" s="2103"/>
      <c r="D18" s="1206" t="s">
        <v>1835</v>
      </c>
      <c r="E18" s="1270">
        <v>104031</v>
      </c>
      <c r="F18" s="1369" t="s">
        <v>151</v>
      </c>
      <c r="G18" s="1278" t="s">
        <v>1829</v>
      </c>
      <c r="H18" s="1271"/>
      <c r="I18" s="1271"/>
      <c r="J18" s="1271">
        <f>55731+20000</f>
        <v>75731</v>
      </c>
      <c r="K18" s="1271"/>
      <c r="L18" s="1271"/>
      <c r="M18" s="1271"/>
      <c r="N18" s="1271"/>
      <c r="O18" s="1271"/>
      <c r="P18" s="1272"/>
      <c r="Q18" s="1273"/>
      <c r="R18" s="1271"/>
      <c r="S18" s="1271"/>
      <c r="T18" s="1271">
        <v>75731</v>
      </c>
      <c r="U18" s="1271"/>
      <c r="V18" s="1271"/>
      <c r="W18" s="1271"/>
      <c r="X18" s="1272"/>
    </row>
    <row r="19" spans="1:24" ht="22.5" customHeight="1" x14ac:dyDescent="0.2">
      <c r="A19" s="2177" t="s">
        <v>194</v>
      </c>
      <c r="B19" s="2175" t="s">
        <v>198</v>
      </c>
      <c r="C19" s="2102" t="s">
        <v>2032</v>
      </c>
      <c r="D19" s="1212" t="s">
        <v>1835</v>
      </c>
      <c r="E19" s="1399">
        <v>104035</v>
      </c>
      <c r="F19" s="1400" t="s">
        <v>91</v>
      </c>
      <c r="G19" s="1401" t="s">
        <v>1837</v>
      </c>
      <c r="H19" s="1275">
        <f>-3809+3809</f>
        <v>0</v>
      </c>
      <c r="I19" s="1275"/>
      <c r="J19" s="1275"/>
      <c r="K19" s="1275"/>
      <c r="L19" s="1275"/>
      <c r="M19" s="1275"/>
      <c r="N19" s="1275"/>
      <c r="O19" s="1275"/>
      <c r="P19" s="1276"/>
      <c r="Q19" s="1277"/>
      <c r="R19" s="1275"/>
      <c r="S19" s="1275"/>
      <c r="T19" s="1275"/>
      <c r="U19" s="1275"/>
      <c r="V19" s="1275"/>
      <c r="W19" s="1275"/>
      <c r="X19" s="1276"/>
    </row>
    <row r="20" spans="1:24" ht="22.5" customHeight="1" x14ac:dyDescent="0.2">
      <c r="A20" s="2178"/>
      <c r="B20" s="2176"/>
      <c r="C20" s="2103"/>
      <c r="D20" s="1212" t="s">
        <v>1835</v>
      </c>
      <c r="E20" s="1399">
        <v>104031</v>
      </c>
      <c r="F20" s="1400" t="s">
        <v>132</v>
      </c>
      <c r="G20" s="1401" t="s">
        <v>1837</v>
      </c>
      <c r="H20" s="1275">
        <f>-200000+200000</f>
        <v>0</v>
      </c>
      <c r="I20" s="1275"/>
      <c r="J20" s="1275"/>
      <c r="K20" s="1275"/>
      <c r="L20" s="1275"/>
      <c r="M20" s="1275"/>
      <c r="N20" s="1275"/>
      <c r="O20" s="1275"/>
      <c r="P20" s="1276"/>
      <c r="Q20" s="1277"/>
      <c r="R20" s="1275"/>
      <c r="S20" s="1275"/>
      <c r="T20" s="1275"/>
      <c r="U20" s="1275"/>
      <c r="V20" s="1275"/>
      <c r="W20" s="1275"/>
      <c r="X20" s="1276"/>
    </row>
    <row r="21" spans="1:24" ht="18.75" customHeight="1" x14ac:dyDescent="0.2">
      <c r="A21" s="2177" t="s">
        <v>195</v>
      </c>
      <c r="B21" s="2175" t="s">
        <v>225</v>
      </c>
      <c r="C21" s="2102" t="s">
        <v>2193</v>
      </c>
      <c r="D21" s="1212" t="s">
        <v>1835</v>
      </c>
      <c r="E21" s="1399">
        <v>18030</v>
      </c>
      <c r="F21" s="1400" t="s">
        <v>128</v>
      </c>
      <c r="G21" s="1401" t="s">
        <v>1829</v>
      </c>
      <c r="H21" s="1275"/>
      <c r="I21" s="1275"/>
      <c r="J21" s="1275"/>
      <c r="K21" s="1275"/>
      <c r="L21" s="1275"/>
      <c r="M21" s="1275"/>
      <c r="N21" s="1275"/>
      <c r="O21" s="1275"/>
      <c r="P21" s="1276"/>
      <c r="Q21" s="1277"/>
      <c r="R21" s="1275"/>
      <c r="S21" s="1275"/>
      <c r="T21" s="1275"/>
      <c r="U21" s="1275"/>
      <c r="V21" s="1275"/>
      <c r="W21" s="1275"/>
      <c r="X21" s="1276">
        <v>226721</v>
      </c>
    </row>
    <row r="22" spans="1:24" ht="18.75" customHeight="1" x14ac:dyDescent="0.2">
      <c r="A22" s="2180"/>
      <c r="B22" s="2179"/>
      <c r="C22" s="2106"/>
      <c r="D22" s="1212" t="s">
        <v>1835</v>
      </c>
      <c r="E22" s="1399">
        <v>104031</v>
      </c>
      <c r="F22" s="1400" t="s">
        <v>132</v>
      </c>
      <c r="G22" s="1401" t="s">
        <v>1829</v>
      </c>
      <c r="H22" s="1275"/>
      <c r="I22" s="1275"/>
      <c r="J22" s="1275">
        <f>40280+10876</f>
        <v>51156</v>
      </c>
      <c r="K22" s="1275"/>
      <c r="L22" s="1275"/>
      <c r="M22" s="1275"/>
      <c r="N22" s="1275"/>
      <c r="O22" s="1275"/>
      <c r="P22" s="1276"/>
      <c r="Q22" s="1277"/>
      <c r="R22" s="1275"/>
      <c r="S22" s="1275"/>
      <c r="T22" s="1275"/>
      <c r="U22" s="1275"/>
      <c r="V22" s="1275"/>
      <c r="W22" s="1275"/>
      <c r="X22" s="1276"/>
    </row>
    <row r="23" spans="1:24" ht="18.75" customHeight="1" x14ac:dyDescent="0.2">
      <c r="A23" s="2180"/>
      <c r="B23" s="2179"/>
      <c r="C23" s="2103"/>
      <c r="D23" s="1212" t="s">
        <v>1835</v>
      </c>
      <c r="E23" s="1399">
        <v>104031</v>
      </c>
      <c r="F23" s="1400" t="s">
        <v>151</v>
      </c>
      <c r="G23" s="1401" t="s">
        <v>1829</v>
      </c>
      <c r="H23" s="1275"/>
      <c r="I23" s="1275"/>
      <c r="J23" s="1275">
        <f>138240+37325</f>
        <v>175565</v>
      </c>
      <c r="K23" s="1275"/>
      <c r="L23" s="1275"/>
      <c r="M23" s="1275"/>
      <c r="N23" s="1275"/>
      <c r="O23" s="1275"/>
      <c r="P23" s="1276"/>
      <c r="Q23" s="1277"/>
      <c r="R23" s="1275"/>
      <c r="S23" s="1275"/>
      <c r="T23" s="1275"/>
      <c r="U23" s="1275"/>
      <c r="V23" s="1275"/>
      <c r="W23" s="1275"/>
      <c r="X23" s="1276"/>
    </row>
    <row r="24" spans="1:24" ht="21.75" customHeight="1" x14ac:dyDescent="0.2">
      <c r="A24" s="2180" t="s">
        <v>196</v>
      </c>
      <c r="B24" s="2179" t="s">
        <v>226</v>
      </c>
      <c r="C24" s="2102" t="s">
        <v>2194</v>
      </c>
      <c r="D24" s="1212" t="s">
        <v>1835</v>
      </c>
      <c r="E24" s="1399">
        <v>104031</v>
      </c>
      <c r="F24" s="1400" t="s">
        <v>132</v>
      </c>
      <c r="G24" s="1401" t="s">
        <v>1837</v>
      </c>
      <c r="H24" s="1275"/>
      <c r="I24" s="1275"/>
      <c r="J24" s="1275">
        <f>-30000+30000</f>
        <v>0</v>
      </c>
      <c r="K24" s="1275"/>
      <c r="L24" s="1275"/>
      <c r="M24" s="1275"/>
      <c r="N24" s="1275"/>
      <c r="O24" s="1275"/>
      <c r="P24" s="1276"/>
      <c r="Q24" s="1277"/>
      <c r="R24" s="1275"/>
      <c r="S24" s="1275"/>
      <c r="T24" s="1275"/>
      <c r="U24" s="1275"/>
      <c r="V24" s="1275"/>
      <c r="W24" s="1275"/>
      <c r="X24" s="1276"/>
    </row>
    <row r="25" spans="1:24" ht="21.75" customHeight="1" x14ac:dyDescent="0.2">
      <c r="A25" s="2180"/>
      <c r="B25" s="2179"/>
      <c r="C25" s="2106"/>
      <c r="D25" s="1212" t="s">
        <v>1835</v>
      </c>
      <c r="E25" s="1399">
        <v>104031</v>
      </c>
      <c r="F25" s="1400" t="s">
        <v>151</v>
      </c>
      <c r="G25" s="1401" t="s">
        <v>1837</v>
      </c>
      <c r="H25" s="1275"/>
      <c r="I25" s="1275"/>
      <c r="J25" s="1275">
        <f>-50000+50000</f>
        <v>0</v>
      </c>
      <c r="K25" s="1275"/>
      <c r="L25" s="1275"/>
      <c r="M25" s="1275"/>
      <c r="N25" s="1275"/>
      <c r="O25" s="1275"/>
      <c r="P25" s="1276"/>
      <c r="Q25" s="1277"/>
      <c r="R25" s="1275"/>
      <c r="S25" s="1275"/>
      <c r="T25" s="1275"/>
      <c r="U25" s="1275"/>
      <c r="V25" s="1275"/>
      <c r="W25" s="1275"/>
      <c r="X25" s="1276"/>
    </row>
    <row r="26" spans="1:24" ht="18.75" x14ac:dyDescent="0.3">
      <c r="A26" s="2082" t="s">
        <v>1749</v>
      </c>
      <c r="B26" s="2083"/>
      <c r="C26" s="2084"/>
      <c r="D26" s="1179"/>
      <c r="E26" s="1179"/>
      <c r="F26" s="1179"/>
      <c r="G26" s="1179"/>
      <c r="H26" s="1365">
        <f t="shared" ref="H26:X26" si="0">SUM(H7:H25)</f>
        <v>0</v>
      </c>
      <c r="I26" s="1365">
        <f t="shared" si="0"/>
        <v>0</v>
      </c>
      <c r="J26" s="1365">
        <f t="shared" si="0"/>
        <v>588638</v>
      </c>
      <c r="K26" s="1365">
        <f t="shared" si="0"/>
        <v>0</v>
      </c>
      <c r="L26" s="1365">
        <f t="shared" si="0"/>
        <v>0</v>
      </c>
      <c r="M26" s="1365">
        <f t="shared" si="0"/>
        <v>0</v>
      </c>
      <c r="N26" s="1365">
        <f t="shared" si="0"/>
        <v>0</v>
      </c>
      <c r="O26" s="1365">
        <f t="shared" si="0"/>
        <v>0</v>
      </c>
      <c r="P26" s="1366">
        <f t="shared" si="0"/>
        <v>0</v>
      </c>
      <c r="Q26" s="1367">
        <f t="shared" si="0"/>
        <v>0</v>
      </c>
      <c r="R26" s="1365">
        <f t="shared" si="0"/>
        <v>0</v>
      </c>
      <c r="S26" s="1365">
        <f t="shared" si="0"/>
        <v>0</v>
      </c>
      <c r="T26" s="1365">
        <f t="shared" si="0"/>
        <v>361917</v>
      </c>
      <c r="U26" s="1365">
        <f t="shared" si="0"/>
        <v>0</v>
      </c>
      <c r="V26" s="1365">
        <f t="shared" si="0"/>
        <v>0</v>
      </c>
      <c r="W26" s="1365">
        <f t="shared" si="0"/>
        <v>0</v>
      </c>
      <c r="X26" s="1366">
        <f t="shared" si="0"/>
        <v>226721</v>
      </c>
    </row>
    <row r="27" spans="1:24" ht="15" customHeight="1" x14ac:dyDescent="0.2">
      <c r="A27" s="1279"/>
      <c r="B27" s="1280"/>
      <c r="C27" s="1280"/>
      <c r="D27" s="1281"/>
      <c r="E27" s="1281"/>
      <c r="F27" s="1281"/>
      <c r="G27" s="1281"/>
      <c r="H27" s="1282"/>
      <c r="I27" s="1282"/>
      <c r="J27" s="1282"/>
      <c r="K27" s="1282"/>
      <c r="L27" s="1282"/>
      <c r="M27" s="1282"/>
      <c r="N27" s="1282"/>
      <c r="O27" s="1282"/>
      <c r="P27" s="1282"/>
      <c r="Q27" s="1282"/>
      <c r="R27" s="1282"/>
      <c r="S27" s="1282"/>
      <c r="T27" s="1282"/>
      <c r="U27" s="1282"/>
      <c r="V27" s="1282"/>
      <c r="W27" s="1282"/>
      <c r="X27" s="1282"/>
    </row>
    <row r="28" spans="1:24" ht="15" customHeight="1" x14ac:dyDescent="0.2">
      <c r="A28" s="1280"/>
      <c r="B28" s="1280"/>
      <c r="C28" s="1280"/>
      <c r="D28" s="1281"/>
      <c r="E28" s="1281"/>
      <c r="F28" s="1281"/>
      <c r="G28" s="1281"/>
      <c r="H28" s="1282"/>
      <c r="I28" s="1282"/>
      <c r="J28" s="1282"/>
      <c r="K28" s="1282"/>
      <c r="L28" s="1282"/>
      <c r="M28" s="1282"/>
      <c r="N28" s="1282"/>
      <c r="O28" s="1282"/>
      <c r="P28" s="1282"/>
      <c r="Q28" s="1282"/>
      <c r="R28" s="1282"/>
      <c r="S28" s="1282"/>
      <c r="T28" s="1282"/>
      <c r="U28" s="1282"/>
      <c r="V28" s="1282"/>
      <c r="W28" s="1282"/>
      <c r="X28" s="1282"/>
    </row>
    <row r="29" spans="1:24" x14ac:dyDescent="0.2">
      <c r="A29" s="1280"/>
      <c r="B29" s="1280"/>
      <c r="C29" s="1280"/>
      <c r="D29" s="1281"/>
      <c r="E29" s="1281"/>
      <c r="F29" s="1281"/>
      <c r="G29" s="1281"/>
      <c r="H29" s="1282"/>
      <c r="I29" s="1282"/>
      <c r="J29" s="1282"/>
      <c r="K29" s="1282"/>
      <c r="L29" s="1282"/>
      <c r="M29" s="1282"/>
      <c r="N29" s="1282"/>
      <c r="O29" s="1282"/>
      <c r="P29" s="1282"/>
      <c r="Q29" s="1282"/>
      <c r="R29" s="1282"/>
      <c r="S29" s="1282"/>
      <c r="T29" s="1282"/>
      <c r="U29" s="1282"/>
      <c r="V29" s="1282"/>
      <c r="W29" s="1282"/>
      <c r="X29" s="1282"/>
    </row>
    <row r="30" spans="1:24" ht="21.75" customHeight="1" x14ac:dyDescent="0.25">
      <c r="A30" s="1197"/>
      <c r="B30" s="1197"/>
      <c r="C30" s="1226"/>
      <c r="D30" s="1197"/>
      <c r="E30" s="1197"/>
      <c r="F30" s="1197"/>
      <c r="G30" s="1197"/>
      <c r="H30" s="1224"/>
      <c r="I30" s="2108" t="s">
        <v>1750</v>
      </c>
      <c r="J30" s="2108"/>
      <c r="K30" s="2108"/>
      <c r="L30" s="2108">
        <v>487365512</v>
      </c>
      <c r="M30" s="2108"/>
      <c r="N30" s="1225"/>
      <c r="O30" s="1225"/>
      <c r="P30" s="1225"/>
      <c r="Q30" s="1225"/>
      <c r="R30" s="2108" t="s">
        <v>1751</v>
      </c>
      <c r="S30" s="2108"/>
      <c r="T30" s="2108"/>
      <c r="U30" s="2108">
        <v>487365512</v>
      </c>
      <c r="V30" s="2108"/>
      <c r="W30" s="1224"/>
      <c r="X30" s="1224"/>
    </row>
    <row r="31" spans="1:24" ht="20.25" customHeight="1" x14ac:dyDescent="0.25">
      <c r="A31" s="1197"/>
      <c r="B31" s="1197"/>
      <c r="C31" s="1226"/>
      <c r="D31" s="1197"/>
      <c r="E31" s="1197"/>
      <c r="F31" s="1197"/>
      <c r="G31" s="1197"/>
      <c r="H31" s="1224"/>
      <c r="I31" s="2066" t="s">
        <v>3474</v>
      </c>
      <c r="J31" s="2066"/>
      <c r="K31" s="2066"/>
      <c r="L31" s="2108">
        <f>SUM(H26:P26)</f>
        <v>588638</v>
      </c>
      <c r="M31" s="2108"/>
      <c r="N31" s="1225"/>
      <c r="O31" s="1225"/>
      <c r="P31" s="1225"/>
      <c r="Q31" s="1225"/>
      <c r="R31" s="2066" t="s">
        <v>3474</v>
      </c>
      <c r="S31" s="2066"/>
      <c r="T31" s="2066"/>
      <c r="U31" s="2108">
        <f>SUM(Q26:X26)</f>
        <v>588638</v>
      </c>
      <c r="V31" s="2108"/>
      <c r="W31" s="1224"/>
      <c r="X31" s="1224"/>
    </row>
    <row r="32" spans="1:24" ht="21.75" customHeight="1" x14ac:dyDescent="0.25">
      <c r="A32" s="1197"/>
      <c r="B32" s="1197"/>
      <c r="C32" s="1226"/>
      <c r="D32" s="1197"/>
      <c r="E32" s="1197"/>
      <c r="F32" s="1197"/>
      <c r="G32" s="1197"/>
      <c r="H32" s="1224"/>
      <c r="I32" s="2108" t="s">
        <v>1561</v>
      </c>
      <c r="J32" s="2108"/>
      <c r="K32" s="2108"/>
      <c r="L32" s="2108">
        <f>+L30+L31</f>
        <v>487954150</v>
      </c>
      <c r="M32" s="2108"/>
      <c r="N32" s="1225"/>
      <c r="O32" s="1225"/>
      <c r="P32" s="1225"/>
      <c r="Q32" s="1225"/>
      <c r="R32" s="2108" t="s">
        <v>1561</v>
      </c>
      <c r="S32" s="2108"/>
      <c r="T32" s="2108"/>
      <c r="U32" s="2108">
        <f>+U30+U31</f>
        <v>487954150</v>
      </c>
      <c r="V32" s="2108"/>
      <c r="W32" s="1224"/>
      <c r="X32" s="1224"/>
    </row>
    <row r="33" spans="1:24" ht="21.75" customHeight="1" x14ac:dyDescent="0.25">
      <c r="A33" s="1197"/>
      <c r="B33" s="1197"/>
      <c r="C33" s="1226"/>
      <c r="D33" s="1197"/>
      <c r="E33" s="1197"/>
      <c r="F33" s="1197"/>
      <c r="G33" s="1197"/>
      <c r="H33" s="1224"/>
      <c r="I33" s="1465"/>
      <c r="J33" s="1465"/>
      <c r="K33" s="1465"/>
      <c r="L33" s="1465"/>
      <c r="M33" s="1465"/>
      <c r="N33" s="1225"/>
      <c r="O33" s="1225"/>
      <c r="P33" s="1225"/>
      <c r="Q33" s="1225"/>
      <c r="R33" s="1465"/>
      <c r="S33" s="1465"/>
      <c r="T33" s="1465"/>
      <c r="U33" s="1465"/>
      <c r="V33" s="1465"/>
      <c r="W33" s="1224"/>
      <c r="X33" s="1224"/>
    </row>
    <row r="34" spans="1:24" ht="21.75" customHeight="1" x14ac:dyDescent="0.25">
      <c r="A34" s="1197"/>
      <c r="B34" s="1197"/>
      <c r="C34" s="1226"/>
      <c r="D34" s="1197"/>
      <c r="E34" s="1197"/>
      <c r="F34" s="1197"/>
      <c r="G34" s="1197"/>
      <c r="H34" s="1224"/>
      <c r="I34" s="1465"/>
      <c r="J34" s="1465"/>
      <c r="K34" s="1465"/>
      <c r="L34" s="1465"/>
      <c r="M34" s="1465"/>
      <c r="N34" s="1225"/>
      <c r="O34" s="1225"/>
      <c r="P34" s="1225"/>
      <c r="Q34" s="1225"/>
      <c r="R34" s="1465"/>
      <c r="S34" s="1465"/>
      <c r="T34" s="1465"/>
      <c r="U34" s="1465"/>
      <c r="V34" s="1465"/>
      <c r="W34" s="1224"/>
      <c r="X34" s="1224"/>
    </row>
    <row r="35" spans="1:24" ht="15.75" x14ac:dyDescent="0.25">
      <c r="A35" s="2069" t="s">
        <v>2641</v>
      </c>
      <c r="B35" s="2069"/>
      <c r="C35" s="2069"/>
      <c r="D35" s="2069"/>
      <c r="E35" s="2069"/>
      <c r="F35" s="2069"/>
      <c r="G35" s="2069"/>
      <c r="H35" s="2069"/>
      <c r="I35" s="2069"/>
      <c r="J35" s="2069"/>
      <c r="K35" s="2069"/>
      <c r="L35" s="2069"/>
      <c r="M35" s="2069"/>
      <c r="N35" s="2069"/>
      <c r="O35" s="2069"/>
      <c r="P35" s="2069"/>
      <c r="Q35" s="2069"/>
      <c r="R35" s="2069"/>
      <c r="S35" s="2069"/>
      <c r="T35" s="2069"/>
      <c r="U35" s="2069"/>
      <c r="V35" s="2069"/>
      <c r="W35" s="2069"/>
      <c r="X35" s="2069"/>
    </row>
    <row r="36" spans="1:24" ht="15" x14ac:dyDescent="0.25">
      <c r="A36" s="1195"/>
      <c r="B36" s="1195"/>
      <c r="C36" s="1195"/>
      <c r="D36" s="1195"/>
      <c r="E36" s="1195"/>
      <c r="F36" s="1195"/>
      <c r="G36" s="1195"/>
      <c r="H36" s="1195"/>
      <c r="I36" s="1195"/>
      <c r="J36" s="1195"/>
      <c r="K36" s="1195"/>
      <c r="L36" s="1195"/>
      <c r="M36" s="1195"/>
      <c r="N36" s="1195"/>
      <c r="O36" s="1195"/>
      <c r="P36" s="1195"/>
      <c r="Q36" s="1195"/>
      <c r="R36" s="1195"/>
      <c r="S36" s="1195"/>
      <c r="T36" s="1195"/>
      <c r="U36" s="1195"/>
      <c r="V36" s="1195"/>
      <c r="W36" s="1195"/>
      <c r="X36" s="1195"/>
    </row>
    <row r="37" spans="1:24" ht="15" x14ac:dyDescent="0.25">
      <c r="A37" s="2112" t="s">
        <v>1790</v>
      </c>
      <c r="B37" s="2112"/>
      <c r="C37" s="2112"/>
      <c r="D37" s="2112"/>
      <c r="E37" s="2112"/>
      <c r="F37" s="2112"/>
      <c r="G37" s="2112"/>
      <c r="H37" s="2112"/>
      <c r="I37" s="2112"/>
      <c r="J37" s="2112"/>
      <c r="K37" s="2112"/>
      <c r="L37" s="2112"/>
      <c r="M37" s="2112"/>
      <c r="N37" s="2112"/>
      <c r="O37" s="2112"/>
      <c r="P37" s="2112"/>
      <c r="Q37" s="2112"/>
      <c r="R37" s="2112"/>
      <c r="S37" s="2112"/>
      <c r="T37" s="2112"/>
      <c r="U37" s="2112"/>
      <c r="V37" s="2112"/>
      <c r="W37" s="2112"/>
      <c r="X37" s="2112"/>
    </row>
    <row r="38" spans="1:24" ht="15" x14ac:dyDescent="0.25">
      <c r="A38" s="1197"/>
      <c r="B38" s="1197"/>
      <c r="C38" s="1226"/>
      <c r="D38" s="1197"/>
      <c r="E38" s="1197"/>
      <c r="F38" s="1197"/>
      <c r="G38" s="1197"/>
      <c r="H38" s="1197"/>
      <c r="I38" s="1197"/>
      <c r="J38" s="1197"/>
      <c r="K38" s="1197"/>
      <c r="L38" s="1197"/>
      <c r="M38" s="1197"/>
      <c r="N38" s="1197"/>
      <c r="O38" s="1197"/>
      <c r="P38" s="1197"/>
      <c r="Q38" s="1198"/>
      <c r="R38" s="1197"/>
      <c r="S38" s="1197"/>
      <c r="T38" s="1197"/>
      <c r="U38" s="1197"/>
      <c r="V38" s="1197"/>
      <c r="W38" s="1197"/>
      <c r="X38" s="1197"/>
    </row>
    <row r="39" spans="1:24" ht="15" x14ac:dyDescent="0.25">
      <c r="A39" s="2155" t="s">
        <v>37</v>
      </c>
      <c r="B39" s="2093" t="s">
        <v>1726</v>
      </c>
      <c r="C39" s="2157" t="s">
        <v>2</v>
      </c>
      <c r="D39" s="2159" t="s">
        <v>1727</v>
      </c>
      <c r="E39" s="2159" t="s">
        <v>117</v>
      </c>
      <c r="F39" s="2159" t="s">
        <v>1728</v>
      </c>
      <c r="G39" s="2159" t="s">
        <v>1729</v>
      </c>
      <c r="H39" s="2161" t="s">
        <v>1730</v>
      </c>
      <c r="I39" s="2161"/>
      <c r="J39" s="2161"/>
      <c r="K39" s="2161"/>
      <c r="L39" s="2161"/>
      <c r="M39" s="2161"/>
      <c r="N39" s="2161"/>
      <c r="O39" s="2162"/>
      <c r="P39" s="1470"/>
      <c r="Q39" s="2163" t="s">
        <v>1731</v>
      </c>
      <c r="R39" s="2161"/>
      <c r="S39" s="2161"/>
      <c r="T39" s="2161"/>
      <c r="U39" s="2161"/>
      <c r="V39" s="2161"/>
      <c r="W39" s="2161"/>
      <c r="X39" s="2164"/>
    </row>
    <row r="40" spans="1:24" ht="78" customHeight="1" x14ac:dyDescent="0.2">
      <c r="A40" s="2156"/>
      <c r="B40" s="2094"/>
      <c r="C40" s="2158"/>
      <c r="D40" s="2160"/>
      <c r="E40" s="2160"/>
      <c r="F40" s="2160"/>
      <c r="G40" s="2160"/>
      <c r="H40" s="1260" t="s">
        <v>2386</v>
      </c>
      <c r="I40" s="1260" t="s">
        <v>1791</v>
      </c>
      <c r="J40" s="1260" t="s">
        <v>1792</v>
      </c>
      <c r="K40" s="1260" t="s">
        <v>1754</v>
      </c>
      <c r="L40" s="1260" t="s">
        <v>1788</v>
      </c>
      <c r="M40" s="1260" t="s">
        <v>1756</v>
      </c>
      <c r="N40" s="1260" t="s">
        <v>1757</v>
      </c>
      <c r="O40" s="1261" t="s">
        <v>1739</v>
      </c>
      <c r="P40" s="1263" t="s">
        <v>1758</v>
      </c>
      <c r="Q40" s="1469" t="s">
        <v>1741</v>
      </c>
      <c r="R40" s="1260" t="s">
        <v>1742</v>
      </c>
      <c r="S40" s="1260" t="s">
        <v>1793</v>
      </c>
      <c r="T40" s="1260" t="s">
        <v>1794</v>
      </c>
      <c r="U40" s="1260" t="s">
        <v>1745</v>
      </c>
      <c r="V40" s="1260" t="s">
        <v>1746</v>
      </c>
      <c r="W40" s="1260" t="s">
        <v>1747</v>
      </c>
      <c r="X40" s="1263" t="s">
        <v>1795</v>
      </c>
    </row>
    <row r="41" spans="1:24" ht="17.25" customHeight="1" x14ac:dyDescent="0.2">
      <c r="A41" s="2155" t="s">
        <v>197</v>
      </c>
      <c r="B41" s="2157" t="s">
        <v>227</v>
      </c>
      <c r="C41" s="2181" t="s">
        <v>2258</v>
      </c>
      <c r="D41" s="1201" t="s">
        <v>1835</v>
      </c>
      <c r="E41" s="1264">
        <v>18030</v>
      </c>
      <c r="F41" s="1368" t="s">
        <v>128</v>
      </c>
      <c r="G41" s="1264" t="s">
        <v>1829</v>
      </c>
      <c r="H41" s="1265"/>
      <c r="I41" s="1265"/>
      <c r="J41" s="1265"/>
      <c r="K41" s="1265"/>
      <c r="L41" s="1265"/>
      <c r="M41" s="1265"/>
      <c r="N41" s="1265"/>
      <c r="O41" s="1265"/>
      <c r="P41" s="1266"/>
      <c r="Q41" s="1267"/>
      <c r="R41" s="1265"/>
      <c r="S41" s="1265"/>
      <c r="T41" s="1265"/>
      <c r="U41" s="1265"/>
      <c r="V41" s="1265"/>
      <c r="W41" s="1265"/>
      <c r="X41" s="1266">
        <v>8136000</v>
      </c>
    </row>
    <row r="42" spans="1:24" ht="17.25" customHeight="1" x14ac:dyDescent="0.2">
      <c r="A42" s="2184"/>
      <c r="B42" s="2183"/>
      <c r="C42" s="2182"/>
      <c r="D42" s="1206" t="s">
        <v>1835</v>
      </c>
      <c r="E42" s="1268" t="s">
        <v>555</v>
      </c>
      <c r="F42" s="1269" t="s">
        <v>91</v>
      </c>
      <c r="G42" s="1278" t="s">
        <v>1829</v>
      </c>
      <c r="H42" s="1271">
        <v>600000</v>
      </c>
      <c r="I42" s="1271">
        <v>78000</v>
      </c>
      <c r="J42" s="1271"/>
      <c r="K42" s="1271"/>
      <c r="L42" s="1271"/>
      <c r="M42" s="1271"/>
      <c r="N42" s="1271"/>
      <c r="O42" s="1271"/>
      <c r="P42" s="1272"/>
      <c r="Q42" s="1273"/>
      <c r="R42" s="1271"/>
      <c r="S42" s="1271"/>
      <c r="T42" s="1271"/>
      <c r="U42" s="1271"/>
      <c r="V42" s="1271"/>
      <c r="W42" s="1271"/>
      <c r="X42" s="1272"/>
    </row>
    <row r="43" spans="1:24" ht="17.25" customHeight="1" x14ac:dyDescent="0.2">
      <c r="A43" s="2184"/>
      <c r="B43" s="2183"/>
      <c r="C43" s="2182"/>
      <c r="D43" s="1206" t="s">
        <v>1835</v>
      </c>
      <c r="E43" s="1278">
        <v>104031</v>
      </c>
      <c r="F43" s="1476" t="s">
        <v>132</v>
      </c>
      <c r="G43" s="1269" t="s">
        <v>1829</v>
      </c>
      <c r="H43" s="1271">
        <v>3750000</v>
      </c>
      <c r="I43" s="1271">
        <v>487500</v>
      </c>
      <c r="J43" s="1271"/>
      <c r="K43" s="1271"/>
      <c r="L43" s="1271"/>
      <c r="M43" s="1271"/>
      <c r="N43" s="1271"/>
      <c r="O43" s="1271"/>
      <c r="P43" s="1272"/>
      <c r="Q43" s="1273"/>
      <c r="R43" s="1271"/>
      <c r="S43" s="1271"/>
      <c r="T43" s="1271"/>
      <c r="U43" s="1271"/>
      <c r="V43" s="1271"/>
      <c r="W43" s="1271"/>
      <c r="X43" s="1272"/>
    </row>
    <row r="44" spans="1:24" ht="17.25" customHeight="1" x14ac:dyDescent="0.2">
      <c r="A44" s="2184"/>
      <c r="B44" s="2183"/>
      <c r="C44" s="2182"/>
      <c r="D44" s="1206" t="s">
        <v>1835</v>
      </c>
      <c r="E44" s="1278">
        <v>104031</v>
      </c>
      <c r="F44" s="1476" t="s">
        <v>151</v>
      </c>
      <c r="G44" s="1269" t="s">
        <v>1829</v>
      </c>
      <c r="H44" s="1271">
        <v>2850000</v>
      </c>
      <c r="I44" s="1271">
        <v>370500</v>
      </c>
      <c r="J44" s="1271"/>
      <c r="K44" s="1271"/>
      <c r="L44" s="1271"/>
      <c r="M44" s="1271"/>
      <c r="N44" s="1271"/>
      <c r="O44" s="1271"/>
      <c r="P44" s="1272"/>
      <c r="Q44" s="1273"/>
      <c r="R44" s="1271"/>
      <c r="S44" s="1271"/>
      <c r="T44" s="1271"/>
      <c r="U44" s="1271"/>
      <c r="V44" s="1271"/>
      <c r="W44" s="1271"/>
      <c r="X44" s="1272"/>
    </row>
    <row r="45" spans="1:24" ht="27.75" customHeight="1" x14ac:dyDescent="0.2">
      <c r="A45" s="1667" t="s">
        <v>198</v>
      </c>
      <c r="B45" s="1666" t="s">
        <v>228</v>
      </c>
      <c r="C45" s="1665" t="s">
        <v>2256</v>
      </c>
      <c r="D45" s="1206" t="s">
        <v>1835</v>
      </c>
      <c r="E45" s="1278">
        <v>104035</v>
      </c>
      <c r="F45" s="1476" t="s">
        <v>91</v>
      </c>
      <c r="G45" s="1269" t="s">
        <v>1837</v>
      </c>
      <c r="H45" s="1271">
        <f>-2770+2770</f>
        <v>0</v>
      </c>
      <c r="I45" s="1271"/>
      <c r="J45" s="1271"/>
      <c r="K45" s="1271"/>
      <c r="L45" s="1271"/>
      <c r="M45" s="1271"/>
      <c r="N45" s="1271"/>
      <c r="O45" s="1271"/>
      <c r="P45" s="1272"/>
      <c r="Q45" s="1273"/>
      <c r="R45" s="1271"/>
      <c r="S45" s="1271"/>
      <c r="T45" s="1271"/>
      <c r="U45" s="1271"/>
      <c r="V45" s="1271"/>
      <c r="W45" s="1271"/>
      <c r="X45" s="1272"/>
    </row>
    <row r="46" spans="1:24" ht="28.5" customHeight="1" x14ac:dyDescent="0.2">
      <c r="A46" s="1667" t="s">
        <v>225</v>
      </c>
      <c r="B46" s="1666" t="s">
        <v>229</v>
      </c>
      <c r="C46" s="1665" t="s">
        <v>2317</v>
      </c>
      <c r="D46" s="1206" t="s">
        <v>1835</v>
      </c>
      <c r="E46" s="1278">
        <v>18030</v>
      </c>
      <c r="F46" s="1476" t="s">
        <v>128</v>
      </c>
      <c r="G46" s="1269" t="s">
        <v>1829</v>
      </c>
      <c r="H46" s="1271"/>
      <c r="I46" s="1271"/>
      <c r="J46" s="1271"/>
      <c r="K46" s="1271"/>
      <c r="L46" s="1271">
        <v>8466568</v>
      </c>
      <c r="M46" s="1271"/>
      <c r="N46" s="1271"/>
      <c r="O46" s="1271"/>
      <c r="P46" s="1272"/>
      <c r="Q46" s="1273"/>
      <c r="R46" s="1271"/>
      <c r="S46" s="1271"/>
      <c r="T46" s="1271"/>
      <c r="U46" s="1271"/>
      <c r="V46" s="1271"/>
      <c r="W46" s="1271"/>
      <c r="X46" s="1272">
        <v>8466568</v>
      </c>
    </row>
    <row r="47" spans="1:24" ht="21" customHeight="1" x14ac:dyDescent="0.2">
      <c r="A47" s="1667" t="s">
        <v>226</v>
      </c>
      <c r="B47" s="1666" t="s">
        <v>230</v>
      </c>
      <c r="C47" s="1665" t="s">
        <v>2370</v>
      </c>
      <c r="D47" s="1206" t="s">
        <v>1835</v>
      </c>
      <c r="E47" s="1278">
        <v>104035</v>
      </c>
      <c r="F47" s="1476" t="s">
        <v>91</v>
      </c>
      <c r="G47" s="1269" t="s">
        <v>1829</v>
      </c>
      <c r="H47" s="1271"/>
      <c r="I47" s="1271"/>
      <c r="J47" s="1271">
        <v>25</v>
      </c>
      <c r="K47" s="1271"/>
      <c r="L47" s="1271"/>
      <c r="M47" s="1271"/>
      <c r="N47" s="1271"/>
      <c r="O47" s="1271"/>
      <c r="P47" s="1272"/>
      <c r="Q47" s="1273"/>
      <c r="R47" s="1271"/>
      <c r="S47" s="1271"/>
      <c r="T47" s="1271">
        <v>25</v>
      </c>
      <c r="U47" s="1271"/>
      <c r="V47" s="1271"/>
      <c r="W47" s="1271"/>
      <c r="X47" s="1272"/>
    </row>
    <row r="48" spans="1:24" ht="31.5" customHeight="1" x14ac:dyDescent="0.2">
      <c r="A48" s="1667" t="s">
        <v>227</v>
      </c>
      <c r="B48" s="1666" t="s">
        <v>231</v>
      </c>
      <c r="C48" s="1665" t="s">
        <v>2404</v>
      </c>
      <c r="D48" s="1206" t="s">
        <v>1835</v>
      </c>
      <c r="E48" s="1278">
        <v>104035</v>
      </c>
      <c r="F48" s="1476" t="s">
        <v>91</v>
      </c>
      <c r="G48" s="1269" t="s">
        <v>1837</v>
      </c>
      <c r="H48" s="1271">
        <f>-33636+30000+3636</f>
        <v>0</v>
      </c>
      <c r="I48" s="1271"/>
      <c r="J48" s="1271"/>
      <c r="K48" s="1271"/>
      <c r="L48" s="1271"/>
      <c r="M48" s="1271"/>
      <c r="N48" s="1271"/>
      <c r="O48" s="1271"/>
      <c r="P48" s="1272"/>
      <c r="Q48" s="1273"/>
      <c r="R48" s="1271"/>
      <c r="S48" s="1271"/>
      <c r="T48" s="1271"/>
      <c r="U48" s="1271"/>
      <c r="V48" s="1271"/>
      <c r="W48" s="1271"/>
      <c r="X48" s="1272"/>
    </row>
    <row r="49" spans="1:24" ht="45" customHeight="1" x14ac:dyDescent="0.2">
      <c r="A49" s="1667" t="s">
        <v>228</v>
      </c>
      <c r="B49" s="1666" t="s">
        <v>232</v>
      </c>
      <c r="C49" s="1665" t="s">
        <v>2470</v>
      </c>
      <c r="D49" s="1206" t="s">
        <v>1835</v>
      </c>
      <c r="E49" s="1278">
        <v>104031</v>
      </c>
      <c r="F49" s="1476" t="s">
        <v>151</v>
      </c>
      <c r="G49" s="1269" t="s">
        <v>1829</v>
      </c>
      <c r="H49" s="1271"/>
      <c r="I49" s="1271"/>
      <c r="J49" s="1271">
        <v>30000</v>
      </c>
      <c r="K49" s="1271"/>
      <c r="L49" s="1271"/>
      <c r="M49" s="1271"/>
      <c r="N49" s="1271"/>
      <c r="O49" s="1271"/>
      <c r="P49" s="1272"/>
      <c r="Q49" s="1273"/>
      <c r="R49" s="1271"/>
      <c r="S49" s="1271"/>
      <c r="T49" s="1271">
        <v>30000</v>
      </c>
      <c r="U49" s="1271"/>
      <c r="V49" s="1271"/>
      <c r="W49" s="1271"/>
      <c r="X49" s="1272"/>
    </row>
    <row r="50" spans="1:24" ht="27" customHeight="1" x14ac:dyDescent="0.2">
      <c r="A50" s="2156" t="s">
        <v>229</v>
      </c>
      <c r="B50" s="2158" t="s">
        <v>233</v>
      </c>
      <c r="C50" s="2173" t="s">
        <v>2491</v>
      </c>
      <c r="D50" s="1212" t="s">
        <v>1835</v>
      </c>
      <c r="E50" s="1401">
        <v>18030</v>
      </c>
      <c r="F50" s="1558" t="s">
        <v>128</v>
      </c>
      <c r="G50" s="1274" t="s">
        <v>1829</v>
      </c>
      <c r="H50" s="1275"/>
      <c r="I50" s="1275"/>
      <c r="J50" s="1275"/>
      <c r="K50" s="1275"/>
      <c r="L50" s="1275"/>
      <c r="M50" s="1275"/>
      <c r="N50" s="1275"/>
      <c r="O50" s="1275"/>
      <c r="P50" s="1276"/>
      <c r="Q50" s="1277"/>
      <c r="R50" s="1275"/>
      <c r="S50" s="1275"/>
      <c r="T50" s="1275"/>
      <c r="U50" s="1275"/>
      <c r="V50" s="1275"/>
      <c r="W50" s="1275"/>
      <c r="X50" s="1276">
        <v>1299464</v>
      </c>
    </row>
    <row r="51" spans="1:24" ht="27" customHeight="1" x14ac:dyDescent="0.2">
      <c r="A51" s="2170"/>
      <c r="B51" s="2168"/>
      <c r="C51" s="2166"/>
      <c r="D51" s="1212" t="s">
        <v>1835</v>
      </c>
      <c r="E51" s="1401">
        <v>104031</v>
      </c>
      <c r="F51" s="1558" t="s">
        <v>151</v>
      </c>
      <c r="G51" s="1274" t="s">
        <v>1829</v>
      </c>
      <c r="H51" s="1275"/>
      <c r="I51" s="1275"/>
      <c r="J51" s="1275">
        <f>1023200+276264</f>
        <v>1299464</v>
      </c>
      <c r="K51" s="1275"/>
      <c r="L51" s="1275"/>
      <c r="M51" s="1275"/>
      <c r="N51" s="1275"/>
      <c r="O51" s="1275"/>
      <c r="P51" s="1276"/>
      <c r="Q51" s="1277"/>
      <c r="R51" s="1275"/>
      <c r="S51" s="1275"/>
      <c r="T51" s="1275"/>
      <c r="U51" s="1275"/>
      <c r="V51" s="1275"/>
      <c r="W51" s="1275"/>
      <c r="X51" s="1276"/>
    </row>
    <row r="52" spans="1:24" ht="23.25" customHeight="1" x14ac:dyDescent="0.2">
      <c r="A52" s="2156" t="s">
        <v>230</v>
      </c>
      <c r="B52" s="2158" t="s">
        <v>260</v>
      </c>
      <c r="C52" s="2173" t="s">
        <v>2640</v>
      </c>
      <c r="D52" s="1212" t="s">
        <v>1835</v>
      </c>
      <c r="E52" s="1401">
        <v>18030</v>
      </c>
      <c r="F52" s="1558" t="s">
        <v>128</v>
      </c>
      <c r="G52" s="1274" t="s">
        <v>1829</v>
      </c>
      <c r="H52" s="1275"/>
      <c r="I52" s="1275"/>
      <c r="J52" s="1275"/>
      <c r="K52" s="1275"/>
      <c r="L52" s="1275"/>
      <c r="M52" s="1275"/>
      <c r="N52" s="1275"/>
      <c r="O52" s="1275"/>
      <c r="P52" s="1276"/>
      <c r="Q52" s="1277"/>
      <c r="R52" s="1275"/>
      <c r="S52" s="1275"/>
      <c r="T52" s="1275"/>
      <c r="U52" s="1275"/>
      <c r="V52" s="1275"/>
      <c r="W52" s="1275"/>
      <c r="X52" s="1276">
        <v>154635</v>
      </c>
    </row>
    <row r="53" spans="1:24" ht="23.25" customHeight="1" x14ac:dyDescent="0.2">
      <c r="A53" s="2170"/>
      <c r="B53" s="2168"/>
      <c r="C53" s="2166"/>
      <c r="D53" s="1212" t="s">
        <v>1835</v>
      </c>
      <c r="E53" s="1401">
        <v>104031</v>
      </c>
      <c r="F53" s="1558" t="s">
        <v>151</v>
      </c>
      <c r="G53" s="1274" t="s">
        <v>1829</v>
      </c>
      <c r="H53" s="1275"/>
      <c r="I53" s="1275"/>
      <c r="J53" s="1275"/>
      <c r="K53" s="1275"/>
      <c r="L53" s="1275"/>
      <c r="M53" s="1275">
        <f>121760+32875</f>
        <v>154635</v>
      </c>
      <c r="N53" s="1275"/>
      <c r="O53" s="1275"/>
      <c r="P53" s="1276"/>
      <c r="Q53" s="1277"/>
      <c r="R53" s="1275"/>
      <c r="S53" s="1275"/>
      <c r="T53" s="1275"/>
      <c r="U53" s="1275"/>
      <c r="V53" s="1275"/>
      <c r="W53" s="1275"/>
      <c r="X53" s="1276"/>
    </row>
    <row r="54" spans="1:24" ht="39" customHeight="1" x14ac:dyDescent="0.2">
      <c r="A54" s="1670" t="s">
        <v>231</v>
      </c>
      <c r="B54" s="1669" t="s">
        <v>261</v>
      </c>
      <c r="C54" s="1668" t="s">
        <v>2526</v>
      </c>
      <c r="D54" s="1212" t="s">
        <v>1835</v>
      </c>
      <c r="E54" s="1401">
        <v>104035</v>
      </c>
      <c r="F54" s="1558" t="s">
        <v>91</v>
      </c>
      <c r="G54" s="1274" t="s">
        <v>1837</v>
      </c>
      <c r="H54" s="1275">
        <f>-43463+40000+3463</f>
        <v>0</v>
      </c>
      <c r="I54" s="1275"/>
      <c r="J54" s="1275"/>
      <c r="K54" s="1275"/>
      <c r="L54" s="1275"/>
      <c r="M54" s="1275"/>
      <c r="N54" s="1275"/>
      <c r="O54" s="1275"/>
      <c r="P54" s="1276"/>
      <c r="Q54" s="1277"/>
      <c r="R54" s="1275"/>
      <c r="S54" s="1275"/>
      <c r="T54" s="1275"/>
      <c r="U54" s="1275"/>
      <c r="V54" s="1275"/>
      <c r="W54" s="1275"/>
      <c r="X54" s="1276"/>
    </row>
    <row r="55" spans="1:24" ht="21.75" customHeight="1" x14ac:dyDescent="0.2">
      <c r="A55" s="2156" t="s">
        <v>232</v>
      </c>
      <c r="B55" s="2158" t="s">
        <v>262</v>
      </c>
      <c r="C55" s="2173" t="s">
        <v>2586</v>
      </c>
      <c r="D55" s="1212" t="s">
        <v>1835</v>
      </c>
      <c r="E55" s="1401">
        <v>18030</v>
      </c>
      <c r="F55" s="1558" t="s">
        <v>128</v>
      </c>
      <c r="G55" s="1274" t="s">
        <v>1829</v>
      </c>
      <c r="H55" s="1275"/>
      <c r="I55" s="1275"/>
      <c r="J55" s="1275"/>
      <c r="K55" s="1275"/>
      <c r="L55" s="1275"/>
      <c r="M55" s="1275"/>
      <c r="N55" s="1275"/>
      <c r="O55" s="1275"/>
      <c r="P55" s="1276"/>
      <c r="Q55" s="1277"/>
      <c r="R55" s="1275"/>
      <c r="S55" s="1275"/>
      <c r="T55" s="1275"/>
      <c r="U55" s="1275"/>
      <c r="V55" s="1275"/>
      <c r="W55" s="1275"/>
      <c r="X55" s="1276">
        <v>6323915</v>
      </c>
    </row>
    <row r="56" spans="1:24" ht="21.75" customHeight="1" x14ac:dyDescent="0.2">
      <c r="A56" s="2170"/>
      <c r="B56" s="2168"/>
      <c r="C56" s="2166"/>
      <c r="D56" s="1212" t="s">
        <v>1835</v>
      </c>
      <c r="E56" s="1401">
        <v>104031</v>
      </c>
      <c r="F56" s="1558" t="s">
        <v>132</v>
      </c>
      <c r="G56" s="1274" t="s">
        <v>1829</v>
      </c>
      <c r="H56" s="1275"/>
      <c r="I56" s="1275"/>
      <c r="J56" s="1275">
        <f>4979461+1344454</f>
        <v>6323915</v>
      </c>
      <c r="K56" s="1275"/>
      <c r="L56" s="1275"/>
      <c r="M56" s="1275"/>
      <c r="N56" s="1275"/>
      <c r="O56" s="1275"/>
      <c r="P56" s="1276"/>
      <c r="Q56" s="1277"/>
      <c r="R56" s="1275"/>
      <c r="S56" s="1275"/>
      <c r="T56" s="1275"/>
      <c r="U56" s="1275"/>
      <c r="V56" s="1275"/>
      <c r="W56" s="1275"/>
      <c r="X56" s="1276"/>
    </row>
    <row r="57" spans="1:24" ht="37.5" customHeight="1" x14ac:dyDescent="0.2">
      <c r="A57" s="1670" t="s">
        <v>233</v>
      </c>
      <c r="B57" s="1669" t="s">
        <v>263</v>
      </c>
      <c r="C57" s="1668" t="s">
        <v>2634</v>
      </c>
      <c r="D57" s="1212" t="s">
        <v>1835</v>
      </c>
      <c r="E57" s="1401">
        <v>104035</v>
      </c>
      <c r="F57" s="1558" t="s">
        <v>91</v>
      </c>
      <c r="G57" s="1274" t="s">
        <v>1829</v>
      </c>
      <c r="H57" s="1275"/>
      <c r="I57" s="1275"/>
      <c r="J57" s="1275">
        <f>1000000+270000</f>
        <v>1270000</v>
      </c>
      <c r="K57" s="1275"/>
      <c r="L57" s="1275"/>
      <c r="M57" s="1275"/>
      <c r="N57" s="1275"/>
      <c r="O57" s="1275"/>
      <c r="P57" s="1276"/>
      <c r="Q57" s="1277"/>
      <c r="R57" s="1275"/>
      <c r="S57" s="1275"/>
      <c r="T57" s="1275">
        <f>1000000+270000</f>
        <v>1270000</v>
      </c>
      <c r="U57" s="1275"/>
      <c r="V57" s="1275"/>
      <c r="W57" s="1275"/>
      <c r="X57" s="1276"/>
    </row>
    <row r="58" spans="1:24" ht="39.75" customHeight="1" x14ac:dyDescent="0.2">
      <c r="A58" s="1670" t="s">
        <v>260</v>
      </c>
      <c r="B58" s="1669" t="s">
        <v>264</v>
      </c>
      <c r="C58" s="1668" t="s">
        <v>2635</v>
      </c>
      <c r="D58" s="1212" t="s">
        <v>1835</v>
      </c>
      <c r="E58" s="1401">
        <v>104031</v>
      </c>
      <c r="F58" s="1558" t="s">
        <v>132</v>
      </c>
      <c r="G58" s="1274" t="s">
        <v>1829</v>
      </c>
      <c r="H58" s="1275"/>
      <c r="I58" s="1275"/>
      <c r="J58" s="1275">
        <v>100000</v>
      </c>
      <c r="K58" s="1275"/>
      <c r="L58" s="1275"/>
      <c r="M58" s="1275"/>
      <c r="N58" s="1275"/>
      <c r="O58" s="1275"/>
      <c r="P58" s="1276"/>
      <c r="Q58" s="1277"/>
      <c r="R58" s="1275"/>
      <c r="S58" s="1275"/>
      <c r="T58" s="1275">
        <v>100000</v>
      </c>
      <c r="U58" s="1275"/>
      <c r="V58" s="1275"/>
      <c r="W58" s="1275"/>
      <c r="X58" s="1276"/>
    </row>
    <row r="59" spans="1:24" ht="18.75" x14ac:dyDescent="0.3">
      <c r="A59" s="2082" t="s">
        <v>1749</v>
      </c>
      <c r="B59" s="2083"/>
      <c r="C59" s="2084"/>
      <c r="D59" s="1179"/>
      <c r="E59" s="1179"/>
      <c r="F59" s="1179"/>
      <c r="G59" s="1179"/>
      <c r="H59" s="1365">
        <f t="shared" ref="H59:X59" si="1">SUM(H41:H58)+H26</f>
        <v>7200000</v>
      </c>
      <c r="I59" s="1365">
        <f t="shared" si="1"/>
        <v>936000</v>
      </c>
      <c r="J59" s="1365">
        <f t="shared" si="1"/>
        <v>9612042</v>
      </c>
      <c r="K59" s="1365">
        <f t="shared" si="1"/>
        <v>0</v>
      </c>
      <c r="L59" s="1365">
        <f t="shared" si="1"/>
        <v>8466568</v>
      </c>
      <c r="M59" s="1365">
        <f t="shared" si="1"/>
        <v>154635</v>
      </c>
      <c r="N59" s="1365">
        <f t="shared" si="1"/>
        <v>0</v>
      </c>
      <c r="O59" s="1365">
        <f t="shared" si="1"/>
        <v>0</v>
      </c>
      <c r="P59" s="1366">
        <f t="shared" si="1"/>
        <v>0</v>
      </c>
      <c r="Q59" s="1367">
        <f t="shared" si="1"/>
        <v>0</v>
      </c>
      <c r="R59" s="1365">
        <f t="shared" si="1"/>
        <v>0</v>
      </c>
      <c r="S59" s="1365">
        <f t="shared" si="1"/>
        <v>0</v>
      </c>
      <c r="T59" s="1365">
        <f t="shared" si="1"/>
        <v>1761942</v>
      </c>
      <c r="U59" s="1365">
        <f t="shared" si="1"/>
        <v>0</v>
      </c>
      <c r="V59" s="1365">
        <f t="shared" si="1"/>
        <v>0</v>
      </c>
      <c r="W59" s="1365">
        <f t="shared" si="1"/>
        <v>0</v>
      </c>
      <c r="X59" s="1366">
        <f t="shared" si="1"/>
        <v>24607303</v>
      </c>
    </row>
    <row r="60" spans="1:24" ht="18" customHeight="1" x14ac:dyDescent="0.2">
      <c r="A60" s="1279"/>
      <c r="B60" s="1280"/>
      <c r="C60" s="1280"/>
      <c r="D60" s="1281"/>
      <c r="E60" s="1281"/>
      <c r="F60" s="1281"/>
      <c r="G60" s="1281"/>
      <c r="H60" s="1282"/>
      <c r="I60" s="1282"/>
      <c r="J60" s="1282"/>
      <c r="K60" s="1282"/>
      <c r="L60" s="1282"/>
      <c r="M60" s="1282"/>
      <c r="N60" s="1282"/>
      <c r="O60" s="1282"/>
      <c r="P60" s="1282"/>
      <c r="Q60" s="1282"/>
      <c r="R60" s="1282"/>
      <c r="S60" s="1282"/>
      <c r="T60" s="1282"/>
      <c r="U60" s="1282"/>
      <c r="V60" s="1282"/>
      <c r="W60" s="1282"/>
      <c r="X60" s="1282"/>
    </row>
    <row r="61" spans="1:24" ht="18" customHeight="1" x14ac:dyDescent="0.2">
      <c r="A61" s="1280"/>
      <c r="B61" s="1280"/>
      <c r="C61" s="1280"/>
      <c r="D61" s="1281"/>
      <c r="E61" s="1281"/>
      <c r="F61" s="1281"/>
      <c r="G61" s="1281"/>
      <c r="H61" s="1282"/>
      <c r="I61" s="1282"/>
      <c r="J61" s="1282"/>
      <c r="K61" s="1282"/>
      <c r="L61" s="1282"/>
      <c r="M61" s="1282"/>
      <c r="N61" s="1282"/>
      <c r="O61" s="1282"/>
      <c r="P61" s="1282"/>
      <c r="Q61" s="1282"/>
      <c r="R61" s="1282"/>
      <c r="S61" s="1282"/>
      <c r="T61" s="1282"/>
      <c r="U61" s="1282"/>
      <c r="V61" s="1282"/>
      <c r="W61" s="1282"/>
      <c r="X61" s="1282"/>
    </row>
    <row r="62" spans="1:24" x14ac:dyDescent="0.2">
      <c r="A62" s="1280"/>
      <c r="B62" s="1280"/>
      <c r="C62" s="1280"/>
      <c r="D62" s="1281"/>
      <c r="E62" s="1281"/>
      <c r="F62" s="1281"/>
      <c r="G62" s="1281"/>
      <c r="H62" s="1282"/>
      <c r="I62" s="1282"/>
      <c r="J62" s="1282"/>
      <c r="K62" s="1282"/>
      <c r="L62" s="1282"/>
      <c r="M62" s="1282"/>
      <c r="N62" s="1282"/>
      <c r="O62" s="1282"/>
      <c r="P62" s="1282"/>
      <c r="Q62" s="1282"/>
      <c r="R62" s="1282"/>
      <c r="S62" s="1282"/>
      <c r="T62" s="1282"/>
      <c r="U62" s="1282"/>
      <c r="V62" s="1282"/>
      <c r="W62" s="1282"/>
      <c r="X62" s="1282"/>
    </row>
    <row r="63" spans="1:24" ht="22.5" customHeight="1" x14ac:dyDescent="0.25">
      <c r="A63" s="1197"/>
      <c r="B63" s="1197"/>
      <c r="C63" s="1226"/>
      <c r="D63" s="1197"/>
      <c r="E63" s="1197"/>
      <c r="F63" s="1197"/>
      <c r="G63" s="1197"/>
      <c r="H63" s="1224"/>
      <c r="I63" s="2108" t="s">
        <v>1750</v>
      </c>
      <c r="J63" s="2108"/>
      <c r="K63" s="2108"/>
      <c r="L63" s="2108">
        <v>487365512</v>
      </c>
      <c r="M63" s="2108"/>
      <c r="N63" s="1225"/>
      <c r="O63" s="1225"/>
      <c r="P63" s="1225"/>
      <c r="Q63" s="1225"/>
      <c r="R63" s="2108" t="s">
        <v>1751</v>
      </c>
      <c r="S63" s="2108"/>
      <c r="T63" s="2108"/>
      <c r="U63" s="2108">
        <v>487365512</v>
      </c>
      <c r="V63" s="2108"/>
      <c r="W63" s="1224"/>
      <c r="X63" s="1224"/>
    </row>
    <row r="64" spans="1:24" ht="22.5" customHeight="1" x14ac:dyDescent="0.25">
      <c r="A64" s="1197"/>
      <c r="B64" s="1197"/>
      <c r="C64" s="1226"/>
      <c r="D64" s="1197"/>
      <c r="E64" s="1197"/>
      <c r="F64" s="1197"/>
      <c r="G64" s="1197"/>
      <c r="H64" s="1224"/>
      <c r="I64" s="2066" t="s">
        <v>3474</v>
      </c>
      <c r="J64" s="2066"/>
      <c r="K64" s="2066"/>
      <c r="L64" s="2108">
        <f>SUM(H59:P59)</f>
        <v>26369245</v>
      </c>
      <c r="M64" s="2108"/>
      <c r="N64" s="1225"/>
      <c r="O64" s="1225"/>
      <c r="P64" s="1225"/>
      <c r="Q64" s="1225"/>
      <c r="R64" s="2066" t="s">
        <v>3474</v>
      </c>
      <c r="S64" s="2066"/>
      <c r="T64" s="2066"/>
      <c r="U64" s="2108">
        <f>SUM(Q59:X59)</f>
        <v>26369245</v>
      </c>
      <c r="V64" s="2108"/>
      <c r="W64" s="1224"/>
      <c r="X64" s="1224"/>
    </row>
    <row r="65" spans="1:24" ht="21.75" customHeight="1" x14ac:dyDescent="0.25">
      <c r="A65" s="1197"/>
      <c r="B65" s="1197"/>
      <c r="C65" s="1226"/>
      <c r="D65" s="1197"/>
      <c r="E65" s="1197"/>
      <c r="F65" s="1197"/>
      <c r="G65" s="1197"/>
      <c r="H65" s="1224"/>
      <c r="I65" s="2108" t="s">
        <v>1561</v>
      </c>
      <c r="J65" s="2108"/>
      <c r="K65" s="2108"/>
      <c r="L65" s="2108">
        <f>+L63+L64</f>
        <v>513734757</v>
      </c>
      <c r="M65" s="2108"/>
      <c r="N65" s="1225"/>
      <c r="O65" s="1225"/>
      <c r="P65" s="1225"/>
      <c r="Q65" s="1225"/>
      <c r="R65" s="2108" t="s">
        <v>1561</v>
      </c>
      <c r="S65" s="2108"/>
      <c r="T65" s="2108"/>
      <c r="U65" s="2108">
        <f>+U63+U64</f>
        <v>513734757</v>
      </c>
      <c r="V65" s="2108"/>
      <c r="W65" s="1224"/>
      <c r="X65" s="1224"/>
    </row>
    <row r="66" spans="1:24" x14ac:dyDescent="0.2">
      <c r="A66" s="348"/>
      <c r="B66" s="348"/>
      <c r="C66" s="348"/>
      <c r="D66" s="348"/>
      <c r="E66" s="348"/>
      <c r="F66" s="348"/>
      <c r="G66" s="348"/>
      <c r="H66" s="348"/>
      <c r="I66" s="348"/>
      <c r="J66" s="348"/>
      <c r="K66" s="348"/>
      <c r="L66" s="348"/>
      <c r="M66" s="348"/>
      <c r="N66" s="348"/>
      <c r="O66" s="348"/>
      <c r="P66" s="348"/>
      <c r="Q66" s="348"/>
      <c r="R66" s="348"/>
      <c r="S66" s="348"/>
      <c r="T66" s="348"/>
      <c r="U66" s="348"/>
      <c r="V66" s="348"/>
      <c r="W66" s="348"/>
      <c r="X66" s="348"/>
    </row>
    <row r="67" spans="1:24" x14ac:dyDescent="0.2">
      <c r="A67" s="348"/>
      <c r="B67" s="348"/>
      <c r="C67" s="348"/>
      <c r="D67" s="348"/>
      <c r="E67" s="348"/>
      <c r="F67" s="348"/>
      <c r="G67" s="348"/>
      <c r="H67" s="348"/>
      <c r="I67" s="348"/>
      <c r="J67" s="348"/>
      <c r="K67" s="348"/>
      <c r="L67" s="348"/>
      <c r="M67" s="348"/>
      <c r="N67" s="348"/>
      <c r="O67" s="348"/>
      <c r="P67" s="348"/>
      <c r="Q67" s="348"/>
      <c r="R67" s="348"/>
      <c r="S67" s="348"/>
      <c r="T67" s="348"/>
      <c r="U67" s="348"/>
      <c r="V67" s="348"/>
      <c r="W67" s="348"/>
      <c r="X67" s="348"/>
    </row>
    <row r="68" spans="1:24" x14ac:dyDescent="0.2">
      <c r="A68" s="348"/>
      <c r="B68" s="348"/>
      <c r="C68" s="348"/>
      <c r="D68" s="348"/>
      <c r="E68" s="348"/>
      <c r="F68" s="348"/>
      <c r="G68" s="348"/>
      <c r="H68" s="348"/>
      <c r="I68" s="348"/>
      <c r="J68" s="348"/>
      <c r="K68" s="348"/>
      <c r="L68" s="348"/>
      <c r="M68" s="348"/>
      <c r="N68" s="348"/>
      <c r="O68" s="348"/>
      <c r="P68" s="348"/>
      <c r="Q68" s="348"/>
      <c r="R68" s="348"/>
      <c r="S68" s="348"/>
      <c r="T68" s="348"/>
      <c r="U68" s="348"/>
      <c r="V68" s="348"/>
      <c r="W68" s="348"/>
      <c r="X68" s="348"/>
    </row>
    <row r="69" spans="1:24" x14ac:dyDescent="0.2">
      <c r="A69" s="348"/>
      <c r="B69" s="348"/>
      <c r="C69" s="348"/>
      <c r="D69" s="348"/>
      <c r="E69" s="348"/>
      <c r="F69" s="348"/>
      <c r="G69" s="348"/>
      <c r="H69" s="348"/>
      <c r="I69" s="348"/>
      <c r="J69" s="348"/>
      <c r="K69" s="348"/>
      <c r="L69" s="348"/>
      <c r="M69" s="348"/>
      <c r="N69" s="348"/>
      <c r="O69" s="348"/>
      <c r="P69" s="348"/>
      <c r="Q69" s="348"/>
      <c r="R69" s="348"/>
      <c r="S69" s="348"/>
      <c r="T69" s="348"/>
      <c r="U69" s="348"/>
      <c r="V69" s="348"/>
      <c r="W69" s="348"/>
      <c r="X69" s="348"/>
    </row>
    <row r="70" spans="1:24" ht="15.75" x14ac:dyDescent="0.25">
      <c r="A70" s="2069" t="s">
        <v>2824</v>
      </c>
      <c r="B70" s="2069"/>
      <c r="C70" s="2069"/>
      <c r="D70" s="2069"/>
      <c r="E70" s="2069"/>
      <c r="F70" s="2069"/>
      <c r="G70" s="2069"/>
      <c r="H70" s="2069"/>
      <c r="I70" s="2069"/>
      <c r="J70" s="2069"/>
      <c r="K70" s="2069"/>
      <c r="L70" s="2069"/>
      <c r="M70" s="2069"/>
      <c r="N70" s="2069"/>
      <c r="O70" s="2069"/>
      <c r="P70" s="2069"/>
      <c r="Q70" s="2069"/>
      <c r="R70" s="2069"/>
      <c r="S70" s="2069"/>
      <c r="T70" s="2069"/>
      <c r="U70" s="2069"/>
      <c r="V70" s="2069"/>
      <c r="W70" s="2069"/>
      <c r="X70" s="2069"/>
    </row>
    <row r="71" spans="1:24" ht="15" x14ac:dyDescent="0.25">
      <c r="A71" s="1195"/>
      <c r="B71" s="1195"/>
      <c r="C71" s="1195"/>
      <c r="D71" s="1195"/>
      <c r="E71" s="1195"/>
      <c r="F71" s="1195"/>
      <c r="G71" s="1195"/>
      <c r="H71" s="1195"/>
      <c r="I71" s="1195"/>
      <c r="J71" s="1195"/>
      <c r="K71" s="1195"/>
      <c r="L71" s="1195"/>
      <c r="M71" s="1195"/>
      <c r="N71" s="1195"/>
      <c r="O71" s="1195"/>
      <c r="P71" s="1195"/>
      <c r="Q71" s="1195"/>
      <c r="R71" s="1195"/>
      <c r="S71" s="1195"/>
      <c r="T71" s="1195"/>
      <c r="U71" s="1195"/>
      <c r="V71" s="1195"/>
      <c r="W71" s="1195"/>
      <c r="X71" s="1195"/>
    </row>
    <row r="72" spans="1:24" ht="15" x14ac:dyDescent="0.25">
      <c r="A72" s="2112" t="s">
        <v>1790</v>
      </c>
      <c r="B72" s="2112"/>
      <c r="C72" s="2112"/>
      <c r="D72" s="2112"/>
      <c r="E72" s="2112"/>
      <c r="F72" s="2112"/>
      <c r="G72" s="2112"/>
      <c r="H72" s="2112"/>
      <c r="I72" s="2112"/>
      <c r="J72" s="2112"/>
      <c r="K72" s="2112"/>
      <c r="L72" s="2112"/>
      <c r="M72" s="2112"/>
      <c r="N72" s="2112"/>
      <c r="O72" s="2112"/>
      <c r="P72" s="2112"/>
      <c r="Q72" s="2112"/>
      <c r="R72" s="2112"/>
      <c r="S72" s="2112"/>
      <c r="T72" s="2112"/>
      <c r="U72" s="2112"/>
      <c r="V72" s="2112"/>
      <c r="W72" s="2112"/>
      <c r="X72" s="2112"/>
    </row>
    <row r="73" spans="1:24" ht="15" x14ac:dyDescent="0.25">
      <c r="A73" s="1197"/>
      <c r="B73" s="1197"/>
      <c r="C73" s="1226"/>
      <c r="D73" s="1197"/>
      <c r="E73" s="1197"/>
      <c r="F73" s="1197"/>
      <c r="G73" s="1197"/>
      <c r="H73" s="1197"/>
      <c r="I73" s="1197"/>
      <c r="J73" s="1197"/>
      <c r="K73" s="1197"/>
      <c r="L73" s="1197"/>
      <c r="M73" s="1197"/>
      <c r="N73" s="1197"/>
      <c r="O73" s="1197"/>
      <c r="P73" s="1197"/>
      <c r="Q73" s="1198"/>
      <c r="R73" s="1197"/>
      <c r="S73" s="1197"/>
      <c r="T73" s="1197"/>
      <c r="U73" s="1197"/>
      <c r="V73" s="1197"/>
      <c r="W73" s="1197"/>
      <c r="X73" s="1197"/>
    </row>
    <row r="74" spans="1:24" ht="15" customHeight="1" x14ac:dyDescent="0.25">
      <c r="A74" s="2155" t="s">
        <v>37</v>
      </c>
      <c r="B74" s="2093" t="s">
        <v>1726</v>
      </c>
      <c r="C74" s="2157" t="s">
        <v>2</v>
      </c>
      <c r="D74" s="2159" t="s">
        <v>1727</v>
      </c>
      <c r="E74" s="2159" t="s">
        <v>117</v>
      </c>
      <c r="F74" s="2159" t="s">
        <v>1728</v>
      </c>
      <c r="G74" s="2159" t="s">
        <v>1729</v>
      </c>
      <c r="H74" s="2161" t="s">
        <v>1730</v>
      </c>
      <c r="I74" s="2161"/>
      <c r="J74" s="2161"/>
      <c r="K74" s="2161"/>
      <c r="L74" s="2161"/>
      <c r="M74" s="2161"/>
      <c r="N74" s="2161"/>
      <c r="O74" s="2162"/>
      <c r="P74" s="1470"/>
      <c r="Q74" s="2163" t="s">
        <v>1731</v>
      </c>
      <c r="R74" s="2161"/>
      <c r="S74" s="2161"/>
      <c r="T74" s="2161"/>
      <c r="U74" s="2161"/>
      <c r="V74" s="2161"/>
      <c r="W74" s="2161"/>
      <c r="X74" s="2164"/>
    </row>
    <row r="75" spans="1:24" ht="90" customHeight="1" x14ac:dyDescent="0.2">
      <c r="A75" s="2156"/>
      <c r="B75" s="2094"/>
      <c r="C75" s="2158"/>
      <c r="D75" s="2160"/>
      <c r="E75" s="2160"/>
      <c r="F75" s="2160"/>
      <c r="G75" s="2160"/>
      <c r="H75" s="1260" t="s">
        <v>2386</v>
      </c>
      <c r="I75" s="1260" t="s">
        <v>1791</v>
      </c>
      <c r="J75" s="1260" t="s">
        <v>1792</v>
      </c>
      <c r="K75" s="1260" t="s">
        <v>1754</v>
      </c>
      <c r="L75" s="1260" t="s">
        <v>1788</v>
      </c>
      <c r="M75" s="1260" t="s">
        <v>1756</v>
      </c>
      <c r="N75" s="1260" t="s">
        <v>1757</v>
      </c>
      <c r="O75" s="1261" t="s">
        <v>1739</v>
      </c>
      <c r="P75" s="1263" t="s">
        <v>1758</v>
      </c>
      <c r="Q75" s="1469" t="s">
        <v>1741</v>
      </c>
      <c r="R75" s="1260" t="s">
        <v>1742</v>
      </c>
      <c r="S75" s="1260" t="s">
        <v>1793</v>
      </c>
      <c r="T75" s="1260" t="s">
        <v>1794</v>
      </c>
      <c r="U75" s="1260" t="s">
        <v>1745</v>
      </c>
      <c r="V75" s="1260" t="s">
        <v>1746</v>
      </c>
      <c r="W75" s="1260" t="s">
        <v>1747</v>
      </c>
      <c r="X75" s="1263" t="s">
        <v>1795</v>
      </c>
    </row>
    <row r="76" spans="1:24" ht="15.75" customHeight="1" x14ac:dyDescent="0.2">
      <c r="A76" s="2169" t="s">
        <v>261</v>
      </c>
      <c r="B76" s="2167" t="s">
        <v>265</v>
      </c>
      <c r="C76" s="2165" t="s">
        <v>2690</v>
      </c>
      <c r="D76" s="1201" t="s">
        <v>1835</v>
      </c>
      <c r="E76" s="1264">
        <v>104035</v>
      </c>
      <c r="F76" s="1368" t="s">
        <v>91</v>
      </c>
      <c r="G76" s="1264" t="s">
        <v>1837</v>
      </c>
      <c r="H76" s="1265">
        <f>-7190+7190</f>
        <v>0</v>
      </c>
      <c r="I76" s="1265"/>
      <c r="J76" s="1265"/>
      <c r="K76" s="1265"/>
      <c r="L76" s="1265"/>
      <c r="M76" s="1265"/>
      <c r="N76" s="1265"/>
      <c r="O76" s="1265"/>
      <c r="P76" s="1266"/>
      <c r="Q76" s="1267"/>
      <c r="R76" s="1265"/>
      <c r="S76" s="1265"/>
      <c r="T76" s="1265"/>
      <c r="U76" s="1265"/>
      <c r="V76" s="1265"/>
      <c r="W76" s="1265"/>
      <c r="X76" s="1266"/>
    </row>
    <row r="77" spans="1:24" ht="15.75" customHeight="1" x14ac:dyDescent="0.2">
      <c r="A77" s="2170"/>
      <c r="B77" s="2168"/>
      <c r="C77" s="2166"/>
      <c r="D77" s="1206" t="s">
        <v>1835</v>
      </c>
      <c r="E77" s="1268" t="s">
        <v>545</v>
      </c>
      <c r="F77" s="1269" t="s">
        <v>132</v>
      </c>
      <c r="G77" s="1278" t="s">
        <v>1837</v>
      </c>
      <c r="H77" s="1271">
        <f>-67000+67000</f>
        <v>0</v>
      </c>
      <c r="I77" s="1271"/>
      <c r="J77" s="1271"/>
      <c r="K77" s="1271"/>
      <c r="L77" s="1271"/>
      <c r="M77" s="1271"/>
      <c r="N77" s="1271"/>
      <c r="O77" s="1271"/>
      <c r="P77" s="1272"/>
      <c r="Q77" s="1273"/>
      <c r="R77" s="1271"/>
      <c r="S77" s="1271"/>
      <c r="T77" s="1271"/>
      <c r="U77" s="1271"/>
      <c r="V77" s="1271"/>
      <c r="W77" s="1271"/>
      <c r="X77" s="1272"/>
    </row>
    <row r="78" spans="1:24" ht="18.75" customHeight="1" x14ac:dyDescent="0.2">
      <c r="A78" s="2156" t="s">
        <v>262</v>
      </c>
      <c r="B78" s="2158" t="s">
        <v>266</v>
      </c>
      <c r="C78" s="2173" t="s">
        <v>2753</v>
      </c>
      <c r="D78" s="1206" t="s">
        <v>1835</v>
      </c>
      <c r="E78" s="1268" t="s">
        <v>1288</v>
      </c>
      <c r="F78" s="1476" t="s">
        <v>128</v>
      </c>
      <c r="G78" s="1269" t="s">
        <v>1829</v>
      </c>
      <c r="H78" s="1271"/>
      <c r="I78" s="1271"/>
      <c r="J78" s="1271"/>
      <c r="K78" s="1271"/>
      <c r="L78" s="1271"/>
      <c r="M78" s="1271"/>
      <c r="N78" s="1271"/>
      <c r="O78" s="1271"/>
      <c r="P78" s="1272"/>
      <c r="Q78" s="1273"/>
      <c r="R78" s="1271"/>
      <c r="S78" s="1271"/>
      <c r="T78" s="1271"/>
      <c r="U78" s="1271"/>
      <c r="V78" s="1271"/>
      <c r="W78" s="1271"/>
      <c r="X78" s="1272">
        <v>5888000</v>
      </c>
    </row>
    <row r="79" spans="1:24" ht="18.75" customHeight="1" x14ac:dyDescent="0.2">
      <c r="A79" s="2154"/>
      <c r="B79" s="2172"/>
      <c r="C79" s="2152"/>
      <c r="D79" s="1206" t="s">
        <v>1835</v>
      </c>
      <c r="E79" s="1278">
        <v>104035</v>
      </c>
      <c r="F79" s="1476" t="s">
        <v>91</v>
      </c>
      <c r="G79" s="1269" t="s">
        <v>1829</v>
      </c>
      <c r="H79" s="1271">
        <v>300000</v>
      </c>
      <c r="I79" s="1271">
        <v>84000</v>
      </c>
      <c r="J79" s="1271"/>
      <c r="K79" s="1271"/>
      <c r="L79" s="1271"/>
      <c r="M79" s="1271"/>
      <c r="N79" s="1271"/>
      <c r="O79" s="1271"/>
      <c r="P79" s="1272"/>
      <c r="Q79" s="1273"/>
      <c r="R79" s="1271"/>
      <c r="S79" s="1271"/>
      <c r="T79" s="1271"/>
      <c r="U79" s="1271"/>
      <c r="V79" s="1271"/>
      <c r="W79" s="1271"/>
      <c r="X79" s="1272"/>
    </row>
    <row r="80" spans="1:24" ht="18.75" customHeight="1" x14ac:dyDescent="0.2">
      <c r="A80" s="2154"/>
      <c r="B80" s="2172"/>
      <c r="C80" s="2152"/>
      <c r="D80" s="1206" t="s">
        <v>1835</v>
      </c>
      <c r="E80" s="1278">
        <v>104031</v>
      </c>
      <c r="F80" s="1476" t="s">
        <v>132</v>
      </c>
      <c r="G80" s="1269" t="s">
        <v>1829</v>
      </c>
      <c r="H80" s="1271">
        <v>2500000</v>
      </c>
      <c r="I80" s="1271">
        <v>700000</v>
      </c>
      <c r="J80" s="1271"/>
      <c r="K80" s="1271"/>
      <c r="L80" s="1271"/>
      <c r="M80" s="1271"/>
      <c r="N80" s="1271"/>
      <c r="O80" s="1271"/>
      <c r="P80" s="1272"/>
      <c r="Q80" s="1273"/>
      <c r="R80" s="1271"/>
      <c r="S80" s="1271"/>
      <c r="T80" s="1271"/>
      <c r="U80" s="1271"/>
      <c r="V80" s="1271"/>
      <c r="W80" s="1271"/>
      <c r="X80" s="1272"/>
    </row>
    <row r="81" spans="1:24" ht="18.75" customHeight="1" x14ac:dyDescent="0.2">
      <c r="A81" s="2170"/>
      <c r="B81" s="2168"/>
      <c r="C81" s="2166"/>
      <c r="D81" s="1206" t="s">
        <v>1835</v>
      </c>
      <c r="E81" s="1278">
        <v>104031</v>
      </c>
      <c r="F81" s="1476" t="s">
        <v>151</v>
      </c>
      <c r="G81" s="1269" t="s">
        <v>1829</v>
      </c>
      <c r="H81" s="1271">
        <v>1800000</v>
      </c>
      <c r="I81" s="1271">
        <v>504000</v>
      </c>
      <c r="J81" s="1271"/>
      <c r="K81" s="1271"/>
      <c r="L81" s="1271"/>
      <c r="M81" s="1271"/>
      <c r="N81" s="1271"/>
      <c r="O81" s="1271"/>
      <c r="P81" s="1272"/>
      <c r="Q81" s="1273"/>
      <c r="R81" s="1271"/>
      <c r="S81" s="1271"/>
      <c r="T81" s="1271"/>
      <c r="U81" s="1271"/>
      <c r="V81" s="1271"/>
      <c r="W81" s="1271"/>
      <c r="X81" s="1272"/>
    </row>
    <row r="82" spans="1:24" ht="30.75" customHeight="1" x14ac:dyDescent="0.2">
      <c r="A82" s="1664" t="s">
        <v>263</v>
      </c>
      <c r="B82" s="1663" t="s">
        <v>267</v>
      </c>
      <c r="C82" s="1662" t="s">
        <v>2634</v>
      </c>
      <c r="D82" s="1206" t="s">
        <v>1835</v>
      </c>
      <c r="E82" s="1278">
        <v>104035</v>
      </c>
      <c r="F82" s="1476" t="s">
        <v>91</v>
      </c>
      <c r="G82" s="1269" t="s">
        <v>1829</v>
      </c>
      <c r="H82" s="1271"/>
      <c r="I82" s="1271"/>
      <c r="J82" s="1271">
        <f>600000+162000</f>
        <v>762000</v>
      </c>
      <c r="K82" s="1271"/>
      <c r="L82" s="1271"/>
      <c r="M82" s="1271"/>
      <c r="N82" s="1271"/>
      <c r="O82" s="1271"/>
      <c r="P82" s="1272"/>
      <c r="Q82" s="1273"/>
      <c r="R82" s="1271"/>
      <c r="S82" s="1271"/>
      <c r="T82" s="1271">
        <f>600000+162000</f>
        <v>762000</v>
      </c>
      <c r="U82" s="1271"/>
      <c r="V82" s="1271"/>
      <c r="W82" s="1271"/>
      <c r="X82" s="1272"/>
    </row>
    <row r="83" spans="1:24" ht="21" customHeight="1" x14ac:dyDescent="0.2">
      <c r="A83" s="2156" t="s">
        <v>264</v>
      </c>
      <c r="B83" s="2158" t="s">
        <v>268</v>
      </c>
      <c r="C83" s="2173" t="s">
        <v>2856</v>
      </c>
      <c r="D83" s="1206" t="s">
        <v>1835</v>
      </c>
      <c r="E83" s="1278">
        <v>104035</v>
      </c>
      <c r="F83" s="1476" t="s">
        <v>91</v>
      </c>
      <c r="G83" s="1269" t="s">
        <v>1837</v>
      </c>
      <c r="H83" s="1271">
        <f>-11737+11737</f>
        <v>0</v>
      </c>
      <c r="I83" s="1271"/>
      <c r="J83" s="1271"/>
      <c r="K83" s="1271"/>
      <c r="L83" s="1271"/>
      <c r="M83" s="1271"/>
      <c r="N83" s="1271"/>
      <c r="O83" s="1271"/>
      <c r="P83" s="1272"/>
      <c r="Q83" s="1273"/>
      <c r="R83" s="1271"/>
      <c r="S83" s="1271"/>
      <c r="T83" s="1271"/>
      <c r="U83" s="1271"/>
      <c r="V83" s="1271"/>
      <c r="W83" s="1271"/>
      <c r="X83" s="1272"/>
    </row>
    <row r="84" spans="1:24" ht="21" customHeight="1" x14ac:dyDescent="0.2">
      <c r="A84" s="2154"/>
      <c r="B84" s="2172"/>
      <c r="C84" s="2152"/>
      <c r="D84" s="1206" t="s">
        <v>1835</v>
      </c>
      <c r="E84" s="1278">
        <v>104031</v>
      </c>
      <c r="F84" s="1476" t="s">
        <v>132</v>
      </c>
      <c r="G84" s="1269" t="s">
        <v>1837</v>
      </c>
      <c r="H84" s="1271">
        <f>-7853+7853</f>
        <v>0</v>
      </c>
      <c r="I84" s="1271"/>
      <c r="J84" s="1271"/>
      <c r="K84" s="1271"/>
      <c r="L84" s="1271"/>
      <c r="M84" s="1271"/>
      <c r="N84" s="1271"/>
      <c r="O84" s="1271"/>
      <c r="P84" s="1272"/>
      <c r="Q84" s="1273"/>
      <c r="R84" s="1271"/>
      <c r="S84" s="1271"/>
      <c r="T84" s="1271"/>
      <c r="U84" s="1271"/>
      <c r="V84" s="1271"/>
      <c r="W84" s="1271"/>
      <c r="X84" s="1272"/>
    </row>
    <row r="85" spans="1:24" ht="21" customHeight="1" x14ac:dyDescent="0.2">
      <c r="A85" s="2170"/>
      <c r="B85" s="2168"/>
      <c r="C85" s="2166"/>
      <c r="D85" s="1206" t="s">
        <v>1835</v>
      </c>
      <c r="E85" s="1278">
        <v>104031</v>
      </c>
      <c r="F85" s="1476" t="s">
        <v>151</v>
      </c>
      <c r="G85" s="1269" t="s">
        <v>1837</v>
      </c>
      <c r="H85" s="1271">
        <f>-9497+9497</f>
        <v>0</v>
      </c>
      <c r="I85" s="1271"/>
      <c r="J85" s="1271"/>
      <c r="K85" s="1271"/>
      <c r="L85" s="1271"/>
      <c r="M85" s="1271"/>
      <c r="N85" s="1271"/>
      <c r="O85" s="1271"/>
      <c r="P85" s="1272"/>
      <c r="Q85" s="1273"/>
      <c r="R85" s="1271"/>
      <c r="S85" s="1271"/>
      <c r="T85" s="1271"/>
      <c r="U85" s="1271"/>
      <c r="V85" s="1271"/>
      <c r="W85" s="1271"/>
      <c r="X85" s="1272"/>
    </row>
    <row r="86" spans="1:24" ht="23.25" customHeight="1" x14ac:dyDescent="0.2">
      <c r="A86" s="2156" t="s">
        <v>265</v>
      </c>
      <c r="B86" s="2158" t="s">
        <v>269</v>
      </c>
      <c r="C86" s="2173" t="s">
        <v>2879</v>
      </c>
      <c r="D86" s="1206" t="s">
        <v>1835</v>
      </c>
      <c r="E86" s="1278">
        <v>18030</v>
      </c>
      <c r="F86" s="1476" t="s">
        <v>128</v>
      </c>
      <c r="G86" s="1269" t="s">
        <v>1829</v>
      </c>
      <c r="H86" s="1271"/>
      <c r="I86" s="1271"/>
      <c r="J86" s="1271"/>
      <c r="K86" s="1271"/>
      <c r="L86" s="1271"/>
      <c r="M86" s="1271"/>
      <c r="N86" s="1271"/>
      <c r="O86" s="1271"/>
      <c r="P86" s="1272"/>
      <c r="Q86" s="1273"/>
      <c r="R86" s="1271"/>
      <c r="S86" s="1271"/>
      <c r="T86" s="1271"/>
      <c r="U86" s="1271"/>
      <c r="V86" s="1271"/>
      <c r="W86" s="1271"/>
      <c r="X86" s="1272">
        <v>154305</v>
      </c>
    </row>
    <row r="87" spans="1:24" ht="23.25" customHeight="1" x14ac:dyDescent="0.2">
      <c r="A87" s="2170"/>
      <c r="B87" s="2168"/>
      <c r="C87" s="2166"/>
      <c r="D87" s="1206" t="s">
        <v>1835</v>
      </c>
      <c r="E87" s="1278">
        <v>104031</v>
      </c>
      <c r="F87" s="1476" t="s">
        <v>151</v>
      </c>
      <c r="G87" s="1269" t="s">
        <v>1829</v>
      </c>
      <c r="H87" s="1271"/>
      <c r="I87" s="1271"/>
      <c r="J87" s="1271">
        <f>121500+32805</f>
        <v>154305</v>
      </c>
      <c r="K87" s="1271"/>
      <c r="L87" s="1271"/>
      <c r="M87" s="1271"/>
      <c r="N87" s="1271"/>
      <c r="O87" s="1271"/>
      <c r="P87" s="1272"/>
      <c r="Q87" s="1273"/>
      <c r="R87" s="1271"/>
      <c r="S87" s="1271"/>
      <c r="T87" s="1271"/>
      <c r="U87" s="1271"/>
      <c r="V87" s="1271"/>
      <c r="W87" s="1271"/>
      <c r="X87" s="1272"/>
    </row>
    <row r="88" spans="1:24" ht="27" customHeight="1" x14ac:dyDescent="0.2">
      <c r="A88" s="2156" t="s">
        <v>266</v>
      </c>
      <c r="B88" s="2158" t="s">
        <v>270</v>
      </c>
      <c r="C88" s="2173" t="s">
        <v>2996</v>
      </c>
      <c r="D88" s="1206" t="s">
        <v>1835</v>
      </c>
      <c r="E88" s="1278">
        <v>104035</v>
      </c>
      <c r="F88" s="1476" t="s">
        <v>91</v>
      </c>
      <c r="G88" s="1269" t="s">
        <v>1829</v>
      </c>
      <c r="H88" s="1271"/>
      <c r="I88" s="1271"/>
      <c r="J88" s="1271">
        <f>2150000+540000</f>
        <v>2690000</v>
      </c>
      <c r="K88" s="1271"/>
      <c r="L88" s="1271"/>
      <c r="M88" s="1271"/>
      <c r="N88" s="1271"/>
      <c r="O88" s="1271"/>
      <c r="P88" s="1272"/>
      <c r="Q88" s="1273"/>
      <c r="R88" s="1271"/>
      <c r="S88" s="1271"/>
      <c r="T88" s="1271">
        <f>2000000+540000+150000</f>
        <v>2690000</v>
      </c>
      <c r="U88" s="1271"/>
      <c r="V88" s="1271"/>
      <c r="W88" s="1271"/>
      <c r="X88" s="1272"/>
    </row>
    <row r="89" spans="1:24" ht="27" customHeight="1" x14ac:dyDescent="0.2">
      <c r="A89" s="2170"/>
      <c r="B89" s="2168"/>
      <c r="C89" s="2166"/>
      <c r="D89" s="1206" t="s">
        <v>1835</v>
      </c>
      <c r="E89" s="1278">
        <v>104031</v>
      </c>
      <c r="F89" s="1476" t="s">
        <v>132</v>
      </c>
      <c r="G89" s="1269" t="s">
        <v>1829</v>
      </c>
      <c r="H89" s="1271"/>
      <c r="I89" s="1271"/>
      <c r="J89" s="1271">
        <f>236220+63780</f>
        <v>300000</v>
      </c>
      <c r="K89" s="1271"/>
      <c r="L89" s="1271"/>
      <c r="M89" s="1271"/>
      <c r="N89" s="1271"/>
      <c r="O89" s="1271"/>
      <c r="P89" s="1272"/>
      <c r="Q89" s="1273"/>
      <c r="R89" s="1271"/>
      <c r="S89" s="1271"/>
      <c r="T89" s="1271">
        <v>300000</v>
      </c>
      <c r="U89" s="1271"/>
      <c r="V89" s="1271"/>
      <c r="W89" s="1271"/>
      <c r="X89" s="1272"/>
    </row>
    <row r="90" spans="1:24" ht="16.5" customHeight="1" x14ac:dyDescent="0.2">
      <c r="A90" s="1667"/>
      <c r="B90" s="1666"/>
      <c r="C90" s="1665"/>
      <c r="D90" s="1206"/>
      <c r="E90" s="1278"/>
      <c r="F90" s="1476"/>
      <c r="G90" s="1269"/>
      <c r="H90" s="1271"/>
      <c r="I90" s="1271"/>
      <c r="J90" s="1271"/>
      <c r="K90" s="1271"/>
      <c r="L90" s="1271"/>
      <c r="M90" s="1271"/>
      <c r="N90" s="1271"/>
      <c r="O90" s="1271"/>
      <c r="P90" s="1272"/>
      <c r="Q90" s="1273"/>
      <c r="R90" s="1271"/>
      <c r="S90" s="1271"/>
      <c r="T90" s="1271"/>
      <c r="U90" s="1271"/>
      <c r="V90" s="1271"/>
      <c r="W90" s="1271"/>
      <c r="X90" s="1272"/>
    </row>
    <row r="91" spans="1:24" ht="18.75" x14ac:dyDescent="0.3">
      <c r="A91" s="2082" t="s">
        <v>1749</v>
      </c>
      <c r="B91" s="2083"/>
      <c r="C91" s="2084"/>
      <c r="D91" s="1179"/>
      <c r="E91" s="1179"/>
      <c r="F91" s="1179"/>
      <c r="G91" s="1179"/>
      <c r="H91" s="1365">
        <f t="shared" ref="H91:X91" si="2">SUM(H76:H90)+H59</f>
        <v>11800000</v>
      </c>
      <c r="I91" s="1365">
        <f t="shared" si="2"/>
        <v>2224000</v>
      </c>
      <c r="J91" s="1365">
        <f t="shared" si="2"/>
        <v>13518347</v>
      </c>
      <c r="K91" s="1365">
        <f t="shared" si="2"/>
        <v>0</v>
      </c>
      <c r="L91" s="1365">
        <f t="shared" si="2"/>
        <v>8466568</v>
      </c>
      <c r="M91" s="1365">
        <f t="shared" si="2"/>
        <v>154635</v>
      </c>
      <c r="N91" s="1365">
        <f t="shared" si="2"/>
        <v>0</v>
      </c>
      <c r="O91" s="1365">
        <f t="shared" si="2"/>
        <v>0</v>
      </c>
      <c r="P91" s="1366">
        <f t="shared" si="2"/>
        <v>0</v>
      </c>
      <c r="Q91" s="1367">
        <f t="shared" si="2"/>
        <v>0</v>
      </c>
      <c r="R91" s="1365">
        <f t="shared" si="2"/>
        <v>0</v>
      </c>
      <c r="S91" s="1365">
        <f t="shared" si="2"/>
        <v>0</v>
      </c>
      <c r="T91" s="1365">
        <f t="shared" si="2"/>
        <v>5513942</v>
      </c>
      <c r="U91" s="1365">
        <f t="shared" si="2"/>
        <v>0</v>
      </c>
      <c r="V91" s="1365">
        <f t="shared" si="2"/>
        <v>0</v>
      </c>
      <c r="W91" s="1365">
        <f t="shared" si="2"/>
        <v>0</v>
      </c>
      <c r="X91" s="1366">
        <f t="shared" si="2"/>
        <v>30649608</v>
      </c>
    </row>
    <row r="92" spans="1:24" ht="15" customHeight="1" x14ac:dyDescent="0.2">
      <c r="A92" s="1279"/>
      <c r="B92" s="1280"/>
      <c r="C92" s="1280"/>
      <c r="D92" s="1281"/>
      <c r="E92" s="1281"/>
      <c r="F92" s="1281"/>
      <c r="G92" s="1281"/>
      <c r="H92" s="1282"/>
      <c r="I92" s="1282"/>
      <c r="J92" s="1282"/>
      <c r="K92" s="1282"/>
      <c r="L92" s="1282"/>
      <c r="M92" s="1282"/>
      <c r="N92" s="1282"/>
      <c r="O92" s="1282"/>
      <c r="P92" s="1282"/>
      <c r="Q92" s="1282"/>
      <c r="R92" s="1282"/>
      <c r="S92" s="1282"/>
      <c r="T92" s="1282"/>
      <c r="U92" s="1282"/>
      <c r="V92" s="1282"/>
      <c r="W92" s="1282"/>
      <c r="X92" s="1282"/>
    </row>
    <row r="93" spans="1:24" ht="15" customHeight="1" x14ac:dyDescent="0.2">
      <c r="A93" s="1280"/>
      <c r="B93" s="1280"/>
      <c r="C93" s="1280"/>
      <c r="D93" s="1281"/>
      <c r="E93" s="1281"/>
      <c r="F93" s="1281"/>
      <c r="G93" s="1281"/>
      <c r="H93" s="1282"/>
      <c r="I93" s="1282"/>
      <c r="J93" s="1282"/>
      <c r="K93" s="1282"/>
      <c r="L93" s="1282"/>
      <c r="M93" s="1282"/>
      <c r="N93" s="1282"/>
      <c r="O93" s="1282"/>
      <c r="P93" s="1282"/>
      <c r="Q93" s="1282"/>
      <c r="R93" s="1282"/>
      <c r="S93" s="1282"/>
      <c r="T93" s="1282"/>
      <c r="U93" s="1282"/>
      <c r="V93" s="1282"/>
      <c r="W93" s="1282"/>
      <c r="X93" s="1282"/>
    </row>
    <row r="94" spans="1:24" x14ac:dyDescent="0.2">
      <c r="A94" s="1280"/>
      <c r="B94" s="1280"/>
      <c r="C94" s="1280"/>
      <c r="D94" s="1281"/>
      <c r="E94" s="1281"/>
      <c r="F94" s="1281"/>
      <c r="G94" s="1281"/>
      <c r="H94" s="1282"/>
      <c r="I94" s="1282"/>
      <c r="J94" s="1282"/>
      <c r="K94" s="1282"/>
      <c r="L94" s="1282"/>
      <c r="M94" s="1282"/>
      <c r="N94" s="1282"/>
      <c r="O94" s="1282"/>
      <c r="P94" s="1282"/>
      <c r="Q94" s="1282"/>
      <c r="R94" s="1282"/>
      <c r="S94" s="1282"/>
      <c r="T94" s="1282"/>
      <c r="U94" s="1282"/>
      <c r="V94" s="1282"/>
      <c r="W94" s="1282"/>
      <c r="X94" s="1282"/>
    </row>
    <row r="95" spans="1:24" ht="22.5" customHeight="1" x14ac:dyDescent="0.25">
      <c r="A95" s="1197"/>
      <c r="B95" s="1197"/>
      <c r="C95" s="1226"/>
      <c r="D95" s="1197"/>
      <c r="E95" s="1197"/>
      <c r="F95" s="1197"/>
      <c r="G95" s="1197"/>
      <c r="H95" s="1224"/>
      <c r="I95" s="2108" t="s">
        <v>1750</v>
      </c>
      <c r="J95" s="2108"/>
      <c r="K95" s="2108"/>
      <c r="L95" s="2108">
        <v>487365512</v>
      </c>
      <c r="M95" s="2108"/>
      <c r="N95" s="1225"/>
      <c r="O95" s="1225"/>
      <c r="P95" s="1225"/>
      <c r="Q95" s="1225"/>
      <c r="R95" s="2108" t="s">
        <v>1751</v>
      </c>
      <c r="S95" s="2108"/>
      <c r="T95" s="2108"/>
      <c r="U95" s="2108">
        <v>487365512</v>
      </c>
      <c r="V95" s="2108"/>
      <c r="W95" s="1224"/>
      <c r="X95" s="1224"/>
    </row>
    <row r="96" spans="1:24" ht="23.25" customHeight="1" x14ac:dyDescent="0.25">
      <c r="A96" s="1197"/>
      <c r="B96" s="1197"/>
      <c r="C96" s="1226"/>
      <c r="D96" s="1197"/>
      <c r="E96" s="1197"/>
      <c r="F96" s="1197"/>
      <c r="G96" s="1197"/>
      <c r="H96" s="1224"/>
      <c r="I96" s="2066" t="s">
        <v>3474</v>
      </c>
      <c r="J96" s="2066"/>
      <c r="K96" s="2066"/>
      <c r="L96" s="2108">
        <f>SUM(H91:P91)</f>
        <v>36163550</v>
      </c>
      <c r="M96" s="2108"/>
      <c r="N96" s="1225"/>
      <c r="O96" s="1225"/>
      <c r="P96" s="1225"/>
      <c r="Q96" s="1225"/>
      <c r="R96" s="2066" t="s">
        <v>3474</v>
      </c>
      <c r="S96" s="2066"/>
      <c r="T96" s="2066"/>
      <c r="U96" s="2108">
        <f>SUM(Q91:X91)</f>
        <v>36163550</v>
      </c>
      <c r="V96" s="2108"/>
      <c r="W96" s="1224"/>
      <c r="X96" s="1224"/>
    </row>
    <row r="97" spans="1:24" ht="22.5" customHeight="1" x14ac:dyDescent="0.25">
      <c r="A97" s="1197"/>
      <c r="B97" s="1197"/>
      <c r="C97" s="1226"/>
      <c r="D97" s="1197"/>
      <c r="E97" s="1197"/>
      <c r="F97" s="1197"/>
      <c r="G97" s="1197"/>
      <c r="H97" s="1224"/>
      <c r="I97" s="2108" t="s">
        <v>1561</v>
      </c>
      <c r="J97" s="2108"/>
      <c r="K97" s="2108"/>
      <c r="L97" s="2108">
        <f>+L95+L96</f>
        <v>523529062</v>
      </c>
      <c r="M97" s="2108"/>
      <c r="N97" s="1225"/>
      <c r="O97" s="1225"/>
      <c r="P97" s="1225"/>
      <c r="Q97" s="1225"/>
      <c r="R97" s="2108" t="s">
        <v>1561</v>
      </c>
      <c r="S97" s="2108"/>
      <c r="T97" s="2108"/>
      <c r="U97" s="2108">
        <f>+U95+U96</f>
        <v>523529062</v>
      </c>
      <c r="V97" s="2108"/>
      <c r="W97" s="1224"/>
      <c r="X97" s="1224"/>
    </row>
    <row r="98" spans="1:24" x14ac:dyDescent="0.2">
      <c r="A98" s="348"/>
      <c r="B98" s="348"/>
      <c r="C98" s="348"/>
      <c r="D98" s="348"/>
      <c r="E98" s="348"/>
      <c r="F98" s="348"/>
      <c r="G98" s="348"/>
      <c r="H98" s="348"/>
      <c r="I98" s="348"/>
      <c r="J98" s="348"/>
      <c r="K98" s="348"/>
      <c r="L98" s="348"/>
      <c r="M98" s="348"/>
      <c r="N98" s="348"/>
      <c r="O98" s="348"/>
      <c r="P98" s="348"/>
      <c r="Q98" s="348"/>
      <c r="R98" s="348"/>
      <c r="S98" s="348"/>
      <c r="T98" s="348"/>
      <c r="U98" s="348"/>
      <c r="V98" s="348"/>
      <c r="W98" s="348"/>
      <c r="X98" s="348"/>
    </row>
    <row r="99" spans="1:24" x14ac:dyDescent="0.2">
      <c r="A99" s="348"/>
      <c r="B99" s="348"/>
      <c r="C99" s="348"/>
      <c r="D99" s="348"/>
      <c r="E99" s="348"/>
      <c r="F99" s="348"/>
      <c r="G99" s="348"/>
      <c r="H99" s="348"/>
      <c r="I99" s="348"/>
      <c r="J99" s="348"/>
      <c r="K99" s="348"/>
      <c r="L99" s="348"/>
      <c r="M99" s="348"/>
      <c r="N99" s="348"/>
      <c r="O99" s="348"/>
      <c r="P99" s="348"/>
      <c r="Q99" s="348"/>
      <c r="R99" s="348"/>
      <c r="S99" s="348"/>
      <c r="T99" s="348"/>
      <c r="U99" s="348"/>
      <c r="V99" s="348"/>
      <c r="W99" s="348"/>
      <c r="X99" s="348"/>
    </row>
    <row r="100" spans="1:24" x14ac:dyDescent="0.2">
      <c r="A100" s="348"/>
      <c r="B100" s="348"/>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row>
    <row r="101" spans="1:24" x14ac:dyDescent="0.2">
      <c r="A101" s="348"/>
      <c r="B101" s="348"/>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row>
    <row r="102" spans="1:24" ht="15.75" x14ac:dyDescent="0.25">
      <c r="A102" s="2069" t="s">
        <v>3354</v>
      </c>
      <c r="B102" s="2069"/>
      <c r="C102" s="2069"/>
      <c r="D102" s="2069"/>
      <c r="E102" s="2069"/>
      <c r="F102" s="2069"/>
      <c r="G102" s="2069"/>
      <c r="H102" s="2069"/>
      <c r="I102" s="2069"/>
      <c r="J102" s="2069"/>
      <c r="K102" s="2069"/>
      <c r="L102" s="2069"/>
      <c r="M102" s="2069"/>
      <c r="N102" s="2069"/>
      <c r="O102" s="2069"/>
      <c r="P102" s="2069"/>
      <c r="Q102" s="2069"/>
      <c r="R102" s="2069"/>
      <c r="S102" s="2069"/>
      <c r="T102" s="2069"/>
      <c r="U102" s="2069"/>
      <c r="V102" s="2069"/>
      <c r="W102" s="2069"/>
      <c r="X102" s="2069"/>
    </row>
    <row r="103" spans="1:24" ht="15" x14ac:dyDescent="0.25">
      <c r="A103" s="1195"/>
      <c r="B103" s="1195"/>
      <c r="C103" s="1195"/>
      <c r="D103" s="1195"/>
      <c r="E103" s="1195"/>
      <c r="F103" s="1195"/>
      <c r="G103" s="1195"/>
      <c r="H103" s="1195"/>
      <c r="I103" s="1195"/>
      <c r="J103" s="1195"/>
      <c r="K103" s="1195"/>
      <c r="L103" s="1195"/>
      <c r="M103" s="1195"/>
      <c r="N103" s="1195"/>
      <c r="O103" s="1195"/>
      <c r="P103" s="1195"/>
      <c r="Q103" s="1195"/>
      <c r="R103" s="1195"/>
      <c r="S103" s="1195"/>
      <c r="T103" s="1195"/>
      <c r="U103" s="1195"/>
      <c r="V103" s="1195"/>
      <c r="W103" s="1195"/>
      <c r="X103" s="1195"/>
    </row>
    <row r="104" spans="1:24" ht="15" x14ac:dyDescent="0.25">
      <c r="A104" s="2112" t="s">
        <v>1790</v>
      </c>
      <c r="B104" s="2112"/>
      <c r="C104" s="2112"/>
      <c r="D104" s="2112"/>
      <c r="E104" s="2112"/>
      <c r="F104" s="2112"/>
      <c r="G104" s="2112"/>
      <c r="H104" s="2112"/>
      <c r="I104" s="2112"/>
      <c r="J104" s="2112"/>
      <c r="K104" s="2112"/>
      <c r="L104" s="2112"/>
      <c r="M104" s="2112"/>
      <c r="N104" s="2112"/>
      <c r="O104" s="2112"/>
      <c r="P104" s="2112"/>
      <c r="Q104" s="2112"/>
      <c r="R104" s="2112"/>
      <c r="S104" s="2112"/>
      <c r="T104" s="2112"/>
      <c r="U104" s="2112"/>
      <c r="V104" s="2112"/>
      <c r="W104" s="2112"/>
      <c r="X104" s="2112"/>
    </row>
    <row r="105" spans="1:24" ht="15" x14ac:dyDescent="0.25">
      <c r="A105" s="1197"/>
      <c r="B105" s="1197"/>
      <c r="C105" s="1226"/>
      <c r="D105" s="1197"/>
      <c r="E105" s="1197"/>
      <c r="F105" s="1197"/>
      <c r="G105" s="1197"/>
      <c r="H105" s="1197"/>
      <c r="I105" s="1197"/>
      <c r="J105" s="1197"/>
      <c r="K105" s="1197"/>
      <c r="L105" s="1197"/>
      <c r="M105" s="1197"/>
      <c r="N105" s="1197"/>
      <c r="O105" s="1197"/>
      <c r="P105" s="1197"/>
      <c r="Q105" s="1198"/>
      <c r="R105" s="1197"/>
      <c r="S105" s="1197"/>
      <c r="T105" s="1197"/>
      <c r="U105" s="1197"/>
      <c r="V105" s="1197"/>
      <c r="W105" s="1197"/>
      <c r="X105" s="1197"/>
    </row>
    <row r="106" spans="1:24" ht="15" x14ac:dyDescent="0.25">
      <c r="A106" s="2155" t="s">
        <v>37</v>
      </c>
      <c r="B106" s="2093" t="s">
        <v>1726</v>
      </c>
      <c r="C106" s="2157" t="s">
        <v>2</v>
      </c>
      <c r="D106" s="2159" t="s">
        <v>1727</v>
      </c>
      <c r="E106" s="2159" t="s">
        <v>117</v>
      </c>
      <c r="F106" s="2159" t="s">
        <v>1728</v>
      </c>
      <c r="G106" s="2159" t="s">
        <v>1729</v>
      </c>
      <c r="H106" s="2161" t="s">
        <v>1730</v>
      </c>
      <c r="I106" s="2161"/>
      <c r="J106" s="2161"/>
      <c r="K106" s="2161"/>
      <c r="L106" s="2161"/>
      <c r="M106" s="2161"/>
      <c r="N106" s="2161"/>
      <c r="O106" s="2162"/>
      <c r="P106" s="1470"/>
      <c r="Q106" s="2163" t="s">
        <v>1731</v>
      </c>
      <c r="R106" s="2161"/>
      <c r="S106" s="2161"/>
      <c r="T106" s="2161"/>
      <c r="U106" s="2161"/>
      <c r="V106" s="2161"/>
      <c r="W106" s="2161"/>
      <c r="X106" s="2164"/>
    </row>
    <row r="107" spans="1:24" ht="88.5" customHeight="1" x14ac:dyDescent="0.2">
      <c r="A107" s="2156"/>
      <c r="B107" s="2094"/>
      <c r="C107" s="2158"/>
      <c r="D107" s="2160"/>
      <c r="E107" s="2160"/>
      <c r="F107" s="2160"/>
      <c r="G107" s="2160"/>
      <c r="H107" s="1260" t="s">
        <v>2386</v>
      </c>
      <c r="I107" s="1260" t="s">
        <v>1791</v>
      </c>
      <c r="J107" s="1260" t="s">
        <v>1792</v>
      </c>
      <c r="K107" s="1260" t="s">
        <v>1754</v>
      </c>
      <c r="L107" s="1260" t="s">
        <v>1788</v>
      </c>
      <c r="M107" s="1260" t="s">
        <v>1756</v>
      </c>
      <c r="N107" s="1260" t="s">
        <v>1757</v>
      </c>
      <c r="O107" s="1261" t="s">
        <v>1739</v>
      </c>
      <c r="P107" s="1263" t="s">
        <v>1758</v>
      </c>
      <c r="Q107" s="1469" t="s">
        <v>1741</v>
      </c>
      <c r="R107" s="1260" t="s">
        <v>1742</v>
      </c>
      <c r="S107" s="1260" t="s">
        <v>1793</v>
      </c>
      <c r="T107" s="1260" t="s">
        <v>1794</v>
      </c>
      <c r="U107" s="1260" t="s">
        <v>1745</v>
      </c>
      <c r="V107" s="1260" t="s">
        <v>1746</v>
      </c>
      <c r="W107" s="1260" t="s">
        <v>1747</v>
      </c>
      <c r="X107" s="1263" t="s">
        <v>1795</v>
      </c>
    </row>
    <row r="108" spans="1:24" ht="18.75" customHeight="1" x14ac:dyDescent="0.2">
      <c r="A108" s="2169" t="s">
        <v>267</v>
      </c>
      <c r="B108" s="2167" t="s">
        <v>271</v>
      </c>
      <c r="C108" s="2165" t="s">
        <v>3030</v>
      </c>
      <c r="D108" s="1201" t="s">
        <v>1835</v>
      </c>
      <c r="E108" s="1264">
        <v>104035</v>
      </c>
      <c r="F108" s="1368" t="s">
        <v>91</v>
      </c>
      <c r="G108" s="1264" t="s">
        <v>1837</v>
      </c>
      <c r="H108" s="1265">
        <f>-15810+15810</f>
        <v>0</v>
      </c>
      <c r="I108" s="1265"/>
      <c r="J108" s="1265"/>
      <c r="K108" s="1265"/>
      <c r="L108" s="1265"/>
      <c r="M108" s="1265"/>
      <c r="N108" s="1265"/>
      <c r="O108" s="1265"/>
      <c r="P108" s="1266"/>
      <c r="Q108" s="1267"/>
      <c r="R108" s="1265"/>
      <c r="S108" s="1265"/>
      <c r="T108" s="1265"/>
      <c r="U108" s="1265"/>
      <c r="V108" s="1265"/>
      <c r="W108" s="1265"/>
      <c r="X108" s="1266"/>
    </row>
    <row r="109" spans="1:24" ht="18.75" customHeight="1" x14ac:dyDescent="0.2">
      <c r="A109" s="2170"/>
      <c r="B109" s="2168"/>
      <c r="C109" s="2166"/>
      <c r="D109" s="1206" t="s">
        <v>1835</v>
      </c>
      <c r="E109" s="1268" t="s">
        <v>545</v>
      </c>
      <c r="F109" s="1269" t="s">
        <v>132</v>
      </c>
      <c r="G109" s="1278" t="s">
        <v>1837</v>
      </c>
      <c r="H109" s="1271">
        <f>-7401058+7134392+66666+200000</f>
        <v>0</v>
      </c>
      <c r="I109" s="1271"/>
      <c r="J109" s="1271"/>
      <c r="K109" s="1271"/>
      <c r="L109" s="1271"/>
      <c r="M109" s="1271"/>
      <c r="N109" s="1271"/>
      <c r="O109" s="1271"/>
      <c r="P109" s="1272"/>
      <c r="Q109" s="1273"/>
      <c r="R109" s="1271"/>
      <c r="S109" s="1271"/>
      <c r="T109" s="1271"/>
      <c r="U109" s="1271"/>
      <c r="V109" s="1271"/>
      <c r="W109" s="1271"/>
      <c r="X109" s="1272"/>
    </row>
    <row r="110" spans="1:24" ht="36" customHeight="1" x14ac:dyDescent="0.2">
      <c r="A110" s="1673" t="s">
        <v>268</v>
      </c>
      <c r="B110" s="1672" t="s">
        <v>272</v>
      </c>
      <c r="C110" s="1671" t="s">
        <v>3145</v>
      </c>
      <c r="D110" s="1206" t="s">
        <v>1835</v>
      </c>
      <c r="E110" s="1268" t="s">
        <v>545</v>
      </c>
      <c r="F110" s="1269" t="s">
        <v>132</v>
      </c>
      <c r="G110" s="1278" t="s">
        <v>1837</v>
      </c>
      <c r="H110" s="1271"/>
      <c r="I110" s="1271"/>
      <c r="J110" s="1271">
        <f>-15000+15000</f>
        <v>0</v>
      </c>
      <c r="K110" s="1271"/>
      <c r="L110" s="1271"/>
      <c r="M110" s="1271"/>
      <c r="N110" s="1271"/>
      <c r="O110" s="1271"/>
      <c r="P110" s="1272"/>
      <c r="Q110" s="1273"/>
      <c r="R110" s="1271"/>
      <c r="S110" s="1271"/>
      <c r="T110" s="1271"/>
      <c r="U110" s="1271"/>
      <c r="V110" s="1271"/>
      <c r="W110" s="1271"/>
      <c r="X110" s="1272"/>
    </row>
    <row r="111" spans="1:24" ht="22.5" customHeight="1" x14ac:dyDescent="0.2">
      <c r="A111" s="2154" t="s">
        <v>269</v>
      </c>
      <c r="B111" s="2171" t="s">
        <v>276</v>
      </c>
      <c r="C111" s="2152" t="s">
        <v>3181</v>
      </c>
      <c r="D111" s="1206" t="s">
        <v>1835</v>
      </c>
      <c r="E111" s="1268" t="s">
        <v>555</v>
      </c>
      <c r="F111" s="1269" t="s">
        <v>91</v>
      </c>
      <c r="G111" s="1278" t="s">
        <v>1837</v>
      </c>
      <c r="H111" s="1271">
        <f>-1500000+1500000</f>
        <v>0</v>
      </c>
      <c r="I111" s="1271"/>
      <c r="J111" s="1271"/>
      <c r="K111" s="1271"/>
      <c r="L111" s="1271"/>
      <c r="M111" s="1271"/>
      <c r="N111" s="1271"/>
      <c r="O111" s="1271"/>
      <c r="P111" s="1272"/>
      <c r="Q111" s="1273"/>
      <c r="R111" s="1271"/>
      <c r="S111" s="1271"/>
      <c r="T111" s="1271"/>
      <c r="U111" s="1271"/>
      <c r="V111" s="1271"/>
      <c r="W111" s="1271"/>
      <c r="X111" s="1272"/>
    </row>
    <row r="112" spans="1:24" ht="22.5" customHeight="1" x14ac:dyDescent="0.2">
      <c r="A112" s="2154"/>
      <c r="B112" s="2171"/>
      <c r="C112" s="2152"/>
      <c r="D112" s="1206" t="s">
        <v>1835</v>
      </c>
      <c r="E112" s="1268" t="s">
        <v>545</v>
      </c>
      <c r="F112" s="1269" t="s">
        <v>132</v>
      </c>
      <c r="G112" s="1278" t="s">
        <v>1837</v>
      </c>
      <c r="H112" s="1271">
        <f>-25281201+12581161+12500000+200040</f>
        <v>0</v>
      </c>
      <c r="I112" s="1271"/>
      <c r="J112" s="1271"/>
      <c r="K112" s="1271"/>
      <c r="L112" s="1271"/>
      <c r="M112" s="1271"/>
      <c r="N112" s="1271"/>
      <c r="O112" s="1271"/>
      <c r="P112" s="1272"/>
      <c r="Q112" s="1273"/>
      <c r="R112" s="1271"/>
      <c r="S112" s="1271"/>
      <c r="T112" s="1271"/>
      <c r="U112" s="1271"/>
      <c r="V112" s="1271"/>
      <c r="W112" s="1271"/>
      <c r="X112" s="1272"/>
    </row>
    <row r="113" spans="1:24" ht="22.5" customHeight="1" x14ac:dyDescent="0.2">
      <c r="A113" s="2154"/>
      <c r="B113" s="2171"/>
      <c r="C113" s="2152"/>
      <c r="D113" s="1206" t="s">
        <v>1835</v>
      </c>
      <c r="E113" s="1268" t="s">
        <v>545</v>
      </c>
      <c r="F113" s="1269" t="s">
        <v>151</v>
      </c>
      <c r="G113" s="1278" t="s">
        <v>1837</v>
      </c>
      <c r="H113" s="1271">
        <f>-14191182+4490303+9500000+200879</f>
        <v>0</v>
      </c>
      <c r="I113" s="1271"/>
      <c r="J113" s="1271"/>
      <c r="K113" s="1271"/>
      <c r="L113" s="1271"/>
      <c r="M113" s="1271"/>
      <c r="N113" s="1271"/>
      <c r="O113" s="1271"/>
      <c r="P113" s="1272"/>
      <c r="Q113" s="1273"/>
      <c r="R113" s="1271"/>
      <c r="S113" s="1271"/>
      <c r="T113" s="1271"/>
      <c r="U113" s="1271"/>
      <c r="V113" s="1271"/>
      <c r="W113" s="1271"/>
      <c r="X113" s="1272"/>
    </row>
    <row r="114" spans="1:24" ht="41.25" customHeight="1" x14ac:dyDescent="0.2">
      <c r="A114" s="1673" t="s">
        <v>270</v>
      </c>
      <c r="B114" s="1672" t="s">
        <v>277</v>
      </c>
      <c r="C114" s="1671" t="s">
        <v>3214</v>
      </c>
      <c r="D114" s="1206" t="s">
        <v>1835</v>
      </c>
      <c r="E114" s="1268" t="s">
        <v>545</v>
      </c>
      <c r="F114" s="1269" t="s">
        <v>132</v>
      </c>
      <c r="G114" s="1278" t="s">
        <v>1837</v>
      </c>
      <c r="H114" s="1271"/>
      <c r="I114" s="1271"/>
      <c r="J114" s="1271">
        <f>-500000-135000</f>
        <v>-635000</v>
      </c>
      <c r="K114" s="1271"/>
      <c r="L114" s="1271"/>
      <c r="M114" s="1271">
        <f>500000+135000</f>
        <v>635000</v>
      </c>
      <c r="N114" s="1271"/>
      <c r="O114" s="1271"/>
      <c r="P114" s="1272"/>
      <c r="Q114" s="1273"/>
      <c r="R114" s="1271"/>
      <c r="S114" s="1271"/>
      <c r="T114" s="1271"/>
      <c r="U114" s="1271"/>
      <c r="V114" s="1271"/>
      <c r="W114" s="1271"/>
      <c r="X114" s="1272"/>
    </row>
    <row r="115" spans="1:24" ht="21" customHeight="1" x14ac:dyDescent="0.2">
      <c r="A115" s="2154" t="s">
        <v>271</v>
      </c>
      <c r="B115" s="2172" t="s">
        <v>278</v>
      </c>
      <c r="C115" s="2152" t="s">
        <v>3341</v>
      </c>
      <c r="D115" s="1206" t="s">
        <v>1835</v>
      </c>
      <c r="E115" s="1268" t="s">
        <v>555</v>
      </c>
      <c r="F115" s="1269" t="s">
        <v>91</v>
      </c>
      <c r="G115" s="1278" t="s">
        <v>1829</v>
      </c>
      <c r="H115" s="1271"/>
      <c r="I115" s="1271"/>
      <c r="J115" s="1271">
        <v>1905000</v>
      </c>
      <c r="K115" s="1271"/>
      <c r="L115" s="1271"/>
      <c r="M115" s="1271"/>
      <c r="N115" s="1271"/>
      <c r="O115" s="1271"/>
      <c r="P115" s="1272"/>
      <c r="Q115" s="1273"/>
      <c r="R115" s="1271"/>
      <c r="S115" s="1271"/>
      <c r="T115" s="1271">
        <f>1500000+405000</f>
        <v>1905000</v>
      </c>
      <c r="U115" s="1271"/>
      <c r="V115" s="1271"/>
      <c r="W115" s="1271"/>
      <c r="X115" s="1272"/>
    </row>
    <row r="116" spans="1:24" ht="21" customHeight="1" x14ac:dyDescent="0.2">
      <c r="A116" s="2154"/>
      <c r="B116" s="2172"/>
      <c r="C116" s="2152"/>
      <c r="D116" s="1206" t="s">
        <v>1835</v>
      </c>
      <c r="E116" s="1268" t="s">
        <v>545</v>
      </c>
      <c r="F116" s="1269" t="s">
        <v>132</v>
      </c>
      <c r="G116" s="1278" t="s">
        <v>1829</v>
      </c>
      <c r="H116" s="1271"/>
      <c r="I116" s="1271"/>
      <c r="J116" s="1271">
        <v>1200000</v>
      </c>
      <c r="K116" s="1271"/>
      <c r="L116" s="1271"/>
      <c r="M116" s="1271"/>
      <c r="N116" s="1271"/>
      <c r="O116" s="1271"/>
      <c r="P116" s="1272"/>
      <c r="Q116" s="1273"/>
      <c r="R116" s="1271"/>
      <c r="S116" s="1271"/>
      <c r="T116" s="1271">
        <v>1200000</v>
      </c>
      <c r="U116" s="1271"/>
      <c r="V116" s="1271"/>
      <c r="W116" s="1271"/>
      <c r="X116" s="1272"/>
    </row>
    <row r="117" spans="1:24" ht="21" customHeight="1" x14ac:dyDescent="0.2">
      <c r="A117" s="2154"/>
      <c r="B117" s="2172"/>
      <c r="C117" s="2152"/>
      <c r="D117" s="1206" t="s">
        <v>1835</v>
      </c>
      <c r="E117" s="1268" t="s">
        <v>545</v>
      </c>
      <c r="F117" s="1269" t="s">
        <v>151</v>
      </c>
      <c r="G117" s="1278" t="s">
        <v>1829</v>
      </c>
      <c r="H117" s="1271"/>
      <c r="I117" s="1271"/>
      <c r="J117" s="1271">
        <v>784602</v>
      </c>
      <c r="K117" s="1271"/>
      <c r="L117" s="1271"/>
      <c r="M117" s="1271">
        <f>13937+1461</f>
        <v>15398</v>
      </c>
      <c r="N117" s="1271"/>
      <c r="O117" s="1271"/>
      <c r="P117" s="1272"/>
      <c r="Q117" s="1273"/>
      <c r="R117" s="1271"/>
      <c r="S117" s="1271"/>
      <c r="T117" s="1271">
        <v>800000</v>
      </c>
      <c r="U117" s="1271"/>
      <c r="V117" s="1271"/>
      <c r="W117" s="1271"/>
      <c r="X117" s="1272"/>
    </row>
    <row r="118" spans="1:24" ht="20.25" customHeight="1" x14ac:dyDescent="0.2">
      <c r="A118" s="2154" t="s">
        <v>272</v>
      </c>
      <c r="B118" s="2172" t="s">
        <v>188</v>
      </c>
      <c r="C118" s="2152" t="s">
        <v>3373</v>
      </c>
      <c r="D118" s="1206" t="s">
        <v>1835</v>
      </c>
      <c r="E118" s="1268" t="s">
        <v>555</v>
      </c>
      <c r="F118" s="1269" t="s">
        <v>91</v>
      </c>
      <c r="G118" s="1278" t="s">
        <v>1837</v>
      </c>
      <c r="H118" s="1271">
        <f>-14163622+3636</f>
        <v>-14159986</v>
      </c>
      <c r="I118" s="1271">
        <v>-423537</v>
      </c>
      <c r="J118" s="1271"/>
      <c r="K118" s="1271"/>
      <c r="L118" s="1271"/>
      <c r="M118" s="1271"/>
      <c r="N118" s="1271"/>
      <c r="O118" s="1271"/>
      <c r="P118" s="1272"/>
      <c r="Q118" s="1273"/>
      <c r="R118" s="1271"/>
      <c r="S118" s="1271"/>
      <c r="T118" s="1271"/>
      <c r="U118" s="1271"/>
      <c r="V118" s="1271"/>
      <c r="W118" s="1271"/>
      <c r="X118" s="1272"/>
    </row>
    <row r="119" spans="1:24" ht="20.25" customHeight="1" x14ac:dyDescent="0.2">
      <c r="A119" s="2154"/>
      <c r="B119" s="2172"/>
      <c r="C119" s="2152"/>
      <c r="D119" s="1206" t="s">
        <v>1835</v>
      </c>
      <c r="E119" s="1268" t="s">
        <v>545</v>
      </c>
      <c r="F119" s="1269" t="s">
        <v>132</v>
      </c>
      <c r="G119" s="1278" t="s">
        <v>1837</v>
      </c>
      <c r="H119" s="1271">
        <f>-1812876+14159986+100664+1705848+6364</f>
        <v>14159986</v>
      </c>
      <c r="I119" s="1271">
        <v>423537</v>
      </c>
      <c r="J119" s="1271"/>
      <c r="K119" s="1271"/>
      <c r="L119" s="1271"/>
      <c r="M119" s="1271"/>
      <c r="N119" s="1271"/>
      <c r="O119" s="1271"/>
      <c r="P119" s="1272"/>
      <c r="Q119" s="1273"/>
      <c r="R119" s="1271"/>
      <c r="S119" s="1271"/>
      <c r="T119" s="1271"/>
      <c r="U119" s="1271"/>
      <c r="V119" s="1271"/>
      <c r="W119" s="1271"/>
      <c r="X119" s="1272"/>
    </row>
    <row r="120" spans="1:24" ht="20.25" customHeight="1" x14ac:dyDescent="0.2">
      <c r="A120" s="2154"/>
      <c r="B120" s="2172"/>
      <c r="C120" s="2152"/>
      <c r="D120" s="1206" t="s">
        <v>1835</v>
      </c>
      <c r="E120" s="1268" t="s">
        <v>545</v>
      </c>
      <c r="F120" s="1269" t="s">
        <v>151</v>
      </c>
      <c r="G120" s="1278" t="s">
        <v>1837</v>
      </c>
      <c r="H120" s="1271">
        <f>-9904648+9904648</f>
        <v>0</v>
      </c>
      <c r="I120" s="1271"/>
      <c r="J120" s="1271"/>
      <c r="K120" s="1271"/>
      <c r="L120" s="1271"/>
      <c r="M120" s="1271"/>
      <c r="N120" s="1271"/>
      <c r="O120" s="1271"/>
      <c r="P120" s="1272"/>
      <c r="Q120" s="1273"/>
      <c r="R120" s="1271"/>
      <c r="S120" s="1271"/>
      <c r="T120" s="1271"/>
      <c r="U120" s="1271"/>
      <c r="V120" s="1271"/>
      <c r="W120" s="1271"/>
      <c r="X120" s="1272"/>
    </row>
    <row r="121" spans="1:24" ht="42" customHeight="1" x14ac:dyDescent="0.2">
      <c r="A121" s="1673" t="s">
        <v>276</v>
      </c>
      <c r="B121" s="1672" t="s">
        <v>189</v>
      </c>
      <c r="C121" s="1671" t="s">
        <v>3429</v>
      </c>
      <c r="D121" s="1206" t="s">
        <v>1835</v>
      </c>
      <c r="E121" s="1268" t="s">
        <v>545</v>
      </c>
      <c r="F121" s="1269" t="s">
        <v>132</v>
      </c>
      <c r="G121" s="1278" t="s">
        <v>1837</v>
      </c>
      <c r="H121" s="1271"/>
      <c r="I121" s="1271"/>
      <c r="J121" s="1271">
        <f>-100000+100000</f>
        <v>0</v>
      </c>
      <c r="K121" s="1271"/>
      <c r="L121" s="1271"/>
      <c r="M121" s="1271"/>
      <c r="N121" s="1271"/>
      <c r="O121" s="1271"/>
      <c r="P121" s="1272"/>
      <c r="Q121" s="1273"/>
      <c r="R121" s="1271"/>
      <c r="S121" s="1271"/>
      <c r="T121" s="1271"/>
      <c r="U121" s="1271"/>
      <c r="V121" s="1271"/>
      <c r="W121" s="1271"/>
      <c r="X121" s="1272"/>
    </row>
    <row r="122" spans="1:24" ht="42" customHeight="1" x14ac:dyDescent="0.2">
      <c r="A122" s="1673" t="s">
        <v>277</v>
      </c>
      <c r="B122" s="1672" t="s">
        <v>190</v>
      </c>
      <c r="C122" s="1671" t="s">
        <v>3430</v>
      </c>
      <c r="D122" s="1206" t="s">
        <v>1835</v>
      </c>
      <c r="E122" s="1268" t="s">
        <v>545</v>
      </c>
      <c r="F122" s="1269" t="s">
        <v>151</v>
      </c>
      <c r="G122" s="1278" t="s">
        <v>1837</v>
      </c>
      <c r="H122" s="1271"/>
      <c r="I122" s="1271"/>
      <c r="J122" s="1271"/>
      <c r="K122" s="1271"/>
      <c r="L122" s="1271"/>
      <c r="M122" s="1271">
        <f>-236142+236142</f>
        <v>0</v>
      </c>
      <c r="N122" s="1271"/>
      <c r="O122" s="1271"/>
      <c r="P122" s="1272"/>
      <c r="Q122" s="1273"/>
      <c r="R122" s="1271"/>
      <c r="S122" s="1271"/>
      <c r="T122" s="1271"/>
      <c r="U122" s="1271"/>
      <c r="V122" s="1271"/>
      <c r="W122" s="1271"/>
      <c r="X122" s="1272"/>
    </row>
    <row r="123" spans="1:24" ht="42" customHeight="1" x14ac:dyDescent="0.2">
      <c r="A123" s="1673" t="s">
        <v>278</v>
      </c>
      <c r="B123" s="1672" t="s">
        <v>191</v>
      </c>
      <c r="C123" s="1671" t="s">
        <v>3435</v>
      </c>
      <c r="D123" s="1206" t="s">
        <v>1835</v>
      </c>
      <c r="E123" s="1268" t="s">
        <v>545</v>
      </c>
      <c r="F123" s="1269" t="s">
        <v>151</v>
      </c>
      <c r="G123" s="1278" t="s">
        <v>1829</v>
      </c>
      <c r="H123" s="1271"/>
      <c r="I123" s="1271"/>
      <c r="J123" s="1271">
        <v>100000</v>
      </c>
      <c r="K123" s="1271"/>
      <c r="L123" s="1271"/>
      <c r="M123" s="1271"/>
      <c r="N123" s="1271"/>
      <c r="O123" s="1271"/>
      <c r="P123" s="1272"/>
      <c r="Q123" s="1273"/>
      <c r="R123" s="1271"/>
      <c r="S123" s="1271"/>
      <c r="T123" s="1271">
        <v>100000</v>
      </c>
      <c r="U123" s="1271"/>
      <c r="V123" s="1271"/>
      <c r="W123" s="1271"/>
      <c r="X123" s="1272"/>
    </row>
    <row r="124" spans="1:24" ht="27" customHeight="1" x14ac:dyDescent="0.2">
      <c r="A124" s="2154" t="s">
        <v>279</v>
      </c>
      <c r="B124" s="2172" t="s">
        <v>192</v>
      </c>
      <c r="C124" s="2152" t="s">
        <v>3451</v>
      </c>
      <c r="D124" s="1206" t="s">
        <v>1835</v>
      </c>
      <c r="E124" s="1268" t="s">
        <v>545</v>
      </c>
      <c r="F124" s="1269" t="s">
        <v>132</v>
      </c>
      <c r="G124" s="1278" t="s">
        <v>1837</v>
      </c>
      <c r="H124" s="1271">
        <f>-429722+29722+400000</f>
        <v>0</v>
      </c>
      <c r="I124" s="1271"/>
      <c r="J124" s="1271"/>
      <c r="K124" s="1271"/>
      <c r="L124" s="1271"/>
      <c r="M124" s="1271"/>
      <c r="N124" s="1271"/>
      <c r="O124" s="1271"/>
      <c r="P124" s="1272"/>
      <c r="Q124" s="1273"/>
      <c r="R124" s="1271"/>
      <c r="S124" s="1271"/>
      <c r="T124" s="1271"/>
      <c r="U124" s="1271"/>
      <c r="V124" s="1271"/>
      <c r="W124" s="1271"/>
      <c r="X124" s="1272"/>
    </row>
    <row r="125" spans="1:24" ht="27" customHeight="1" x14ac:dyDescent="0.2">
      <c r="A125" s="2154"/>
      <c r="B125" s="2172"/>
      <c r="C125" s="2152"/>
      <c r="D125" s="1206" t="s">
        <v>1835</v>
      </c>
      <c r="E125" s="1268" t="s">
        <v>545</v>
      </c>
      <c r="F125" s="1269" t="s">
        <v>151</v>
      </c>
      <c r="G125" s="1278" t="s">
        <v>1837</v>
      </c>
      <c r="H125" s="1271">
        <f>-163000+163000</f>
        <v>0</v>
      </c>
      <c r="I125" s="1271"/>
      <c r="J125" s="1271"/>
      <c r="K125" s="1271"/>
      <c r="L125" s="1271"/>
      <c r="M125" s="1271"/>
      <c r="N125" s="1271"/>
      <c r="O125" s="1271"/>
      <c r="P125" s="1272"/>
      <c r="Q125" s="1273"/>
      <c r="R125" s="1271"/>
      <c r="S125" s="1271"/>
      <c r="T125" s="1271"/>
      <c r="U125" s="1271"/>
      <c r="V125" s="1271"/>
      <c r="W125" s="1271"/>
      <c r="X125" s="1272"/>
    </row>
    <row r="126" spans="1:24" ht="22.5" customHeight="1" x14ac:dyDescent="0.2">
      <c r="A126" s="2154" t="s">
        <v>280</v>
      </c>
      <c r="B126" s="2153" t="s">
        <v>3470</v>
      </c>
      <c r="C126" s="2152" t="s">
        <v>3468</v>
      </c>
      <c r="D126" s="1206" t="s">
        <v>1835</v>
      </c>
      <c r="E126" s="1268" t="s">
        <v>555</v>
      </c>
      <c r="F126" s="1269" t="s">
        <v>91</v>
      </c>
      <c r="G126" s="1278" t="s">
        <v>1828</v>
      </c>
      <c r="H126" s="1271"/>
      <c r="I126" s="1271"/>
      <c r="J126" s="1271">
        <f>-948726-231298</f>
        <v>-1180024</v>
      </c>
      <c r="K126" s="1271"/>
      <c r="L126" s="1271"/>
      <c r="M126" s="1271"/>
      <c r="N126" s="1271"/>
      <c r="O126" s="1271"/>
      <c r="P126" s="1272"/>
      <c r="Q126" s="1273"/>
      <c r="R126" s="1271"/>
      <c r="S126" s="1271"/>
      <c r="T126" s="1271">
        <f>-856582-231298-99-92045</f>
        <v>-1180024</v>
      </c>
      <c r="U126" s="1271"/>
      <c r="V126" s="1271"/>
      <c r="W126" s="1271"/>
      <c r="X126" s="1272"/>
    </row>
    <row r="127" spans="1:24" ht="22.5" customHeight="1" x14ac:dyDescent="0.2">
      <c r="A127" s="2154"/>
      <c r="B127" s="2153"/>
      <c r="C127" s="2152"/>
      <c r="D127" s="1206" t="s">
        <v>1835</v>
      </c>
      <c r="E127" s="1268" t="s">
        <v>545</v>
      </c>
      <c r="F127" s="1269" t="s">
        <v>132</v>
      </c>
      <c r="G127" s="1278" t="s">
        <v>1828</v>
      </c>
      <c r="H127" s="1271"/>
      <c r="I127" s="1271"/>
      <c r="J127" s="1271">
        <v>-250022</v>
      </c>
      <c r="K127" s="1271"/>
      <c r="L127" s="1271"/>
      <c r="M127" s="1271"/>
      <c r="N127" s="1271"/>
      <c r="O127" s="1271"/>
      <c r="P127" s="1272"/>
      <c r="Q127" s="1273"/>
      <c r="R127" s="1271"/>
      <c r="S127" s="1271"/>
      <c r="T127" s="1271">
        <f>-81850-89-168083</f>
        <v>-250022</v>
      </c>
      <c r="U127" s="1271"/>
      <c r="V127" s="1271"/>
      <c r="W127" s="1271"/>
      <c r="X127" s="1272"/>
    </row>
    <row r="128" spans="1:24" ht="22.5" customHeight="1" x14ac:dyDescent="0.2">
      <c r="A128" s="2154"/>
      <c r="B128" s="2153"/>
      <c r="C128" s="2152"/>
      <c r="D128" s="1206" t="s">
        <v>1835</v>
      </c>
      <c r="E128" s="1268" t="s">
        <v>545</v>
      </c>
      <c r="F128" s="1269" t="s">
        <v>151</v>
      </c>
      <c r="G128" s="1278" t="s">
        <v>1828</v>
      </c>
      <c r="H128" s="1271"/>
      <c r="I128" s="1271"/>
      <c r="J128" s="1271">
        <v>-97159</v>
      </c>
      <c r="K128" s="1271"/>
      <c r="L128" s="1271"/>
      <c r="M128" s="1271"/>
      <c r="N128" s="1271"/>
      <c r="O128" s="1271"/>
      <c r="P128" s="1272"/>
      <c r="Q128" s="1273"/>
      <c r="R128" s="1271"/>
      <c r="S128" s="1271"/>
      <c r="T128" s="1271">
        <f>-69150-28009</f>
        <v>-97159</v>
      </c>
      <c r="U128" s="1271"/>
      <c r="V128" s="1271"/>
      <c r="W128" s="1271"/>
      <c r="X128" s="1272"/>
    </row>
    <row r="129" spans="1:24" ht="18.75" customHeight="1" x14ac:dyDescent="0.2">
      <c r="A129" s="1670"/>
      <c r="B129" s="1669"/>
      <c r="C129" s="1591"/>
      <c r="D129" s="1206"/>
      <c r="E129" s="1268"/>
      <c r="F129" s="1476"/>
      <c r="G129" s="1269"/>
      <c r="H129" s="1271"/>
      <c r="I129" s="1271"/>
      <c r="J129" s="1271"/>
      <c r="K129" s="1271"/>
      <c r="L129" s="1271"/>
      <c r="M129" s="1271"/>
      <c r="N129" s="1271"/>
      <c r="O129" s="1271"/>
      <c r="P129" s="1272"/>
      <c r="Q129" s="1273"/>
      <c r="R129" s="1271"/>
      <c r="S129" s="1271"/>
      <c r="T129" s="1271"/>
      <c r="U129" s="1271"/>
      <c r="V129" s="1271"/>
      <c r="W129" s="1271"/>
      <c r="X129" s="1272"/>
    </row>
    <row r="130" spans="1:24" ht="18.75" x14ac:dyDescent="0.3">
      <c r="A130" s="2082" t="s">
        <v>1749</v>
      </c>
      <c r="B130" s="2083"/>
      <c r="C130" s="2084"/>
      <c r="D130" s="1179"/>
      <c r="E130" s="1179"/>
      <c r="F130" s="1179"/>
      <c r="G130" s="1179"/>
      <c r="H130" s="1365">
        <f t="shared" ref="H130:X130" si="3">SUM(H108:H129)+H91</f>
        <v>11800000</v>
      </c>
      <c r="I130" s="1365">
        <f t="shared" si="3"/>
        <v>2224000</v>
      </c>
      <c r="J130" s="1365">
        <f t="shared" si="3"/>
        <v>15345744</v>
      </c>
      <c r="K130" s="1365">
        <f t="shared" si="3"/>
        <v>0</v>
      </c>
      <c r="L130" s="1365">
        <f t="shared" si="3"/>
        <v>8466568</v>
      </c>
      <c r="M130" s="1365">
        <f t="shared" si="3"/>
        <v>805033</v>
      </c>
      <c r="N130" s="1365">
        <f t="shared" si="3"/>
        <v>0</v>
      </c>
      <c r="O130" s="1365">
        <f t="shared" si="3"/>
        <v>0</v>
      </c>
      <c r="P130" s="1366">
        <f t="shared" si="3"/>
        <v>0</v>
      </c>
      <c r="Q130" s="1367">
        <f t="shared" si="3"/>
        <v>0</v>
      </c>
      <c r="R130" s="1365">
        <f t="shared" si="3"/>
        <v>0</v>
      </c>
      <c r="S130" s="1365">
        <f t="shared" si="3"/>
        <v>0</v>
      </c>
      <c r="T130" s="1365">
        <f t="shared" si="3"/>
        <v>7991737</v>
      </c>
      <c r="U130" s="1365">
        <f t="shared" si="3"/>
        <v>0</v>
      </c>
      <c r="V130" s="1365">
        <f t="shared" si="3"/>
        <v>0</v>
      </c>
      <c r="W130" s="1365">
        <f t="shared" si="3"/>
        <v>0</v>
      </c>
      <c r="X130" s="1366">
        <f t="shared" si="3"/>
        <v>30649608</v>
      </c>
    </row>
    <row r="131" spans="1:24" ht="15" customHeight="1" x14ac:dyDescent="0.2">
      <c r="A131" s="1279"/>
      <c r="B131" s="1280"/>
      <c r="C131" s="1280"/>
      <c r="D131" s="1281"/>
      <c r="E131" s="1281"/>
      <c r="F131" s="1281"/>
      <c r="G131" s="1281"/>
      <c r="H131" s="1282">
        <f>+'2.4. sz. Bölcsőde'!O9-'2.4. sz. Bölcsőde'!N9</f>
        <v>11800000</v>
      </c>
      <c r="I131" s="1282">
        <f>+'2.4. sz. Bölcsőde'!O10-'2.4. sz. Bölcsőde'!N10</f>
        <v>2224000</v>
      </c>
      <c r="J131" s="1282">
        <f>+'2.4. sz. Bölcsőde'!O11-'2.4. sz. Bölcsőde'!N11</f>
        <v>15345744</v>
      </c>
      <c r="K131" s="1282">
        <f>+'2.4. sz. Bölcsőde'!O12-'2.4. sz. Bölcsőde'!N12</f>
        <v>0</v>
      </c>
      <c r="L131" s="1282">
        <f>+'2.4. sz. Bölcsőde'!O13-'2.4. sz. Bölcsőde'!N13</f>
        <v>8466568</v>
      </c>
      <c r="M131" s="1282">
        <f>+'2.4. sz. Bölcsőde'!O17-'2.4. sz. Bölcsőde'!N17</f>
        <v>805033</v>
      </c>
      <c r="N131" s="1282">
        <f>+'2.4. sz. Bölcsőde'!O18-'2.4. sz. Bölcsőde'!N18</f>
        <v>0</v>
      </c>
      <c r="O131" s="1282">
        <f>+'2.4. sz. Bölcsőde'!O19-'2.4. sz. Bölcsőde'!N19</f>
        <v>0</v>
      </c>
      <c r="P131" s="1282">
        <f>+'2.4. sz. Bölcsőde'!O22-'2.4. sz. Bölcsőde'!N22</f>
        <v>0</v>
      </c>
      <c r="Q131" s="1282">
        <f>+'2.4. sz. Bölcsőde'!O31-'2.4. sz. Bölcsőde'!N31</f>
        <v>0</v>
      </c>
      <c r="R131" s="1282">
        <f>+'2.4. sz. Bölcsőde'!O32-'2.4. sz. Bölcsőde'!N32</f>
        <v>0</v>
      </c>
      <c r="S131" s="1282">
        <f>+'2.4. sz. Bölcsőde'!O33-'2.4. sz. Bölcsőde'!N33</f>
        <v>0</v>
      </c>
      <c r="T131" s="1282">
        <f>+'2.4. sz. Bölcsőde'!O34-'2.4. sz. Bölcsőde'!N34</f>
        <v>7991737</v>
      </c>
      <c r="U131" s="1282">
        <f>+'2.4. sz. Bölcsőde'!O35-'2.4. sz. Bölcsőde'!N35</f>
        <v>0</v>
      </c>
      <c r="V131" s="1282">
        <f>+'2.4. sz. Bölcsőde'!O36-'2.4. sz. Bölcsőde'!N36</f>
        <v>0</v>
      </c>
      <c r="W131" s="1282">
        <f>+'2.4. sz. Bölcsőde'!O37-'2.4. sz. Bölcsőde'!N37</f>
        <v>0</v>
      </c>
      <c r="X131" s="1282">
        <f>+'2.4. sz. Bölcsőde'!O39-'2.4. sz. Bölcsőde'!N39</f>
        <v>30649608</v>
      </c>
    </row>
    <row r="132" spans="1:24" ht="15" customHeight="1" x14ac:dyDescent="0.2">
      <c r="A132" s="1280"/>
      <c r="B132" s="1280"/>
      <c r="C132" s="1280"/>
      <c r="D132" s="1281"/>
      <c r="E132" s="1281"/>
      <c r="F132" s="1281"/>
      <c r="G132" s="1281"/>
      <c r="H132" s="1282">
        <f>+H131-H130</f>
        <v>0</v>
      </c>
      <c r="I132" s="1282">
        <f t="shared" ref="I132" si="4">+I131-I130</f>
        <v>0</v>
      </c>
      <c r="J132" s="1282">
        <f>+J131-J130</f>
        <v>0</v>
      </c>
      <c r="K132" s="1282">
        <f t="shared" ref="K132:X132" si="5">+K131-K130</f>
        <v>0</v>
      </c>
      <c r="L132" s="1282">
        <f t="shared" si="5"/>
        <v>0</v>
      </c>
      <c r="M132" s="1282">
        <f t="shared" si="5"/>
        <v>0</v>
      </c>
      <c r="N132" s="1282">
        <f t="shared" si="5"/>
        <v>0</v>
      </c>
      <c r="O132" s="1282">
        <f t="shared" si="5"/>
        <v>0</v>
      </c>
      <c r="P132" s="1282">
        <f t="shared" si="5"/>
        <v>0</v>
      </c>
      <c r="Q132" s="1282">
        <f t="shared" si="5"/>
        <v>0</v>
      </c>
      <c r="R132" s="1282">
        <f t="shared" si="5"/>
        <v>0</v>
      </c>
      <c r="S132" s="1282">
        <f t="shared" si="5"/>
        <v>0</v>
      </c>
      <c r="T132" s="1282">
        <f t="shared" si="5"/>
        <v>0</v>
      </c>
      <c r="U132" s="1282">
        <f t="shared" si="5"/>
        <v>0</v>
      </c>
      <c r="V132" s="1282">
        <f t="shared" si="5"/>
        <v>0</v>
      </c>
      <c r="W132" s="1282">
        <f t="shared" si="5"/>
        <v>0</v>
      </c>
      <c r="X132" s="1282">
        <f t="shared" si="5"/>
        <v>0</v>
      </c>
    </row>
    <row r="133" spans="1:24" x14ac:dyDescent="0.2">
      <c r="A133" s="1280"/>
      <c r="B133" s="1280"/>
      <c r="C133" s="1280"/>
      <c r="D133" s="1281"/>
      <c r="E133" s="1281"/>
      <c r="F133" s="1281"/>
      <c r="G133" s="1281"/>
      <c r="H133" s="1282"/>
      <c r="I133" s="1282"/>
      <c r="J133" s="1282"/>
      <c r="K133" s="1282"/>
      <c r="L133" s="1282"/>
      <c r="M133" s="1282"/>
      <c r="N133" s="1282"/>
      <c r="O133" s="1282"/>
      <c r="P133" s="1282"/>
      <c r="Q133" s="1282"/>
      <c r="R133" s="1282"/>
      <c r="S133" s="1282"/>
      <c r="T133" s="1282"/>
      <c r="U133" s="1282"/>
      <c r="V133" s="1282"/>
      <c r="W133" s="1282"/>
      <c r="X133" s="1282"/>
    </row>
    <row r="134" spans="1:24" ht="21.75" customHeight="1" x14ac:dyDescent="0.25">
      <c r="A134" s="1197"/>
      <c r="B134" s="1197"/>
      <c r="C134" s="1226"/>
      <c r="D134" s="1197"/>
      <c r="E134" s="1197"/>
      <c r="F134" s="1197"/>
      <c r="G134" s="1197"/>
      <c r="H134" s="1224"/>
      <c r="I134" s="2108" t="s">
        <v>1750</v>
      </c>
      <c r="J134" s="2108"/>
      <c r="K134" s="2108"/>
      <c r="L134" s="2108">
        <v>487365512</v>
      </c>
      <c r="M134" s="2108"/>
      <c r="N134" s="1225"/>
      <c r="O134" s="1225"/>
      <c r="P134" s="1225"/>
      <c r="Q134" s="1225"/>
      <c r="R134" s="2108" t="s">
        <v>1751</v>
      </c>
      <c r="S134" s="2108"/>
      <c r="T134" s="2108"/>
      <c r="U134" s="2108">
        <v>487365512</v>
      </c>
      <c r="V134" s="2108"/>
      <c r="W134" s="1224"/>
      <c r="X134" s="1224"/>
    </row>
    <row r="135" spans="1:24" ht="21.75" customHeight="1" x14ac:dyDescent="0.25">
      <c r="A135" s="1197"/>
      <c r="B135" s="1197"/>
      <c r="C135" s="1226"/>
      <c r="D135" s="1197"/>
      <c r="E135" s="1197"/>
      <c r="F135" s="1197"/>
      <c r="G135" s="1197"/>
      <c r="H135" s="1224"/>
      <c r="I135" s="2066" t="s">
        <v>3474</v>
      </c>
      <c r="J135" s="2066"/>
      <c r="K135" s="2066"/>
      <c r="L135" s="2108">
        <f>SUM(H130:P130)</f>
        <v>38641345</v>
      </c>
      <c r="M135" s="2108"/>
      <c r="N135" s="1225"/>
      <c r="O135" s="1225"/>
      <c r="P135" s="1225"/>
      <c r="Q135" s="1225"/>
      <c r="R135" s="2066" t="s">
        <v>3474</v>
      </c>
      <c r="S135" s="2066"/>
      <c r="T135" s="2066"/>
      <c r="U135" s="2108">
        <f>SUM(Q130:X130)</f>
        <v>38641345</v>
      </c>
      <c r="V135" s="2108"/>
      <c r="W135" s="1224"/>
      <c r="X135" s="1224"/>
    </row>
    <row r="136" spans="1:24" ht="22.5" customHeight="1" x14ac:dyDescent="0.25">
      <c r="A136" s="1197"/>
      <c r="B136" s="1197"/>
      <c r="C136" s="1226"/>
      <c r="D136" s="1197"/>
      <c r="E136" s="1197"/>
      <c r="F136" s="1197"/>
      <c r="G136" s="1197"/>
      <c r="H136" s="1224"/>
      <c r="I136" s="2108" t="s">
        <v>1561</v>
      </c>
      <c r="J136" s="2108"/>
      <c r="K136" s="2108"/>
      <c r="L136" s="2108">
        <f>+L134+L135</f>
        <v>526006857</v>
      </c>
      <c r="M136" s="2108"/>
      <c r="N136" s="1225"/>
      <c r="O136" s="1225"/>
      <c r="P136" s="1225"/>
      <c r="Q136" s="1225"/>
      <c r="R136" s="2108" t="s">
        <v>1561</v>
      </c>
      <c r="S136" s="2108"/>
      <c r="T136" s="2108"/>
      <c r="U136" s="2108">
        <f>+U134+U135</f>
        <v>526006857</v>
      </c>
      <c r="V136" s="2108"/>
      <c r="W136" s="1224"/>
      <c r="X136" s="1224"/>
    </row>
    <row r="137" spans="1:24" x14ac:dyDescent="0.2">
      <c r="A137" s="348"/>
      <c r="B137" s="348"/>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row>
    <row r="138" spans="1:24" x14ac:dyDescent="0.2">
      <c r="A138" s="348"/>
      <c r="B138" s="348"/>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row>
    <row r="139" spans="1:24" x14ac:dyDescent="0.2">
      <c r="A139" s="348"/>
      <c r="B139" s="348"/>
      <c r="C139" s="348"/>
      <c r="D139" s="348"/>
      <c r="E139" s="348"/>
      <c r="F139" s="348"/>
      <c r="G139" s="348"/>
      <c r="H139" s="348"/>
      <c r="I139" s="348"/>
      <c r="J139" s="348"/>
      <c r="K139" s="348"/>
      <c r="L139" s="348"/>
      <c r="M139" s="348"/>
      <c r="N139" s="348"/>
      <c r="O139" s="348"/>
      <c r="P139" s="348"/>
      <c r="Q139" s="348"/>
      <c r="R139" s="348"/>
      <c r="S139" s="348"/>
      <c r="T139" s="348"/>
      <c r="U139" s="348"/>
      <c r="V139" s="348"/>
      <c r="W139" s="348"/>
      <c r="X139" s="348"/>
    </row>
    <row r="140" spans="1:24" x14ac:dyDescent="0.2">
      <c r="A140" s="348"/>
      <c r="B140" s="348"/>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row>
    <row r="141" spans="1:24" x14ac:dyDescent="0.2">
      <c r="A141" s="348"/>
      <c r="B141" s="348"/>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row>
    <row r="142" spans="1:24" x14ac:dyDescent="0.2">
      <c r="A142" s="348"/>
      <c r="B142" s="348"/>
      <c r="C142" s="348"/>
      <c r="D142" s="348"/>
      <c r="E142" s="348"/>
      <c r="F142" s="348"/>
      <c r="G142" s="348"/>
      <c r="H142" s="348"/>
      <c r="I142" s="348"/>
      <c r="J142" s="348"/>
      <c r="K142" s="348"/>
      <c r="L142" s="348"/>
      <c r="M142" s="348"/>
      <c r="N142" s="348"/>
      <c r="O142" s="348"/>
      <c r="P142" s="348"/>
      <c r="Q142" s="348"/>
      <c r="R142" s="348"/>
      <c r="S142" s="348"/>
      <c r="T142" s="348"/>
      <c r="U142" s="348"/>
      <c r="V142" s="348"/>
      <c r="W142" s="348"/>
      <c r="X142" s="348"/>
    </row>
    <row r="143" spans="1:24" x14ac:dyDescent="0.2">
      <c r="A143" s="348"/>
      <c r="B143" s="348"/>
      <c r="C143" s="348"/>
      <c r="D143" s="348"/>
      <c r="E143" s="348"/>
      <c r="F143" s="348"/>
      <c r="G143" s="348"/>
      <c r="H143" s="348"/>
      <c r="I143" s="348"/>
      <c r="J143" s="348"/>
      <c r="K143" s="348"/>
      <c r="L143" s="348"/>
      <c r="M143" s="348"/>
      <c r="N143" s="348"/>
      <c r="O143" s="348"/>
      <c r="P143" s="348"/>
      <c r="Q143" s="348"/>
      <c r="R143" s="348"/>
      <c r="S143" s="348"/>
      <c r="T143" s="348"/>
      <c r="U143" s="348"/>
      <c r="V143" s="348"/>
      <c r="W143" s="348"/>
      <c r="X143" s="348"/>
    </row>
    <row r="144" spans="1:24" x14ac:dyDescent="0.2">
      <c r="A144" s="348"/>
      <c r="B144" s="348"/>
      <c r="C144" s="348"/>
      <c r="D144" s="348"/>
      <c r="E144" s="348"/>
      <c r="F144" s="348"/>
      <c r="G144" s="348"/>
      <c r="H144" s="348"/>
      <c r="I144" s="348"/>
      <c r="J144" s="348"/>
      <c r="K144" s="348"/>
      <c r="L144" s="348"/>
      <c r="M144" s="348"/>
      <c r="N144" s="348"/>
      <c r="O144" s="348"/>
      <c r="P144" s="348"/>
      <c r="Q144" s="348"/>
      <c r="R144" s="348"/>
      <c r="S144" s="348"/>
      <c r="T144" s="348"/>
      <c r="U144" s="348"/>
      <c r="V144" s="348"/>
      <c r="W144" s="348"/>
      <c r="X144" s="348"/>
    </row>
    <row r="145" spans="1:24" x14ac:dyDescent="0.2">
      <c r="A145" s="348"/>
      <c r="B145" s="348"/>
      <c r="C145" s="348"/>
      <c r="D145" s="348"/>
      <c r="E145" s="348"/>
      <c r="F145" s="348"/>
      <c r="G145" s="348"/>
      <c r="H145" s="348"/>
      <c r="I145" s="348"/>
      <c r="J145" s="348"/>
      <c r="K145" s="348"/>
      <c r="L145" s="348"/>
      <c r="M145" s="348"/>
      <c r="N145" s="348"/>
      <c r="O145" s="348"/>
      <c r="P145" s="348"/>
      <c r="Q145" s="348"/>
      <c r="R145" s="348"/>
      <c r="S145" s="348"/>
      <c r="T145" s="348"/>
      <c r="U145" s="348"/>
      <c r="V145" s="348"/>
      <c r="W145" s="348"/>
      <c r="X145" s="348"/>
    </row>
    <row r="146" spans="1:24" x14ac:dyDescent="0.2">
      <c r="A146" s="348"/>
      <c r="B146" s="348"/>
      <c r="C146" s="348"/>
      <c r="D146" s="348"/>
      <c r="E146" s="348"/>
      <c r="F146" s="348"/>
      <c r="G146" s="348"/>
      <c r="H146" s="348"/>
      <c r="I146" s="348"/>
      <c r="J146" s="348"/>
      <c r="K146" s="348"/>
      <c r="L146" s="348"/>
      <c r="M146" s="348"/>
      <c r="N146" s="348"/>
      <c r="O146" s="348"/>
      <c r="P146" s="348"/>
      <c r="Q146" s="348"/>
      <c r="R146" s="348"/>
      <c r="S146" s="348"/>
      <c r="T146" s="348"/>
      <c r="U146" s="348"/>
      <c r="V146" s="348"/>
      <c r="W146" s="348"/>
      <c r="X146" s="348"/>
    </row>
    <row r="147" spans="1:24" x14ac:dyDescent="0.2">
      <c r="A147" s="348"/>
      <c r="B147" s="348"/>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row>
  </sheetData>
  <mergeCells count="159">
    <mergeCell ref="A70:X70"/>
    <mergeCell ref="A72:X72"/>
    <mergeCell ref="A74:A75"/>
    <mergeCell ref="B74:B75"/>
    <mergeCell ref="C74:C75"/>
    <mergeCell ref="A59:C59"/>
    <mergeCell ref="I63:K63"/>
    <mergeCell ref="C41:C44"/>
    <mergeCell ref="B41:B44"/>
    <mergeCell ref="A41:A44"/>
    <mergeCell ref="C55:C56"/>
    <mergeCell ref="B55:B56"/>
    <mergeCell ref="A55:A56"/>
    <mergeCell ref="C50:C51"/>
    <mergeCell ref="B50:B51"/>
    <mergeCell ref="A50:A51"/>
    <mergeCell ref="C52:C53"/>
    <mergeCell ref="B52:B53"/>
    <mergeCell ref="A52:A53"/>
    <mergeCell ref="D74:D75"/>
    <mergeCell ref="E74:E75"/>
    <mergeCell ref="F74:F75"/>
    <mergeCell ref="G74:G75"/>
    <mergeCell ref="H74:O74"/>
    <mergeCell ref="A35:X35"/>
    <mergeCell ref="A37:X37"/>
    <mergeCell ref="A39:A40"/>
    <mergeCell ref="B39:B40"/>
    <mergeCell ref="C39:C40"/>
    <mergeCell ref="D39:D40"/>
    <mergeCell ref="E39:E40"/>
    <mergeCell ref="F39:F40"/>
    <mergeCell ref="G39:G40"/>
    <mergeCell ref="H39:O39"/>
    <mergeCell ref="Q39:X39"/>
    <mergeCell ref="I32:K32"/>
    <mergeCell ref="L32:M32"/>
    <mergeCell ref="R32:T32"/>
    <mergeCell ref="U32:V32"/>
    <mergeCell ref="C7:C10"/>
    <mergeCell ref="B7:B10"/>
    <mergeCell ref="A7:A10"/>
    <mergeCell ref="C11:C12"/>
    <mergeCell ref="B11:B12"/>
    <mergeCell ref="A11:A12"/>
    <mergeCell ref="C19:C20"/>
    <mergeCell ref="B19:B20"/>
    <mergeCell ref="A19:A20"/>
    <mergeCell ref="C16:C18"/>
    <mergeCell ref="B16:B18"/>
    <mergeCell ref="A16:A18"/>
    <mergeCell ref="C24:C25"/>
    <mergeCell ref="B24:B25"/>
    <mergeCell ref="A24:A25"/>
    <mergeCell ref="C21:C23"/>
    <mergeCell ref="B21:B23"/>
    <mergeCell ref="A21:A23"/>
    <mergeCell ref="A26:C26"/>
    <mergeCell ref="I30:K30"/>
    <mergeCell ref="L30:M30"/>
    <mergeCell ref="R30:T30"/>
    <mergeCell ref="U30:V30"/>
    <mergeCell ref="I31:K31"/>
    <mergeCell ref="L31:M31"/>
    <mergeCell ref="R31:T31"/>
    <mergeCell ref="U31:V31"/>
    <mergeCell ref="A1:X1"/>
    <mergeCell ref="A3:X3"/>
    <mergeCell ref="A5:A6"/>
    <mergeCell ref="B5:B6"/>
    <mergeCell ref="C5:C6"/>
    <mergeCell ref="D5:D6"/>
    <mergeCell ref="E5:E6"/>
    <mergeCell ref="F5:F6"/>
    <mergeCell ref="G5:G6"/>
    <mergeCell ref="H5:O5"/>
    <mergeCell ref="Q5:X5"/>
    <mergeCell ref="Q74:X74"/>
    <mergeCell ref="C76:C77"/>
    <mergeCell ref="B76:B77"/>
    <mergeCell ref="A76:A77"/>
    <mergeCell ref="C78:C81"/>
    <mergeCell ref="B78:B81"/>
    <mergeCell ref="A78:A81"/>
    <mergeCell ref="C83:C85"/>
    <mergeCell ref="B83:B85"/>
    <mergeCell ref="A83:A85"/>
    <mergeCell ref="C86:C87"/>
    <mergeCell ref="B86:B87"/>
    <mergeCell ref="I97:K97"/>
    <mergeCell ref="C88:C89"/>
    <mergeCell ref="B88:B89"/>
    <mergeCell ref="A88:A89"/>
    <mergeCell ref="A86:A87"/>
    <mergeCell ref="A91:C91"/>
    <mergeCell ref="I95:K95"/>
    <mergeCell ref="L97:M97"/>
    <mergeCell ref="R97:T97"/>
    <mergeCell ref="U97:V97"/>
    <mergeCell ref="L95:M95"/>
    <mergeCell ref="R95:T95"/>
    <mergeCell ref="U95:V95"/>
    <mergeCell ref="I96:K96"/>
    <mergeCell ref="L96:M96"/>
    <mergeCell ref="R96:T96"/>
    <mergeCell ref="U96:V96"/>
    <mergeCell ref="I65:K65"/>
    <mergeCell ref="L65:M65"/>
    <mergeCell ref="R65:T65"/>
    <mergeCell ref="U65:V65"/>
    <mergeCell ref="L63:M63"/>
    <mergeCell ref="R63:T63"/>
    <mergeCell ref="U63:V63"/>
    <mergeCell ref="I64:K64"/>
    <mergeCell ref="L64:M64"/>
    <mergeCell ref="R64:T64"/>
    <mergeCell ref="U64:V64"/>
    <mergeCell ref="C108:C109"/>
    <mergeCell ref="B108:B109"/>
    <mergeCell ref="A108:A109"/>
    <mergeCell ref="A124:A125"/>
    <mergeCell ref="C111:C113"/>
    <mergeCell ref="B111:B113"/>
    <mergeCell ref="A111:A113"/>
    <mergeCell ref="C115:C117"/>
    <mergeCell ref="B115:B117"/>
    <mergeCell ref="A115:A117"/>
    <mergeCell ref="C118:C120"/>
    <mergeCell ref="B118:B120"/>
    <mergeCell ref="A118:A120"/>
    <mergeCell ref="C124:C125"/>
    <mergeCell ref="B124:B125"/>
    <mergeCell ref="A102:X102"/>
    <mergeCell ref="A104:X104"/>
    <mergeCell ref="A106:A107"/>
    <mergeCell ref="B106:B107"/>
    <mergeCell ref="C106:C107"/>
    <mergeCell ref="D106:D107"/>
    <mergeCell ref="E106:E107"/>
    <mergeCell ref="F106:F107"/>
    <mergeCell ref="G106:G107"/>
    <mergeCell ref="H106:O106"/>
    <mergeCell ref="Q106:X106"/>
    <mergeCell ref="C126:C128"/>
    <mergeCell ref="B126:B128"/>
    <mergeCell ref="A126:A128"/>
    <mergeCell ref="I135:K135"/>
    <mergeCell ref="L135:M135"/>
    <mergeCell ref="R135:T135"/>
    <mergeCell ref="U135:V135"/>
    <mergeCell ref="I136:K136"/>
    <mergeCell ref="L136:M136"/>
    <mergeCell ref="R136:T136"/>
    <mergeCell ref="U136:V136"/>
    <mergeCell ref="A130:C130"/>
    <mergeCell ref="I134:K134"/>
    <mergeCell ref="L134:M134"/>
    <mergeCell ref="R134:T134"/>
    <mergeCell ref="U134:V134"/>
  </mergeCells>
  <pageMargins left="0.51181102362204722" right="0.51181102362204722" top="0.74803149606299213" bottom="0.74803149606299213" header="0.31496062992125984" footer="0.31496062992125984"/>
  <pageSetup paperSize="9" scale="52" orientation="landscape" r:id="rId1"/>
  <headerFooter>
    <oddHeader>&amp;C2023. évi költségvetés&amp;RDunaharaszti Városi Bölcsőde előirányzat-módosítása</oddHeader>
    <oddFooter>&amp;C&amp;P/&amp;N</oddFooter>
  </headerFooter>
  <rowBreaks count="4" manualBreakCount="4">
    <brk id="44" max="23" man="1"/>
    <brk id="85" max="23" man="1"/>
    <brk id="123" max="23" man="1"/>
    <brk id="136" max="2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X117"/>
  <sheetViews>
    <sheetView view="pageBreakPreview" topLeftCell="A61" zoomScale="90" zoomScaleNormal="100" zoomScaleSheetLayoutView="90" workbookViewId="0">
      <selection activeCell="I19" sqref="I19:K19"/>
    </sheetView>
  </sheetViews>
  <sheetFormatPr defaultRowHeight="12.75" x14ac:dyDescent="0.2"/>
  <cols>
    <col min="1" max="1" width="4.42578125" customWidth="1"/>
    <col min="2" max="2" width="4.7109375" customWidth="1"/>
    <col min="3" max="3" width="32.5703125" customWidth="1"/>
    <col min="4" max="4" width="5.42578125" customWidth="1"/>
    <col min="5" max="5" width="6.5703125" customWidth="1"/>
    <col min="6" max="6" width="4.5703125" customWidth="1"/>
    <col min="7" max="7" width="5.140625" customWidth="1"/>
    <col min="8" max="8" width="12.28515625" customWidth="1"/>
    <col min="9" max="9" width="12.7109375" customWidth="1"/>
    <col min="10" max="10" width="11.42578125" customWidth="1"/>
    <col min="11" max="11" width="10.140625" customWidth="1"/>
    <col min="12" max="14" width="11.140625" customWidth="1"/>
    <col min="15" max="15" width="11.5703125" customWidth="1"/>
    <col min="16" max="16" width="11.140625" customWidth="1"/>
    <col min="17" max="18" width="13.7109375" customWidth="1"/>
    <col min="19" max="21" width="11.140625" customWidth="1"/>
    <col min="22" max="22" width="11.42578125" customWidth="1"/>
    <col min="23" max="23" width="12.140625" customWidth="1"/>
    <col min="24" max="24" width="11.28515625" customWidth="1"/>
  </cols>
  <sheetData>
    <row r="1" spans="1:24" ht="15.75" x14ac:dyDescent="0.25">
      <c r="A1" s="2069" t="s">
        <v>2024</v>
      </c>
      <c r="B1" s="2069"/>
      <c r="C1" s="2069"/>
      <c r="D1" s="2069"/>
      <c r="E1" s="2069"/>
      <c r="F1" s="2069"/>
      <c r="G1" s="2069"/>
      <c r="H1" s="2069"/>
      <c r="I1" s="2069"/>
      <c r="J1" s="2069"/>
      <c r="K1" s="2069"/>
      <c r="L1" s="2069"/>
      <c r="M1" s="2069"/>
      <c r="N1" s="2069"/>
      <c r="O1" s="2069"/>
      <c r="P1" s="2069"/>
      <c r="Q1" s="2069"/>
      <c r="R1" s="2069"/>
      <c r="S1" s="2069"/>
      <c r="T1" s="2069"/>
      <c r="U1" s="2069"/>
      <c r="V1" s="2069"/>
      <c r="W1" s="2069"/>
      <c r="X1" s="2069"/>
    </row>
    <row r="2" spans="1:24" ht="15" x14ac:dyDescent="0.25">
      <c r="A2" s="1195"/>
      <c r="B2" s="1195"/>
      <c r="C2" s="1195"/>
      <c r="D2" s="1195"/>
      <c r="E2" s="1195"/>
      <c r="F2" s="1195"/>
      <c r="G2" s="1195"/>
      <c r="H2" s="1195"/>
      <c r="I2" s="1195"/>
      <c r="J2" s="1195"/>
      <c r="K2" s="1195"/>
      <c r="L2" s="1195"/>
      <c r="M2" s="1195"/>
      <c r="N2" s="1195"/>
      <c r="O2" s="1195"/>
      <c r="P2" s="1195"/>
      <c r="Q2" s="1195"/>
      <c r="R2" s="1195"/>
      <c r="S2" s="1195"/>
      <c r="T2" s="1195"/>
      <c r="U2" s="1195"/>
      <c r="V2" s="1195"/>
      <c r="W2" s="1195"/>
      <c r="X2" s="1195"/>
    </row>
    <row r="3" spans="1:24" ht="15" x14ac:dyDescent="0.25">
      <c r="A3" s="2112" t="s">
        <v>1810</v>
      </c>
      <c r="B3" s="2112"/>
      <c r="C3" s="2112"/>
      <c r="D3" s="2112"/>
      <c r="E3" s="2112"/>
      <c r="F3" s="2112"/>
      <c r="G3" s="2112"/>
      <c r="H3" s="2112"/>
      <c r="I3" s="2112"/>
      <c r="J3" s="2112"/>
      <c r="K3" s="2112"/>
      <c r="L3" s="2112"/>
      <c r="M3" s="2112"/>
      <c r="N3" s="2112"/>
      <c r="O3" s="2112"/>
      <c r="P3" s="2112"/>
      <c r="Q3" s="2112"/>
      <c r="R3" s="2112"/>
      <c r="S3" s="2112"/>
      <c r="T3" s="2112"/>
      <c r="U3" s="2112"/>
      <c r="V3" s="2112"/>
      <c r="W3" s="2112"/>
      <c r="X3" s="2112"/>
    </row>
    <row r="4" spans="1:24" ht="15" x14ac:dyDescent="0.25">
      <c r="A4" s="1197"/>
      <c r="B4" s="1197"/>
      <c r="C4" s="1197"/>
      <c r="D4" s="1197"/>
      <c r="E4" s="1197"/>
      <c r="F4" s="1197"/>
      <c r="G4" s="1197"/>
      <c r="H4" s="1197"/>
      <c r="I4" s="1197"/>
      <c r="J4" s="1197"/>
      <c r="K4" s="1197"/>
      <c r="L4" s="1197"/>
      <c r="M4" s="1197"/>
      <c r="N4" s="1197"/>
      <c r="O4" s="1197"/>
      <c r="P4" s="1197"/>
      <c r="Q4" s="1197"/>
      <c r="R4" s="1197"/>
      <c r="S4" s="1197"/>
      <c r="T4" s="1197"/>
      <c r="U4" s="1197"/>
      <c r="V4" s="1197"/>
      <c r="W4" s="1197"/>
      <c r="X4" s="1197"/>
    </row>
    <row r="5" spans="1:24" ht="15" x14ac:dyDescent="0.25">
      <c r="A5" s="2113" t="s">
        <v>37</v>
      </c>
      <c r="B5" s="2093" t="s">
        <v>1726</v>
      </c>
      <c r="C5" s="2115" t="s">
        <v>2</v>
      </c>
      <c r="D5" s="2117" t="s">
        <v>1727</v>
      </c>
      <c r="E5" s="2117" t="s">
        <v>117</v>
      </c>
      <c r="F5" s="2117" t="s">
        <v>1728</v>
      </c>
      <c r="G5" s="2117" t="s">
        <v>1729</v>
      </c>
      <c r="H5" s="2119" t="s">
        <v>1730</v>
      </c>
      <c r="I5" s="2119"/>
      <c r="J5" s="2119"/>
      <c r="K5" s="2119"/>
      <c r="L5" s="2119"/>
      <c r="M5" s="2119"/>
      <c r="N5" s="2119"/>
      <c r="O5" s="2133"/>
      <c r="P5" s="1660"/>
      <c r="Q5" s="2135" t="s">
        <v>1731</v>
      </c>
      <c r="R5" s="2119"/>
      <c r="S5" s="2119"/>
      <c r="T5" s="2119"/>
      <c r="U5" s="2119"/>
      <c r="V5" s="2119"/>
      <c r="W5" s="2119"/>
      <c r="X5" s="2121"/>
    </row>
    <row r="6" spans="1:24" ht="86.25" customHeight="1" x14ac:dyDescent="0.2">
      <c r="A6" s="2114"/>
      <c r="B6" s="2094"/>
      <c r="C6" s="2116"/>
      <c r="D6" s="2118"/>
      <c r="E6" s="2118"/>
      <c r="F6" s="2118"/>
      <c r="G6" s="2118"/>
      <c r="H6" s="1154" t="s">
        <v>2387</v>
      </c>
      <c r="I6" s="1154" t="s">
        <v>1796</v>
      </c>
      <c r="J6" s="1154" t="s">
        <v>1797</v>
      </c>
      <c r="K6" s="1154" t="s">
        <v>1798</v>
      </c>
      <c r="L6" s="1154" t="s">
        <v>1799</v>
      </c>
      <c r="M6" s="1154" t="s">
        <v>1756</v>
      </c>
      <c r="N6" s="1154" t="s">
        <v>1757</v>
      </c>
      <c r="O6" s="1157" t="s">
        <v>1739</v>
      </c>
      <c r="P6" s="1157" t="s">
        <v>1740</v>
      </c>
      <c r="Q6" s="1158" t="s">
        <v>1741</v>
      </c>
      <c r="R6" s="1154" t="s">
        <v>1742</v>
      </c>
      <c r="S6" s="1154" t="s">
        <v>1800</v>
      </c>
      <c r="T6" s="1154" t="s">
        <v>1784</v>
      </c>
      <c r="U6" s="1154" t="s">
        <v>1745</v>
      </c>
      <c r="V6" s="1154" t="s">
        <v>1746</v>
      </c>
      <c r="W6" s="1154" t="s">
        <v>1747</v>
      </c>
      <c r="X6" s="1159" t="s">
        <v>1795</v>
      </c>
    </row>
    <row r="7" spans="1:24" ht="41.25" customHeight="1" x14ac:dyDescent="0.2">
      <c r="A7" s="1656" t="s">
        <v>188</v>
      </c>
      <c r="B7" s="1199" t="s">
        <v>193</v>
      </c>
      <c r="C7" s="1200" t="s">
        <v>1845</v>
      </c>
      <c r="D7" s="1201" t="s">
        <v>1846</v>
      </c>
      <c r="E7" s="1243" t="s">
        <v>164</v>
      </c>
      <c r="F7" s="1243" t="s">
        <v>830</v>
      </c>
      <c r="G7" s="1243" t="s">
        <v>1829</v>
      </c>
      <c r="H7" s="1165"/>
      <c r="I7" s="1165"/>
      <c r="J7" s="1165">
        <f>2000000+540000</f>
        <v>2540000</v>
      </c>
      <c r="K7" s="1165"/>
      <c r="L7" s="1165"/>
      <c r="M7" s="1165"/>
      <c r="N7" s="1165"/>
      <c r="O7" s="1165"/>
      <c r="P7" s="1203"/>
      <c r="Q7" s="1204"/>
      <c r="R7" s="1165"/>
      <c r="S7" s="1165"/>
      <c r="T7" s="1165">
        <v>2540000</v>
      </c>
      <c r="U7" s="1165"/>
      <c r="V7" s="1165"/>
      <c r="W7" s="1165"/>
      <c r="X7" s="1203"/>
    </row>
    <row r="8" spans="1:24" ht="27.75" customHeight="1" x14ac:dyDescent="0.2">
      <c r="A8" s="1646" t="s">
        <v>189</v>
      </c>
      <c r="B8" s="1283" t="s">
        <v>194</v>
      </c>
      <c r="C8" s="1284" t="s">
        <v>1937</v>
      </c>
      <c r="D8" s="1236" t="s">
        <v>1846</v>
      </c>
      <c r="E8" s="1256" t="s">
        <v>164</v>
      </c>
      <c r="F8" s="1256" t="s">
        <v>91</v>
      </c>
      <c r="G8" s="1256" t="s">
        <v>1829</v>
      </c>
      <c r="H8" s="1285"/>
      <c r="I8" s="1285"/>
      <c r="J8" s="1285">
        <f>113011+668394+210979</f>
        <v>992384</v>
      </c>
      <c r="K8" s="1285"/>
      <c r="L8" s="1285"/>
      <c r="M8" s="1285"/>
      <c r="N8" s="1285"/>
      <c r="O8" s="1285"/>
      <c r="P8" s="1286"/>
      <c r="Q8" s="1287"/>
      <c r="R8" s="1285"/>
      <c r="S8" s="1285"/>
      <c r="T8" s="1285">
        <v>992384</v>
      </c>
      <c r="U8" s="1285"/>
      <c r="V8" s="1285"/>
      <c r="W8" s="1285"/>
      <c r="X8" s="1286"/>
    </row>
    <row r="9" spans="1:24" ht="42.75" customHeight="1" x14ac:dyDescent="0.2">
      <c r="A9" s="1646" t="s">
        <v>190</v>
      </c>
      <c r="B9" s="1283" t="s">
        <v>195</v>
      </c>
      <c r="C9" s="1284" t="s">
        <v>2005</v>
      </c>
      <c r="D9" s="1236" t="s">
        <v>1846</v>
      </c>
      <c r="E9" s="1256" t="s">
        <v>164</v>
      </c>
      <c r="F9" s="1256" t="s">
        <v>91</v>
      </c>
      <c r="G9" s="1256" t="s">
        <v>1829</v>
      </c>
      <c r="H9" s="1285"/>
      <c r="I9" s="1285"/>
      <c r="J9" s="1285">
        <v>921</v>
      </c>
      <c r="K9" s="1285"/>
      <c r="L9" s="1285"/>
      <c r="M9" s="1285"/>
      <c r="N9" s="1285"/>
      <c r="O9" s="1285"/>
      <c r="P9" s="1286"/>
      <c r="Q9" s="1287"/>
      <c r="R9" s="1285"/>
      <c r="S9" s="1285"/>
      <c r="T9" s="1285">
        <v>921</v>
      </c>
      <c r="U9" s="1285"/>
      <c r="V9" s="1285"/>
      <c r="W9" s="1285"/>
      <c r="X9" s="1286"/>
    </row>
    <row r="10" spans="1:24" ht="21.75" customHeight="1" x14ac:dyDescent="0.2">
      <c r="A10" s="2099" t="s">
        <v>191</v>
      </c>
      <c r="B10" s="2104" t="s">
        <v>196</v>
      </c>
      <c r="C10" s="2102" t="s">
        <v>2035</v>
      </c>
      <c r="D10" s="1236" t="s">
        <v>1846</v>
      </c>
      <c r="E10" s="1256" t="s">
        <v>1288</v>
      </c>
      <c r="F10" s="1256" t="s">
        <v>128</v>
      </c>
      <c r="G10" s="1256" t="s">
        <v>1829</v>
      </c>
      <c r="H10" s="1285"/>
      <c r="I10" s="1285"/>
      <c r="J10" s="1285"/>
      <c r="K10" s="1285"/>
      <c r="L10" s="1285"/>
      <c r="M10" s="1285"/>
      <c r="N10" s="1285"/>
      <c r="O10" s="1285"/>
      <c r="P10" s="1286"/>
      <c r="Q10" s="1287"/>
      <c r="R10" s="1285"/>
      <c r="S10" s="1285"/>
      <c r="T10" s="1285"/>
      <c r="U10" s="1285"/>
      <c r="V10" s="1285"/>
      <c r="W10" s="1285"/>
      <c r="X10" s="1286">
        <v>3000000</v>
      </c>
    </row>
    <row r="11" spans="1:24" ht="31.5" customHeight="1" x14ac:dyDescent="0.2">
      <c r="A11" s="2101"/>
      <c r="B11" s="2105"/>
      <c r="C11" s="2103"/>
      <c r="D11" s="1236" t="s">
        <v>1846</v>
      </c>
      <c r="E11" s="1256" t="s">
        <v>164</v>
      </c>
      <c r="F11" s="1256" t="s">
        <v>133</v>
      </c>
      <c r="G11" s="1256" t="s">
        <v>1829</v>
      </c>
      <c r="H11" s="1285">
        <f>2106970+590000</f>
        <v>2696970</v>
      </c>
      <c r="I11" s="1285">
        <v>303030</v>
      </c>
      <c r="J11" s="1285"/>
      <c r="K11" s="1285"/>
      <c r="L11" s="1285"/>
      <c r="M11" s="1285"/>
      <c r="N11" s="1285"/>
      <c r="O11" s="1285"/>
      <c r="P11" s="1286"/>
      <c r="Q11" s="1287"/>
      <c r="R11" s="1285"/>
      <c r="S11" s="1285"/>
      <c r="T11" s="1285"/>
      <c r="U11" s="1285"/>
      <c r="V11" s="1285"/>
      <c r="W11" s="1285"/>
      <c r="X11" s="1286"/>
    </row>
    <row r="12" spans="1:24" ht="22.5" customHeight="1" x14ac:dyDescent="0.2">
      <c r="A12" s="2099" t="s">
        <v>192</v>
      </c>
      <c r="B12" s="2104" t="s">
        <v>197</v>
      </c>
      <c r="C12" s="2102" t="s">
        <v>2195</v>
      </c>
      <c r="D12" s="1236" t="s">
        <v>1846</v>
      </c>
      <c r="E12" s="1256" t="s">
        <v>1288</v>
      </c>
      <c r="F12" s="1256" t="s">
        <v>128</v>
      </c>
      <c r="G12" s="1256" t="s">
        <v>1829</v>
      </c>
      <c r="H12" s="1285"/>
      <c r="I12" s="1285"/>
      <c r="J12" s="1285"/>
      <c r="K12" s="1285"/>
      <c r="L12" s="1285"/>
      <c r="M12" s="1285"/>
      <c r="N12" s="1285"/>
      <c r="O12" s="1285"/>
      <c r="P12" s="1286"/>
      <c r="Q12" s="1287"/>
      <c r="R12" s="1285"/>
      <c r="S12" s="1285"/>
      <c r="T12" s="1285"/>
      <c r="U12" s="1285"/>
      <c r="V12" s="1285"/>
      <c r="W12" s="1285"/>
      <c r="X12" s="1286">
        <v>197960</v>
      </c>
    </row>
    <row r="13" spans="1:24" ht="22.5" customHeight="1" x14ac:dyDescent="0.2">
      <c r="A13" s="2100"/>
      <c r="B13" s="2107"/>
      <c r="C13" s="2106"/>
      <c r="D13" s="1466" t="s">
        <v>1846</v>
      </c>
      <c r="E13" s="1257" t="s">
        <v>164</v>
      </c>
      <c r="F13" s="1257" t="s">
        <v>91</v>
      </c>
      <c r="G13" s="1257" t="s">
        <v>1829</v>
      </c>
      <c r="H13" s="1471"/>
      <c r="I13" s="1471"/>
      <c r="J13" s="1471">
        <f>155874+42086</f>
        <v>197960</v>
      </c>
      <c r="K13" s="1471"/>
      <c r="L13" s="1471"/>
      <c r="M13" s="1471"/>
      <c r="N13" s="1471"/>
      <c r="O13" s="1173"/>
      <c r="P13" s="1174"/>
      <c r="Q13" s="1473"/>
      <c r="R13" s="1471"/>
      <c r="S13" s="1471"/>
      <c r="T13" s="1471"/>
      <c r="U13" s="1471"/>
      <c r="V13" s="1471"/>
      <c r="W13" s="1471"/>
      <c r="X13" s="1472"/>
    </row>
    <row r="14" spans="1:24" ht="18.75" customHeight="1" x14ac:dyDescent="0.3">
      <c r="A14" s="2082" t="s">
        <v>1749</v>
      </c>
      <c r="B14" s="2083"/>
      <c r="C14" s="2084"/>
      <c r="D14" s="1288"/>
      <c r="E14" s="1288"/>
      <c r="F14" s="1288"/>
      <c r="G14" s="1288"/>
      <c r="H14" s="1467">
        <f t="shared" ref="H14:X14" si="0">SUM(H7:H13)</f>
        <v>2696970</v>
      </c>
      <c r="I14" s="1467">
        <f t="shared" si="0"/>
        <v>303030</v>
      </c>
      <c r="J14" s="1467">
        <f t="shared" si="0"/>
        <v>3731265</v>
      </c>
      <c r="K14" s="1467">
        <f t="shared" si="0"/>
        <v>0</v>
      </c>
      <c r="L14" s="1467">
        <f t="shared" si="0"/>
        <v>0</v>
      </c>
      <c r="M14" s="1467">
        <f t="shared" si="0"/>
        <v>0</v>
      </c>
      <c r="N14" s="1467">
        <f t="shared" si="0"/>
        <v>0</v>
      </c>
      <c r="O14" s="1467">
        <f t="shared" si="0"/>
        <v>0</v>
      </c>
      <c r="P14" s="1289">
        <f t="shared" si="0"/>
        <v>0</v>
      </c>
      <c r="Q14" s="1468">
        <f t="shared" si="0"/>
        <v>0</v>
      </c>
      <c r="R14" s="1467">
        <f t="shared" si="0"/>
        <v>0</v>
      </c>
      <c r="S14" s="1467">
        <f t="shared" si="0"/>
        <v>0</v>
      </c>
      <c r="T14" s="1467">
        <f t="shared" si="0"/>
        <v>3533305</v>
      </c>
      <c r="U14" s="1467">
        <f t="shared" si="0"/>
        <v>0</v>
      </c>
      <c r="V14" s="1467">
        <f t="shared" si="0"/>
        <v>0</v>
      </c>
      <c r="W14" s="1467">
        <f t="shared" si="0"/>
        <v>0</v>
      </c>
      <c r="X14" s="1289">
        <f t="shared" si="0"/>
        <v>3197960</v>
      </c>
    </row>
    <row r="15" spans="1:24" ht="15.75" customHeight="1" x14ac:dyDescent="0.2">
      <c r="A15" s="1220"/>
      <c r="B15" s="1220"/>
      <c r="C15" s="1220"/>
      <c r="D15" s="1290"/>
      <c r="E15" s="1291"/>
      <c r="F15" s="1291"/>
      <c r="G15" s="1292"/>
      <c r="H15" s="1293"/>
      <c r="I15" s="1293"/>
      <c r="J15" s="1293"/>
      <c r="K15" s="1293"/>
      <c r="L15" s="1293"/>
      <c r="M15" s="1293"/>
      <c r="N15" s="1293"/>
      <c r="O15" s="1293"/>
      <c r="P15" s="1293"/>
      <c r="Q15" s="1293"/>
      <c r="R15" s="1293"/>
      <c r="S15" s="1293"/>
      <c r="T15" s="1293"/>
      <c r="U15" s="1293"/>
      <c r="V15" s="1293"/>
      <c r="W15" s="1293"/>
      <c r="X15" s="1293"/>
    </row>
    <row r="16" spans="1:24" ht="14.25" customHeight="1" x14ac:dyDescent="0.2">
      <c r="A16" s="1220"/>
      <c r="B16" s="1220"/>
      <c r="C16" s="1220"/>
      <c r="D16" s="1290"/>
      <c r="E16" s="1291"/>
      <c r="F16" s="1291"/>
      <c r="G16" s="1292"/>
      <c r="H16" s="1293"/>
      <c r="I16" s="1293"/>
      <c r="J16" s="1293"/>
      <c r="K16" s="1293"/>
      <c r="L16" s="1293"/>
      <c r="M16" s="1293"/>
      <c r="N16" s="1293"/>
      <c r="O16" s="1293"/>
      <c r="P16" s="1293"/>
      <c r="Q16" s="1293"/>
      <c r="R16" s="1293"/>
      <c r="S16" s="1293"/>
      <c r="T16" s="1293"/>
      <c r="U16" s="1293"/>
      <c r="V16" s="1293"/>
      <c r="W16" s="1293"/>
      <c r="X16" s="1293"/>
    </row>
    <row r="17" spans="1:24" ht="15.75" x14ac:dyDescent="0.25">
      <c r="A17" s="1294"/>
      <c r="B17" s="1294"/>
      <c r="C17" s="1294"/>
      <c r="D17" s="1195"/>
      <c r="E17" s="1295"/>
      <c r="F17" s="1295"/>
      <c r="G17" s="1296"/>
      <c r="H17" s="1297"/>
      <c r="I17" s="1297"/>
      <c r="J17" s="1297"/>
      <c r="K17" s="1297"/>
      <c r="L17" s="1297"/>
      <c r="M17" s="1297"/>
      <c r="N17" s="1297"/>
      <c r="O17" s="1297"/>
      <c r="P17" s="1297"/>
      <c r="Q17" s="1297"/>
      <c r="R17" s="1297"/>
      <c r="S17" s="1297"/>
      <c r="T17" s="1297"/>
      <c r="U17" s="1297"/>
      <c r="V17" s="1297"/>
      <c r="W17" s="1297"/>
      <c r="X17" s="1297"/>
    </row>
    <row r="18" spans="1:24" ht="21" customHeight="1" x14ac:dyDescent="0.25">
      <c r="A18" s="1197"/>
      <c r="B18" s="1197"/>
      <c r="C18" s="1197"/>
      <c r="D18" s="1197"/>
      <c r="E18" s="1197"/>
      <c r="F18" s="1197"/>
      <c r="G18" s="1197"/>
      <c r="H18" s="1224"/>
      <c r="I18" s="2108" t="s">
        <v>1750</v>
      </c>
      <c r="J18" s="2108"/>
      <c r="K18" s="2108"/>
      <c r="L18" s="2108">
        <v>117321388</v>
      </c>
      <c r="M18" s="2108"/>
      <c r="N18" s="1225"/>
      <c r="O18" s="1225"/>
      <c r="P18" s="1225"/>
      <c r="Q18" s="1225"/>
      <c r="R18" s="2108" t="s">
        <v>1751</v>
      </c>
      <c r="S18" s="2108"/>
      <c r="T18" s="2108"/>
      <c r="U18" s="2108">
        <v>117321388</v>
      </c>
      <c r="V18" s="2108"/>
      <c r="W18" s="1224"/>
      <c r="X18" s="1224"/>
    </row>
    <row r="19" spans="1:24" ht="19.5" customHeight="1" x14ac:dyDescent="0.25">
      <c r="A19" s="1197"/>
      <c r="B19" s="1197"/>
      <c r="C19" s="1197"/>
      <c r="D19" s="1197"/>
      <c r="E19" s="1197"/>
      <c r="F19" s="1197"/>
      <c r="G19" s="1197"/>
      <c r="H19" s="1224"/>
      <c r="I19" s="2066" t="s">
        <v>3474</v>
      </c>
      <c r="J19" s="2066"/>
      <c r="K19" s="2066"/>
      <c r="L19" s="2108">
        <f>SUM(H14:P14)</f>
        <v>6731265</v>
      </c>
      <c r="M19" s="2108"/>
      <c r="N19" s="1225"/>
      <c r="O19" s="1225"/>
      <c r="P19" s="1225"/>
      <c r="Q19" s="1225"/>
      <c r="R19" s="2066" t="s">
        <v>3474</v>
      </c>
      <c r="S19" s="2066"/>
      <c r="T19" s="2066"/>
      <c r="U19" s="2108">
        <f>SUM(Q14:X14)</f>
        <v>6731265</v>
      </c>
      <c r="V19" s="2108"/>
      <c r="W19" s="1224"/>
      <c r="X19" s="1224"/>
    </row>
    <row r="20" spans="1:24" ht="22.5" customHeight="1" x14ac:dyDescent="0.25">
      <c r="A20" s="1197"/>
      <c r="B20" s="1197"/>
      <c r="C20" s="1197"/>
      <c r="D20" s="1197"/>
      <c r="E20" s="1197"/>
      <c r="F20" s="1197"/>
      <c r="G20" s="1197"/>
      <c r="H20" s="1224"/>
      <c r="I20" s="2108" t="s">
        <v>1561</v>
      </c>
      <c r="J20" s="2108"/>
      <c r="K20" s="2108"/>
      <c r="L20" s="2108">
        <f>+L18+L19</f>
        <v>124052653</v>
      </c>
      <c r="M20" s="2108"/>
      <c r="N20" s="1225"/>
      <c r="O20" s="1225"/>
      <c r="P20" s="1225"/>
      <c r="Q20" s="1225"/>
      <c r="R20" s="2108" t="s">
        <v>1561</v>
      </c>
      <c r="S20" s="2108"/>
      <c r="T20" s="2108"/>
      <c r="U20" s="2108">
        <f>+U18+U19</f>
        <v>124052653</v>
      </c>
      <c r="V20" s="2108"/>
      <c r="W20" s="1224"/>
      <c r="X20" s="1224"/>
    </row>
    <row r="21" spans="1:24" ht="15" x14ac:dyDescent="0.25">
      <c r="A21" s="1197"/>
      <c r="B21" s="1197"/>
      <c r="C21" s="1197"/>
      <c r="D21" s="1197"/>
      <c r="E21" s="1197"/>
      <c r="F21" s="1197"/>
      <c r="G21" s="1197"/>
      <c r="H21" s="1197"/>
      <c r="I21" s="1197"/>
      <c r="J21" s="1197"/>
      <c r="K21" s="1197"/>
      <c r="L21" s="1197"/>
      <c r="M21" s="1197"/>
      <c r="N21" s="1197"/>
      <c r="O21" s="1197"/>
      <c r="P21" s="1197"/>
      <c r="Q21" s="1197"/>
      <c r="R21" s="1197"/>
      <c r="S21" s="1197"/>
      <c r="T21" s="1197"/>
      <c r="U21" s="1197"/>
      <c r="V21" s="1197"/>
      <c r="W21" s="1197"/>
      <c r="X21" s="1197"/>
    </row>
    <row r="22" spans="1:24" x14ac:dyDescent="0.2">
      <c r="A22" s="348"/>
      <c r="B22" s="348"/>
      <c r="C22" s="348"/>
      <c r="D22" s="348"/>
      <c r="E22" s="348"/>
      <c r="F22" s="348"/>
      <c r="G22" s="348"/>
      <c r="H22" s="348"/>
      <c r="I22" s="348"/>
      <c r="J22" s="348"/>
      <c r="K22" s="348"/>
      <c r="L22" s="348"/>
      <c r="M22" s="348"/>
      <c r="N22" s="348"/>
      <c r="O22" s="348"/>
      <c r="P22" s="348"/>
      <c r="Q22" s="348"/>
      <c r="R22" s="348"/>
      <c r="S22" s="348"/>
      <c r="T22" s="348"/>
      <c r="U22" s="348"/>
      <c r="V22" s="348"/>
      <c r="W22" s="348"/>
      <c r="X22" s="348"/>
    </row>
    <row r="23" spans="1:24" ht="15.75" x14ac:dyDescent="0.25">
      <c r="A23" s="2069" t="s">
        <v>2641</v>
      </c>
      <c r="B23" s="2069"/>
      <c r="C23" s="2069"/>
      <c r="D23" s="2069"/>
      <c r="E23" s="2069"/>
      <c r="F23" s="2069"/>
      <c r="G23" s="2069"/>
      <c r="H23" s="2069"/>
      <c r="I23" s="2069"/>
      <c r="J23" s="2069"/>
      <c r="K23" s="2069"/>
      <c r="L23" s="2069"/>
      <c r="M23" s="2069"/>
      <c r="N23" s="2069"/>
      <c r="O23" s="2069"/>
      <c r="P23" s="2069"/>
      <c r="Q23" s="2069"/>
      <c r="R23" s="2069"/>
      <c r="S23" s="2069"/>
      <c r="T23" s="2069"/>
      <c r="U23" s="2069"/>
      <c r="V23" s="2069"/>
      <c r="W23" s="2069"/>
      <c r="X23" s="2069"/>
    </row>
    <row r="24" spans="1:24" ht="15" x14ac:dyDescent="0.25">
      <c r="A24" s="1195"/>
      <c r="B24" s="1195"/>
      <c r="C24" s="1195"/>
      <c r="D24" s="1195"/>
      <c r="E24" s="1195"/>
      <c r="F24" s="1195"/>
      <c r="G24" s="1195"/>
      <c r="H24" s="1195"/>
      <c r="I24" s="1195"/>
      <c r="J24" s="1195"/>
      <c r="K24" s="1195"/>
      <c r="L24" s="1195"/>
      <c r="M24" s="1195"/>
      <c r="N24" s="1195"/>
      <c r="O24" s="1195"/>
      <c r="P24" s="1195"/>
      <c r="Q24" s="1195"/>
      <c r="R24" s="1195"/>
      <c r="S24" s="1195"/>
      <c r="T24" s="1195"/>
      <c r="U24" s="1195"/>
      <c r="V24" s="1195"/>
      <c r="W24" s="1195"/>
      <c r="X24" s="1195"/>
    </row>
    <row r="25" spans="1:24" ht="15.75" customHeight="1" x14ac:dyDescent="0.25">
      <c r="A25" s="2112" t="s">
        <v>1810</v>
      </c>
      <c r="B25" s="2112"/>
      <c r="C25" s="2112"/>
      <c r="D25" s="2112"/>
      <c r="E25" s="2112"/>
      <c r="F25" s="2112"/>
      <c r="G25" s="2112"/>
      <c r="H25" s="2112"/>
      <c r="I25" s="2112"/>
      <c r="J25" s="2112"/>
      <c r="K25" s="2112"/>
      <c r="L25" s="2112"/>
      <c r="M25" s="2112"/>
      <c r="N25" s="2112"/>
      <c r="O25" s="2112"/>
      <c r="P25" s="2112"/>
      <c r="Q25" s="2112"/>
      <c r="R25" s="2112"/>
      <c r="S25" s="2112"/>
      <c r="T25" s="2112"/>
      <c r="U25" s="2112"/>
      <c r="V25" s="2112"/>
      <c r="W25" s="2112"/>
      <c r="X25" s="2112"/>
    </row>
    <row r="26" spans="1:24" ht="15" x14ac:dyDescent="0.25">
      <c r="A26" s="1197"/>
      <c r="B26" s="1197"/>
      <c r="C26" s="1197"/>
      <c r="D26" s="1197"/>
      <c r="E26" s="1197"/>
      <c r="F26" s="1197"/>
      <c r="G26" s="1197"/>
      <c r="H26" s="1197"/>
      <c r="I26" s="1197"/>
      <c r="J26" s="1197"/>
      <c r="K26" s="1197"/>
      <c r="L26" s="1197"/>
      <c r="M26" s="1197"/>
      <c r="N26" s="1197"/>
      <c r="O26" s="1197"/>
      <c r="P26" s="1197"/>
      <c r="Q26" s="1197"/>
      <c r="R26" s="1197"/>
      <c r="S26" s="1197"/>
      <c r="T26" s="1197"/>
      <c r="U26" s="1197"/>
      <c r="V26" s="1197"/>
      <c r="W26" s="1197"/>
      <c r="X26" s="1197"/>
    </row>
    <row r="27" spans="1:24" ht="15" customHeight="1" x14ac:dyDescent="0.25">
      <c r="A27" s="2113" t="s">
        <v>37</v>
      </c>
      <c r="B27" s="2093" t="s">
        <v>1726</v>
      </c>
      <c r="C27" s="2115" t="s">
        <v>2</v>
      </c>
      <c r="D27" s="2117" t="s">
        <v>1727</v>
      </c>
      <c r="E27" s="2117" t="s">
        <v>117</v>
      </c>
      <c r="F27" s="2117" t="s">
        <v>1728</v>
      </c>
      <c r="G27" s="2117" t="s">
        <v>1729</v>
      </c>
      <c r="H27" s="2119" t="s">
        <v>1730</v>
      </c>
      <c r="I27" s="2119"/>
      <c r="J27" s="2119"/>
      <c r="K27" s="2119"/>
      <c r="L27" s="2119"/>
      <c r="M27" s="2119"/>
      <c r="N27" s="2119"/>
      <c r="O27" s="2133"/>
      <c r="P27" s="1661"/>
      <c r="Q27" s="2120" t="s">
        <v>1731</v>
      </c>
      <c r="R27" s="2119"/>
      <c r="S27" s="2119"/>
      <c r="T27" s="2119"/>
      <c r="U27" s="2119"/>
      <c r="V27" s="2119"/>
      <c r="W27" s="2119"/>
      <c r="X27" s="2121"/>
    </row>
    <row r="28" spans="1:24" ht="78" customHeight="1" x14ac:dyDescent="0.2">
      <c r="A28" s="2114"/>
      <c r="B28" s="2094"/>
      <c r="C28" s="2116"/>
      <c r="D28" s="2118"/>
      <c r="E28" s="2118"/>
      <c r="F28" s="2118"/>
      <c r="G28" s="2118"/>
      <c r="H28" s="1154" t="s">
        <v>2387</v>
      </c>
      <c r="I28" s="1154" t="s">
        <v>1796</v>
      </c>
      <c r="J28" s="1154" t="s">
        <v>1797</v>
      </c>
      <c r="K28" s="1154" t="s">
        <v>1798</v>
      </c>
      <c r="L28" s="1154" t="s">
        <v>1799</v>
      </c>
      <c r="M28" s="1154" t="s">
        <v>1756</v>
      </c>
      <c r="N28" s="1154" t="s">
        <v>1757</v>
      </c>
      <c r="O28" s="1157" t="s">
        <v>1739</v>
      </c>
      <c r="P28" s="1159" t="s">
        <v>1740</v>
      </c>
      <c r="Q28" s="1227" t="s">
        <v>1741</v>
      </c>
      <c r="R28" s="1154" t="s">
        <v>1742</v>
      </c>
      <c r="S28" s="1154" t="s">
        <v>1800</v>
      </c>
      <c r="T28" s="1154" t="s">
        <v>1784</v>
      </c>
      <c r="U28" s="1154" t="s">
        <v>1745</v>
      </c>
      <c r="V28" s="1154" t="s">
        <v>1746</v>
      </c>
      <c r="W28" s="1154" t="s">
        <v>1747</v>
      </c>
      <c r="X28" s="1159" t="s">
        <v>1795</v>
      </c>
    </row>
    <row r="29" spans="1:24" ht="20.25" customHeight="1" x14ac:dyDescent="0.2">
      <c r="A29" s="2124" t="s">
        <v>193</v>
      </c>
      <c r="B29" s="2123" t="s">
        <v>198</v>
      </c>
      <c r="C29" s="2122" t="s">
        <v>2252</v>
      </c>
      <c r="D29" s="1201" t="s">
        <v>1846</v>
      </c>
      <c r="E29" s="1243" t="s">
        <v>1288</v>
      </c>
      <c r="F29" s="1243" t="s">
        <v>128</v>
      </c>
      <c r="G29" s="1243" t="s">
        <v>1829</v>
      </c>
      <c r="H29" s="1165"/>
      <c r="I29" s="1165"/>
      <c r="J29" s="1165"/>
      <c r="K29" s="1165"/>
      <c r="L29" s="1165"/>
      <c r="M29" s="1165"/>
      <c r="N29" s="1165"/>
      <c r="O29" s="1165"/>
      <c r="P29" s="1203"/>
      <c r="Q29" s="1204"/>
      <c r="R29" s="1165"/>
      <c r="S29" s="1165"/>
      <c r="T29" s="1165"/>
      <c r="U29" s="1165"/>
      <c r="V29" s="1165"/>
      <c r="W29" s="1165"/>
      <c r="X29" s="1203">
        <v>1356000</v>
      </c>
    </row>
    <row r="30" spans="1:24" ht="20.25" customHeight="1" x14ac:dyDescent="0.2">
      <c r="A30" s="2101"/>
      <c r="B30" s="2105"/>
      <c r="C30" s="2103"/>
      <c r="D30" s="1206" t="s">
        <v>1846</v>
      </c>
      <c r="E30" s="1232" t="s">
        <v>164</v>
      </c>
      <c r="F30" s="1232" t="s">
        <v>91</v>
      </c>
      <c r="G30" s="1232" t="s">
        <v>1829</v>
      </c>
      <c r="H30" s="1208">
        <v>1200000</v>
      </c>
      <c r="I30" s="1208">
        <v>156000</v>
      </c>
      <c r="J30" s="1208"/>
      <c r="K30" s="1208"/>
      <c r="L30" s="1208"/>
      <c r="M30" s="1208"/>
      <c r="N30" s="1208"/>
      <c r="O30" s="1208"/>
      <c r="P30" s="1209"/>
      <c r="Q30" s="1210"/>
      <c r="R30" s="1208"/>
      <c r="S30" s="1208"/>
      <c r="T30" s="1208"/>
      <c r="U30" s="1208"/>
      <c r="V30" s="1208"/>
      <c r="W30" s="1208"/>
      <c r="X30" s="1209"/>
    </row>
    <row r="31" spans="1:24" ht="30" customHeight="1" x14ac:dyDescent="0.2">
      <c r="A31" s="1650" t="s">
        <v>194</v>
      </c>
      <c r="B31" s="1649" t="s">
        <v>225</v>
      </c>
      <c r="C31" s="1205" t="s">
        <v>2317</v>
      </c>
      <c r="D31" s="1206" t="s">
        <v>1846</v>
      </c>
      <c r="E31" s="1232" t="s">
        <v>1288</v>
      </c>
      <c r="F31" s="1232" t="s">
        <v>128</v>
      </c>
      <c r="G31" s="1232" t="s">
        <v>1829</v>
      </c>
      <c r="H31" s="1208"/>
      <c r="I31" s="1208"/>
      <c r="J31" s="1208"/>
      <c r="K31" s="1208"/>
      <c r="L31" s="1208">
        <v>4801934</v>
      </c>
      <c r="M31" s="1208"/>
      <c r="N31" s="1208"/>
      <c r="O31" s="1208"/>
      <c r="P31" s="1209"/>
      <c r="Q31" s="1210"/>
      <c r="R31" s="1208"/>
      <c r="S31" s="1208"/>
      <c r="T31" s="1208"/>
      <c r="U31" s="1208"/>
      <c r="V31" s="1208"/>
      <c r="W31" s="1208"/>
      <c r="X31" s="1209">
        <v>4801934</v>
      </c>
    </row>
    <row r="32" spans="1:24" ht="29.25" customHeight="1" x14ac:dyDescent="0.2">
      <c r="A32" s="2099" t="s">
        <v>195</v>
      </c>
      <c r="B32" s="2104" t="s">
        <v>226</v>
      </c>
      <c r="C32" s="2102" t="s">
        <v>2374</v>
      </c>
      <c r="D32" s="1212" t="s">
        <v>1846</v>
      </c>
      <c r="E32" s="1244" t="s">
        <v>2369</v>
      </c>
      <c r="F32" s="1244" t="s">
        <v>132</v>
      </c>
      <c r="G32" s="1244" t="s">
        <v>1828</v>
      </c>
      <c r="H32" s="1173"/>
      <c r="I32" s="1173"/>
      <c r="J32" s="1173">
        <v>-1600000</v>
      </c>
      <c r="K32" s="1173"/>
      <c r="L32" s="1173"/>
      <c r="M32" s="1173"/>
      <c r="N32" s="1173"/>
      <c r="O32" s="1173"/>
      <c r="P32" s="1174"/>
      <c r="Q32" s="1214"/>
      <c r="R32" s="1173"/>
      <c r="S32" s="1173"/>
      <c r="T32" s="1173"/>
      <c r="U32" s="1173"/>
      <c r="V32" s="1173"/>
      <c r="W32" s="1173"/>
      <c r="X32" s="1174"/>
    </row>
    <row r="33" spans="1:24" ht="29.25" customHeight="1" x14ac:dyDescent="0.2">
      <c r="A33" s="2101"/>
      <c r="B33" s="2105"/>
      <c r="C33" s="2103"/>
      <c r="D33" s="1212" t="s">
        <v>1846</v>
      </c>
      <c r="E33" s="1244" t="s">
        <v>164</v>
      </c>
      <c r="F33" s="1244" t="s">
        <v>91</v>
      </c>
      <c r="G33" s="1244" t="s">
        <v>1829</v>
      </c>
      <c r="H33" s="1173"/>
      <c r="I33" s="1173"/>
      <c r="J33" s="1173">
        <v>1600000</v>
      </c>
      <c r="K33" s="1173"/>
      <c r="L33" s="1173"/>
      <c r="M33" s="1173"/>
      <c r="N33" s="1173"/>
      <c r="O33" s="1173"/>
      <c r="P33" s="1174"/>
      <c r="Q33" s="1214"/>
      <c r="R33" s="1173"/>
      <c r="S33" s="1173"/>
      <c r="T33" s="1173"/>
      <c r="U33" s="1173"/>
      <c r="V33" s="1173"/>
      <c r="W33" s="1173"/>
      <c r="X33" s="1174"/>
    </row>
    <row r="34" spans="1:24" ht="40.5" customHeight="1" x14ac:dyDescent="0.2">
      <c r="A34" s="1647" t="s">
        <v>196</v>
      </c>
      <c r="B34" s="1652" t="s">
        <v>227</v>
      </c>
      <c r="C34" s="1211" t="s">
        <v>2379</v>
      </c>
      <c r="D34" s="1212" t="s">
        <v>1846</v>
      </c>
      <c r="E34" s="1244" t="s">
        <v>164</v>
      </c>
      <c r="F34" s="1244" t="s">
        <v>91</v>
      </c>
      <c r="G34" s="1244" t="s">
        <v>1829</v>
      </c>
      <c r="H34" s="1173"/>
      <c r="I34" s="1173"/>
      <c r="J34" s="1173">
        <v>10000</v>
      </c>
      <c r="K34" s="1173"/>
      <c r="L34" s="1173"/>
      <c r="M34" s="1173"/>
      <c r="N34" s="1173"/>
      <c r="O34" s="1173"/>
      <c r="P34" s="1174"/>
      <c r="Q34" s="1214"/>
      <c r="R34" s="1173"/>
      <c r="S34" s="1173"/>
      <c r="T34" s="1173">
        <v>10000</v>
      </c>
      <c r="U34" s="1173"/>
      <c r="V34" s="1173"/>
      <c r="W34" s="1173"/>
      <c r="X34" s="1174"/>
    </row>
    <row r="35" spans="1:24" ht="50.25" customHeight="1" x14ac:dyDescent="0.2">
      <c r="A35" s="1647" t="s">
        <v>197</v>
      </c>
      <c r="B35" s="1652" t="s">
        <v>228</v>
      </c>
      <c r="C35" s="1211" t="s">
        <v>2389</v>
      </c>
      <c r="D35" s="1212" t="s">
        <v>1846</v>
      </c>
      <c r="E35" s="1244" t="s">
        <v>164</v>
      </c>
      <c r="F35" s="1244" t="s">
        <v>133</v>
      </c>
      <c r="G35" s="1244" t="s">
        <v>1837</v>
      </c>
      <c r="H35" s="1173"/>
      <c r="I35" s="1173"/>
      <c r="J35" s="1173">
        <f>-200000+100000+100000</f>
        <v>0</v>
      </c>
      <c r="K35" s="1173"/>
      <c r="L35" s="1173"/>
      <c r="M35" s="1173"/>
      <c r="N35" s="1173"/>
      <c r="O35" s="1173"/>
      <c r="P35" s="1174"/>
      <c r="Q35" s="1214"/>
      <c r="R35" s="1173"/>
      <c r="S35" s="1173"/>
      <c r="T35" s="1173"/>
      <c r="U35" s="1173"/>
      <c r="V35" s="1173"/>
      <c r="W35" s="1173"/>
      <c r="X35" s="1174"/>
    </row>
    <row r="36" spans="1:24" ht="35.25" customHeight="1" x14ac:dyDescent="0.2">
      <c r="A36" s="1647" t="s">
        <v>198</v>
      </c>
      <c r="B36" s="1652" t="s">
        <v>229</v>
      </c>
      <c r="C36" s="1211" t="s">
        <v>2390</v>
      </c>
      <c r="D36" s="1212" t="s">
        <v>1846</v>
      </c>
      <c r="E36" s="1244" t="s">
        <v>164</v>
      </c>
      <c r="F36" s="1244" t="s">
        <v>133</v>
      </c>
      <c r="G36" s="1244" t="s">
        <v>1829</v>
      </c>
      <c r="H36" s="1173"/>
      <c r="I36" s="1173"/>
      <c r="J36" s="1173">
        <v>1</v>
      </c>
      <c r="K36" s="1173"/>
      <c r="L36" s="1173"/>
      <c r="M36" s="1173"/>
      <c r="N36" s="1173"/>
      <c r="O36" s="1173"/>
      <c r="P36" s="1174"/>
      <c r="Q36" s="1214"/>
      <c r="R36" s="1173"/>
      <c r="S36" s="1173"/>
      <c r="T36" s="1173">
        <v>1</v>
      </c>
      <c r="U36" s="1173"/>
      <c r="V36" s="1173"/>
      <c r="W36" s="1173"/>
      <c r="X36" s="1174"/>
    </row>
    <row r="37" spans="1:24" ht="39.75" customHeight="1" x14ac:dyDescent="0.2">
      <c r="A37" s="1647" t="s">
        <v>225</v>
      </c>
      <c r="B37" s="1652" t="s">
        <v>230</v>
      </c>
      <c r="C37" s="1211" t="s">
        <v>2467</v>
      </c>
      <c r="D37" s="1212" t="s">
        <v>1846</v>
      </c>
      <c r="E37" s="1244" t="s">
        <v>164</v>
      </c>
      <c r="F37" s="1244" t="s">
        <v>91</v>
      </c>
      <c r="G37" s="1244" t="s">
        <v>1837</v>
      </c>
      <c r="H37" s="1173"/>
      <c r="I37" s="1173"/>
      <c r="J37" s="1173"/>
      <c r="K37" s="1173"/>
      <c r="L37" s="1173"/>
      <c r="M37" s="1173">
        <f>-200000+200000</f>
        <v>0</v>
      </c>
      <c r="N37" s="1173"/>
      <c r="O37" s="1173"/>
      <c r="P37" s="1174"/>
      <c r="Q37" s="1214"/>
      <c r="R37" s="1173"/>
      <c r="S37" s="1173"/>
      <c r="T37" s="1173"/>
      <c r="U37" s="1173"/>
      <c r="V37" s="1173"/>
      <c r="W37" s="1173"/>
      <c r="X37" s="1174"/>
    </row>
    <row r="38" spans="1:24" ht="45" customHeight="1" x14ac:dyDescent="0.2">
      <c r="A38" s="1647" t="s">
        <v>226</v>
      </c>
      <c r="B38" s="1652" t="s">
        <v>231</v>
      </c>
      <c r="C38" s="1211" t="s">
        <v>2478</v>
      </c>
      <c r="D38" s="1212" t="s">
        <v>1846</v>
      </c>
      <c r="E38" s="1244" t="s">
        <v>164</v>
      </c>
      <c r="F38" s="1244" t="s">
        <v>133</v>
      </c>
      <c r="G38" s="1244" t="s">
        <v>1829</v>
      </c>
      <c r="H38" s="1173"/>
      <c r="I38" s="1173"/>
      <c r="J38" s="1173">
        <f>500000+800000+384800</f>
        <v>1684800</v>
      </c>
      <c r="K38" s="1173"/>
      <c r="L38" s="1173"/>
      <c r="M38" s="1173"/>
      <c r="N38" s="1173"/>
      <c r="O38" s="1173"/>
      <c r="P38" s="1174"/>
      <c r="Q38" s="1214"/>
      <c r="R38" s="1173"/>
      <c r="S38" s="1173"/>
      <c r="T38" s="1173">
        <v>1684800</v>
      </c>
      <c r="U38" s="1173"/>
      <c r="V38" s="1173"/>
      <c r="W38" s="1173"/>
      <c r="X38" s="1174"/>
    </row>
    <row r="39" spans="1:24" ht="39" customHeight="1" x14ac:dyDescent="0.2">
      <c r="A39" s="1647" t="s">
        <v>227</v>
      </c>
      <c r="B39" s="1652" t="s">
        <v>232</v>
      </c>
      <c r="C39" s="1211" t="s">
        <v>2611</v>
      </c>
      <c r="D39" s="1212" t="s">
        <v>1846</v>
      </c>
      <c r="E39" s="1244" t="s">
        <v>164</v>
      </c>
      <c r="F39" s="1244" t="s">
        <v>133</v>
      </c>
      <c r="G39" s="1244" t="s">
        <v>1829</v>
      </c>
      <c r="H39" s="1173"/>
      <c r="I39" s="1173"/>
      <c r="J39" s="1173">
        <f>571654+154346</f>
        <v>726000</v>
      </c>
      <c r="K39" s="1173"/>
      <c r="L39" s="1173"/>
      <c r="M39" s="1173"/>
      <c r="N39" s="1173"/>
      <c r="O39" s="1173"/>
      <c r="P39" s="1174"/>
      <c r="Q39" s="1214"/>
      <c r="R39" s="1173"/>
      <c r="S39" s="1173"/>
      <c r="T39" s="1173">
        <v>726000</v>
      </c>
      <c r="U39" s="1173"/>
      <c r="V39" s="1173"/>
      <c r="W39" s="1173"/>
      <c r="X39" s="1174"/>
    </row>
    <row r="40" spans="1:24" ht="18.75" customHeight="1" x14ac:dyDescent="0.3">
      <c r="A40" s="2082" t="s">
        <v>1749</v>
      </c>
      <c r="B40" s="2083"/>
      <c r="C40" s="2084"/>
      <c r="D40" s="1288"/>
      <c r="E40" s="1288"/>
      <c r="F40" s="1288"/>
      <c r="G40" s="1288"/>
      <c r="H40" s="1467">
        <f t="shared" ref="H40:X40" si="1">SUM(H29:H39)+H14</f>
        <v>3896970</v>
      </c>
      <c r="I40" s="1467">
        <f t="shared" si="1"/>
        <v>459030</v>
      </c>
      <c r="J40" s="1467">
        <f t="shared" si="1"/>
        <v>6152066</v>
      </c>
      <c r="K40" s="1467">
        <f t="shared" si="1"/>
        <v>0</v>
      </c>
      <c r="L40" s="1467">
        <f t="shared" si="1"/>
        <v>4801934</v>
      </c>
      <c r="M40" s="1467">
        <f t="shared" si="1"/>
        <v>0</v>
      </c>
      <c r="N40" s="1467">
        <f t="shared" si="1"/>
        <v>0</v>
      </c>
      <c r="O40" s="1467">
        <f t="shared" si="1"/>
        <v>0</v>
      </c>
      <c r="P40" s="1289">
        <f t="shared" si="1"/>
        <v>0</v>
      </c>
      <c r="Q40" s="1468">
        <f t="shared" si="1"/>
        <v>0</v>
      </c>
      <c r="R40" s="1467">
        <f t="shared" si="1"/>
        <v>0</v>
      </c>
      <c r="S40" s="1467">
        <f t="shared" si="1"/>
        <v>0</v>
      </c>
      <c r="T40" s="1467">
        <f t="shared" si="1"/>
        <v>5954106</v>
      </c>
      <c r="U40" s="1467">
        <f t="shared" si="1"/>
        <v>0</v>
      </c>
      <c r="V40" s="1467">
        <f t="shared" si="1"/>
        <v>0</v>
      </c>
      <c r="W40" s="1467">
        <f t="shared" si="1"/>
        <v>0</v>
      </c>
      <c r="X40" s="1289">
        <f t="shared" si="1"/>
        <v>9355894</v>
      </c>
    </row>
    <row r="41" spans="1:24" ht="17.25" customHeight="1" x14ac:dyDescent="0.2">
      <c r="A41" s="1220"/>
      <c r="B41" s="1220"/>
      <c r="C41" s="1220"/>
      <c r="D41" s="1290"/>
      <c r="E41" s="1291"/>
      <c r="F41" s="1291"/>
      <c r="G41" s="1292"/>
      <c r="H41" s="1293"/>
      <c r="I41" s="1293"/>
      <c r="J41" s="1293"/>
      <c r="K41" s="1293"/>
      <c r="L41" s="1293"/>
      <c r="M41" s="1293"/>
      <c r="N41" s="1293"/>
      <c r="O41" s="1293"/>
      <c r="P41" s="1293"/>
      <c r="Q41" s="1293"/>
      <c r="R41" s="1293"/>
      <c r="S41" s="1293"/>
      <c r="T41" s="1293"/>
      <c r="U41" s="1293"/>
      <c r="V41" s="1293"/>
      <c r="W41" s="1293"/>
      <c r="X41" s="1293"/>
    </row>
    <row r="42" spans="1:24" ht="20.25" customHeight="1" x14ac:dyDescent="0.2">
      <c r="A42" s="1220"/>
      <c r="B42" s="1220"/>
      <c r="C42" s="1220"/>
      <c r="D42" s="1290"/>
      <c r="E42" s="1291"/>
      <c r="F42" s="1291"/>
      <c r="G42" s="1292"/>
      <c r="H42" s="1293"/>
      <c r="I42" s="1293"/>
      <c r="J42" s="1293"/>
      <c r="K42" s="1293"/>
      <c r="L42" s="1293"/>
      <c r="M42" s="1293"/>
      <c r="N42" s="1293"/>
      <c r="O42" s="1293"/>
      <c r="P42" s="1293"/>
      <c r="Q42" s="1293"/>
      <c r="R42" s="1293"/>
      <c r="S42" s="1293"/>
      <c r="T42" s="1293"/>
      <c r="U42" s="1293"/>
      <c r="V42" s="1293"/>
      <c r="W42" s="1293"/>
      <c r="X42" s="1293"/>
    </row>
    <row r="43" spans="1:24" ht="15.75" x14ac:dyDescent="0.25">
      <c r="A43" s="1294"/>
      <c r="B43" s="1294"/>
      <c r="C43" s="1294"/>
      <c r="D43" s="1195"/>
      <c r="E43" s="1295"/>
      <c r="F43" s="1295"/>
      <c r="G43" s="1296"/>
      <c r="H43" s="1297"/>
      <c r="I43" s="1297"/>
      <c r="J43" s="1297"/>
      <c r="K43" s="1297"/>
      <c r="L43" s="1297"/>
      <c r="M43" s="1297"/>
      <c r="N43" s="1297"/>
      <c r="O43" s="1297"/>
      <c r="P43" s="1297"/>
      <c r="Q43" s="1297"/>
      <c r="R43" s="1297"/>
      <c r="S43" s="1297"/>
      <c r="T43" s="1297"/>
      <c r="U43" s="1297"/>
      <c r="V43" s="1297"/>
      <c r="W43" s="1297"/>
      <c r="X43" s="1297"/>
    </row>
    <row r="44" spans="1:24" ht="21" customHeight="1" x14ac:dyDescent="0.25">
      <c r="A44" s="1197"/>
      <c r="B44" s="1197"/>
      <c r="C44" s="1197"/>
      <c r="D44" s="1197"/>
      <c r="E44" s="1197"/>
      <c r="F44" s="1197"/>
      <c r="G44" s="1197"/>
      <c r="H44" s="1224"/>
      <c r="I44" s="2108" t="s">
        <v>1750</v>
      </c>
      <c r="J44" s="2108"/>
      <c r="K44" s="2108"/>
      <c r="L44" s="2108">
        <v>117321388</v>
      </c>
      <c r="M44" s="2108"/>
      <c r="N44" s="1225"/>
      <c r="O44" s="1225"/>
      <c r="P44" s="1225"/>
      <c r="Q44" s="1225"/>
      <c r="R44" s="2108" t="s">
        <v>1751</v>
      </c>
      <c r="S44" s="2108"/>
      <c r="T44" s="2108"/>
      <c r="U44" s="2108">
        <v>117321388</v>
      </c>
      <c r="V44" s="2108"/>
      <c r="W44" s="1224"/>
      <c r="X44" s="1224"/>
    </row>
    <row r="45" spans="1:24" ht="21" customHeight="1" x14ac:dyDescent="0.25">
      <c r="A45" s="1197"/>
      <c r="B45" s="1197"/>
      <c r="C45" s="1197"/>
      <c r="D45" s="1197"/>
      <c r="E45" s="1197"/>
      <c r="F45" s="1197"/>
      <c r="G45" s="1197"/>
      <c r="H45" s="1224"/>
      <c r="I45" s="2066" t="s">
        <v>3474</v>
      </c>
      <c r="J45" s="2066"/>
      <c r="K45" s="2066"/>
      <c r="L45" s="2108">
        <f>SUM(H40:P40)</f>
        <v>15310000</v>
      </c>
      <c r="M45" s="2108"/>
      <c r="N45" s="1225"/>
      <c r="O45" s="1225"/>
      <c r="P45" s="1225"/>
      <c r="Q45" s="1225"/>
      <c r="R45" s="2066" t="s">
        <v>3474</v>
      </c>
      <c r="S45" s="2066"/>
      <c r="T45" s="2066"/>
      <c r="U45" s="2108">
        <f>SUM(Q40:X40)</f>
        <v>15310000</v>
      </c>
      <c r="V45" s="2108"/>
      <c r="W45" s="1224"/>
      <c r="X45" s="1224"/>
    </row>
    <row r="46" spans="1:24" ht="22.5" customHeight="1" x14ac:dyDescent="0.25">
      <c r="A46" s="1197"/>
      <c r="B46" s="1197"/>
      <c r="C46" s="1197"/>
      <c r="D46" s="1197"/>
      <c r="E46" s="1197"/>
      <c r="F46" s="1197"/>
      <c r="G46" s="1197"/>
      <c r="H46" s="1224"/>
      <c r="I46" s="2108" t="s">
        <v>1561</v>
      </c>
      <c r="J46" s="2108"/>
      <c r="K46" s="2108"/>
      <c r="L46" s="2108">
        <f>+L44+L45</f>
        <v>132631388</v>
      </c>
      <c r="M46" s="2108"/>
      <c r="N46" s="1225"/>
      <c r="O46" s="1225"/>
      <c r="P46" s="1225"/>
      <c r="Q46" s="1225"/>
      <c r="R46" s="2108" t="s">
        <v>1561</v>
      </c>
      <c r="S46" s="2108"/>
      <c r="T46" s="2108"/>
      <c r="U46" s="2108">
        <f>+U44+U45</f>
        <v>132631388</v>
      </c>
      <c r="V46" s="2108"/>
      <c r="W46" s="1224"/>
      <c r="X46" s="1224"/>
    </row>
    <row r="47" spans="1:24" x14ac:dyDescent="0.2">
      <c r="A47" s="348"/>
      <c r="B47" s="348"/>
      <c r="C47" s="348"/>
      <c r="D47" s="348"/>
      <c r="E47" s="348"/>
      <c r="F47" s="348"/>
      <c r="G47" s="348"/>
      <c r="H47" s="348"/>
      <c r="I47" s="348"/>
      <c r="J47" s="348"/>
      <c r="K47" s="348"/>
      <c r="L47" s="348"/>
      <c r="M47" s="348"/>
      <c r="N47" s="348"/>
      <c r="O47" s="348"/>
      <c r="P47" s="348"/>
      <c r="Q47" s="348"/>
      <c r="R47" s="348"/>
      <c r="S47" s="348"/>
      <c r="T47" s="348"/>
      <c r="U47" s="348"/>
      <c r="V47" s="348"/>
      <c r="W47" s="348"/>
      <c r="X47" s="348"/>
    </row>
    <row r="48" spans="1:24" x14ac:dyDescent="0.2">
      <c r="A48" s="348"/>
      <c r="B48" s="348"/>
      <c r="C48" s="348"/>
      <c r="D48" s="348"/>
      <c r="E48" s="348"/>
      <c r="F48" s="348"/>
      <c r="G48" s="348"/>
      <c r="H48" s="348"/>
      <c r="I48" s="348"/>
      <c r="J48" s="348"/>
      <c r="K48" s="348"/>
      <c r="L48" s="348"/>
      <c r="M48" s="348"/>
      <c r="N48" s="348"/>
      <c r="O48" s="348"/>
      <c r="P48" s="348"/>
      <c r="Q48" s="348"/>
      <c r="R48" s="348"/>
      <c r="S48" s="348"/>
      <c r="T48" s="348"/>
      <c r="U48" s="348"/>
      <c r="V48" s="348"/>
      <c r="W48" s="348"/>
      <c r="X48" s="348"/>
    </row>
    <row r="49" spans="1:24" x14ac:dyDescent="0.2">
      <c r="A49" s="348"/>
      <c r="B49" s="348"/>
      <c r="C49" s="348"/>
      <c r="D49" s="348"/>
      <c r="E49" s="348"/>
      <c r="F49" s="348"/>
      <c r="G49" s="348"/>
      <c r="H49" s="348"/>
      <c r="I49" s="348"/>
      <c r="J49" s="348"/>
      <c r="K49" s="348"/>
      <c r="L49" s="348"/>
      <c r="M49" s="348"/>
      <c r="N49" s="348"/>
      <c r="O49" s="348"/>
      <c r="P49" s="348"/>
      <c r="Q49" s="348"/>
      <c r="R49" s="348"/>
      <c r="S49" s="348"/>
      <c r="T49" s="348"/>
      <c r="U49" s="348"/>
      <c r="V49" s="348"/>
      <c r="W49" s="348"/>
      <c r="X49" s="348"/>
    </row>
    <row r="50" spans="1:24" x14ac:dyDescent="0.2">
      <c r="A50" s="348"/>
      <c r="B50" s="348"/>
      <c r="C50" s="348"/>
      <c r="D50" s="348"/>
      <c r="E50" s="348"/>
      <c r="F50" s="348"/>
      <c r="G50" s="348"/>
      <c r="H50" s="348"/>
      <c r="I50" s="348"/>
      <c r="J50" s="348"/>
      <c r="K50" s="348"/>
      <c r="L50" s="348"/>
      <c r="M50" s="348"/>
      <c r="N50" s="348"/>
      <c r="O50" s="348"/>
      <c r="P50" s="348"/>
      <c r="Q50" s="348"/>
      <c r="R50" s="348"/>
      <c r="S50" s="348"/>
      <c r="T50" s="348"/>
      <c r="U50" s="348"/>
      <c r="V50" s="348"/>
      <c r="W50" s="348"/>
      <c r="X50" s="348"/>
    </row>
    <row r="51" spans="1:24" ht="15.75" x14ac:dyDescent="0.25">
      <c r="A51" s="2069" t="s">
        <v>2824</v>
      </c>
      <c r="B51" s="2069"/>
      <c r="C51" s="2069"/>
      <c r="D51" s="2069"/>
      <c r="E51" s="2069"/>
      <c r="F51" s="2069"/>
      <c r="G51" s="2069"/>
      <c r="H51" s="2069"/>
      <c r="I51" s="2069"/>
      <c r="J51" s="2069"/>
      <c r="K51" s="2069"/>
      <c r="L51" s="2069"/>
      <c r="M51" s="2069"/>
      <c r="N51" s="2069"/>
      <c r="O51" s="2069"/>
      <c r="P51" s="2069"/>
      <c r="Q51" s="2069"/>
      <c r="R51" s="2069"/>
      <c r="S51" s="2069"/>
      <c r="T51" s="2069"/>
      <c r="U51" s="2069"/>
      <c r="V51" s="2069"/>
      <c r="W51" s="2069"/>
      <c r="X51" s="2069"/>
    </row>
    <row r="52" spans="1:24" ht="15" x14ac:dyDescent="0.25">
      <c r="A52" s="1195"/>
      <c r="B52" s="1195"/>
      <c r="C52" s="1195"/>
      <c r="D52" s="1195"/>
      <c r="E52" s="1195"/>
      <c r="F52" s="1195"/>
      <c r="G52" s="1195"/>
      <c r="H52" s="1195"/>
      <c r="I52" s="1195"/>
      <c r="J52" s="1195"/>
      <c r="K52" s="1195"/>
      <c r="L52" s="1195"/>
      <c r="M52" s="1195"/>
      <c r="N52" s="1195"/>
      <c r="O52" s="1195"/>
      <c r="P52" s="1195"/>
      <c r="Q52" s="1195"/>
      <c r="R52" s="1195"/>
      <c r="S52" s="1195"/>
      <c r="T52" s="1195"/>
      <c r="U52" s="1195"/>
      <c r="V52" s="1195"/>
      <c r="W52" s="1195"/>
      <c r="X52" s="1195"/>
    </row>
    <row r="53" spans="1:24" ht="15" x14ac:dyDescent="0.25">
      <c r="A53" s="2112" t="s">
        <v>1810</v>
      </c>
      <c r="B53" s="2112"/>
      <c r="C53" s="2112"/>
      <c r="D53" s="2112"/>
      <c r="E53" s="2112"/>
      <c r="F53" s="2112"/>
      <c r="G53" s="2112"/>
      <c r="H53" s="2112"/>
      <c r="I53" s="2112"/>
      <c r="J53" s="2112"/>
      <c r="K53" s="2112"/>
      <c r="L53" s="2112"/>
      <c r="M53" s="2112"/>
      <c r="N53" s="2112"/>
      <c r="O53" s="2112"/>
      <c r="P53" s="2112"/>
      <c r="Q53" s="2112"/>
      <c r="R53" s="2112"/>
      <c r="S53" s="2112"/>
      <c r="T53" s="2112"/>
      <c r="U53" s="2112"/>
      <c r="V53" s="2112"/>
      <c r="W53" s="2112"/>
      <c r="X53" s="2112"/>
    </row>
    <row r="54" spans="1:24" ht="15" x14ac:dyDescent="0.25">
      <c r="A54" s="1197"/>
      <c r="B54" s="1197"/>
      <c r="C54" s="1197"/>
      <c r="D54" s="1197"/>
      <c r="E54" s="1197"/>
      <c r="F54" s="1197"/>
      <c r="G54" s="1197"/>
      <c r="H54" s="1197"/>
      <c r="I54" s="1197"/>
      <c r="J54" s="1197"/>
      <c r="K54" s="1197"/>
      <c r="L54" s="1197"/>
      <c r="M54" s="1197"/>
      <c r="N54" s="1197"/>
      <c r="O54" s="1197"/>
      <c r="P54" s="1197"/>
      <c r="Q54" s="1197"/>
      <c r="R54" s="1197"/>
      <c r="S54" s="1197"/>
      <c r="T54" s="1197"/>
      <c r="U54" s="1197"/>
      <c r="V54" s="1197"/>
      <c r="W54" s="1197"/>
      <c r="X54" s="1197"/>
    </row>
    <row r="55" spans="1:24" ht="15" customHeight="1" x14ac:dyDescent="0.25">
      <c r="A55" s="2113" t="s">
        <v>37</v>
      </c>
      <c r="B55" s="2093" t="s">
        <v>1726</v>
      </c>
      <c r="C55" s="2115" t="s">
        <v>2</v>
      </c>
      <c r="D55" s="2117" t="s">
        <v>1727</v>
      </c>
      <c r="E55" s="2117" t="s">
        <v>117</v>
      </c>
      <c r="F55" s="2117" t="s">
        <v>1728</v>
      </c>
      <c r="G55" s="2117" t="s">
        <v>1729</v>
      </c>
      <c r="H55" s="2119" t="s">
        <v>1730</v>
      </c>
      <c r="I55" s="2119"/>
      <c r="J55" s="2119"/>
      <c r="K55" s="2119"/>
      <c r="L55" s="2119"/>
      <c r="M55" s="2119"/>
      <c r="N55" s="2119"/>
      <c r="O55" s="2133"/>
      <c r="P55" s="1661"/>
      <c r="Q55" s="2120" t="s">
        <v>1731</v>
      </c>
      <c r="R55" s="2119"/>
      <c r="S55" s="2119"/>
      <c r="T55" s="2119"/>
      <c r="U55" s="2119"/>
      <c r="V55" s="2119"/>
      <c r="W55" s="2119"/>
      <c r="X55" s="2121"/>
    </row>
    <row r="56" spans="1:24" ht="89.25" x14ac:dyDescent="0.2">
      <c r="A56" s="2114"/>
      <c r="B56" s="2094"/>
      <c r="C56" s="2116"/>
      <c r="D56" s="2118"/>
      <c r="E56" s="2118"/>
      <c r="F56" s="2118"/>
      <c r="G56" s="2118"/>
      <c r="H56" s="1154" t="s">
        <v>2387</v>
      </c>
      <c r="I56" s="1154" t="s">
        <v>1796</v>
      </c>
      <c r="J56" s="1154" t="s">
        <v>1797</v>
      </c>
      <c r="K56" s="1154" t="s">
        <v>1798</v>
      </c>
      <c r="L56" s="1154" t="s">
        <v>1799</v>
      </c>
      <c r="M56" s="1154" t="s">
        <v>1756</v>
      </c>
      <c r="N56" s="1154" t="s">
        <v>1757</v>
      </c>
      <c r="O56" s="1157" t="s">
        <v>1739</v>
      </c>
      <c r="P56" s="1159" t="s">
        <v>1740</v>
      </c>
      <c r="Q56" s="1227" t="s">
        <v>1741</v>
      </c>
      <c r="R56" s="1154" t="s">
        <v>1742</v>
      </c>
      <c r="S56" s="1154" t="s">
        <v>1800</v>
      </c>
      <c r="T56" s="1154" t="s">
        <v>1784</v>
      </c>
      <c r="U56" s="1154" t="s">
        <v>1745</v>
      </c>
      <c r="V56" s="1154" t="s">
        <v>1746</v>
      </c>
      <c r="W56" s="1154" t="s">
        <v>1747</v>
      </c>
      <c r="X56" s="1159" t="s">
        <v>1795</v>
      </c>
    </row>
    <row r="57" spans="1:24" ht="28.5" customHeight="1" x14ac:dyDescent="0.2">
      <c r="A57" s="1656" t="s">
        <v>228</v>
      </c>
      <c r="B57" s="1653" t="s">
        <v>233</v>
      </c>
      <c r="C57" s="1200" t="s">
        <v>2690</v>
      </c>
      <c r="D57" s="1201" t="s">
        <v>1846</v>
      </c>
      <c r="E57" s="1243" t="s">
        <v>164</v>
      </c>
      <c r="F57" s="1243" t="s">
        <v>133</v>
      </c>
      <c r="G57" s="1243" t="s">
        <v>1837</v>
      </c>
      <c r="H57" s="1165">
        <f>-108880+103030</f>
        <v>-5850</v>
      </c>
      <c r="I57" s="1165">
        <v>5850</v>
      </c>
      <c r="J57" s="1165"/>
      <c r="K57" s="1165"/>
      <c r="L57" s="1165"/>
      <c r="M57" s="1165"/>
      <c r="N57" s="1165"/>
      <c r="O57" s="1165"/>
      <c r="P57" s="1203"/>
      <c r="Q57" s="1204"/>
      <c r="R57" s="1165"/>
      <c r="S57" s="1165"/>
      <c r="T57" s="1165"/>
      <c r="U57" s="1165"/>
      <c r="V57" s="1165"/>
      <c r="W57" s="1165"/>
      <c r="X57" s="1203"/>
    </row>
    <row r="58" spans="1:24" ht="24" customHeight="1" x14ac:dyDescent="0.2">
      <c r="A58" s="2099" t="s">
        <v>229</v>
      </c>
      <c r="B58" s="2104" t="s">
        <v>260</v>
      </c>
      <c r="C58" s="2102" t="s">
        <v>2752</v>
      </c>
      <c r="D58" s="1236" t="s">
        <v>1846</v>
      </c>
      <c r="E58" s="1256" t="s">
        <v>1288</v>
      </c>
      <c r="F58" s="1256" t="s">
        <v>128</v>
      </c>
      <c r="G58" s="1256" t="s">
        <v>1829</v>
      </c>
      <c r="H58" s="1285"/>
      <c r="I58" s="1285"/>
      <c r="J58" s="1285"/>
      <c r="K58" s="1285"/>
      <c r="L58" s="1285"/>
      <c r="M58" s="1285"/>
      <c r="N58" s="1285"/>
      <c r="O58" s="1285"/>
      <c r="P58" s="1286"/>
      <c r="Q58" s="1287"/>
      <c r="R58" s="1285"/>
      <c r="S58" s="1285"/>
      <c r="T58" s="1285"/>
      <c r="U58" s="1285"/>
      <c r="V58" s="1285"/>
      <c r="W58" s="1285"/>
      <c r="X58" s="1286">
        <v>896000</v>
      </c>
    </row>
    <row r="59" spans="1:24" ht="24" customHeight="1" x14ac:dyDescent="0.2">
      <c r="A59" s="2101"/>
      <c r="B59" s="2105"/>
      <c r="C59" s="2103"/>
      <c r="D59" s="1236" t="s">
        <v>1846</v>
      </c>
      <c r="E59" s="1256" t="s">
        <v>164</v>
      </c>
      <c r="F59" s="1256" t="s">
        <v>91</v>
      </c>
      <c r="G59" s="1256" t="s">
        <v>1829</v>
      </c>
      <c r="H59" s="1285">
        <v>700000</v>
      </c>
      <c r="I59" s="1285">
        <v>196000</v>
      </c>
      <c r="J59" s="1285"/>
      <c r="K59" s="1285"/>
      <c r="L59" s="1285"/>
      <c r="M59" s="1285"/>
      <c r="N59" s="1285"/>
      <c r="O59" s="1285"/>
      <c r="P59" s="1286"/>
      <c r="Q59" s="1287"/>
      <c r="R59" s="1285"/>
      <c r="S59" s="1285"/>
      <c r="T59" s="1285"/>
      <c r="U59" s="1285"/>
      <c r="V59" s="1285"/>
      <c r="W59" s="1285"/>
      <c r="X59" s="1286"/>
    </row>
    <row r="60" spans="1:24" ht="28.5" customHeight="1" x14ac:dyDescent="0.2">
      <c r="A60" s="1650" t="s">
        <v>230</v>
      </c>
      <c r="B60" s="1649" t="s">
        <v>261</v>
      </c>
      <c r="C60" s="1205" t="s">
        <v>2611</v>
      </c>
      <c r="D60" s="1206" t="s">
        <v>1846</v>
      </c>
      <c r="E60" s="1232" t="s">
        <v>164</v>
      </c>
      <c r="F60" s="1232" t="s">
        <v>133</v>
      </c>
      <c r="G60" s="1232" t="s">
        <v>1829</v>
      </c>
      <c r="H60" s="1208"/>
      <c r="I60" s="1208"/>
      <c r="J60" s="1208">
        <v>6000</v>
      </c>
      <c r="K60" s="1208"/>
      <c r="L60" s="1208"/>
      <c r="M60" s="1208"/>
      <c r="N60" s="1208"/>
      <c r="O60" s="1208"/>
      <c r="P60" s="1209"/>
      <c r="Q60" s="1210"/>
      <c r="R60" s="1208"/>
      <c r="S60" s="1208"/>
      <c r="T60" s="1208">
        <v>6000</v>
      </c>
      <c r="U60" s="1208"/>
      <c r="V60" s="1208"/>
      <c r="W60" s="1208"/>
      <c r="X60" s="1209"/>
    </row>
    <row r="61" spans="1:24" ht="21.75" customHeight="1" x14ac:dyDescent="0.2">
      <c r="A61" s="1657"/>
      <c r="B61" s="1654"/>
      <c r="C61" s="1215"/>
      <c r="D61" s="1206"/>
      <c r="E61" s="1232"/>
      <c r="F61" s="1232"/>
      <c r="G61" s="1232"/>
      <c r="H61" s="1208"/>
      <c r="I61" s="1208"/>
      <c r="J61" s="1208"/>
      <c r="K61" s="1208"/>
      <c r="L61" s="1208"/>
      <c r="M61" s="1208"/>
      <c r="N61" s="1208"/>
      <c r="O61" s="1208"/>
      <c r="P61" s="1209"/>
      <c r="Q61" s="1210"/>
      <c r="R61" s="1208"/>
      <c r="S61" s="1208"/>
      <c r="T61" s="1208"/>
      <c r="U61" s="1208"/>
      <c r="V61" s="1208"/>
      <c r="W61" s="1208"/>
      <c r="X61" s="1209"/>
    </row>
    <row r="62" spans="1:24" ht="18.75" x14ac:dyDescent="0.3">
      <c r="A62" s="2082" t="s">
        <v>1749</v>
      </c>
      <c r="B62" s="2083"/>
      <c r="C62" s="2084"/>
      <c r="D62" s="1288"/>
      <c r="E62" s="1288"/>
      <c r="F62" s="1288"/>
      <c r="G62" s="1288"/>
      <c r="H62" s="1467">
        <f t="shared" ref="H62:X62" si="2">SUM(H57:H61)+H40</f>
        <v>4591120</v>
      </c>
      <c r="I62" s="1467">
        <f t="shared" si="2"/>
        <v>660880</v>
      </c>
      <c r="J62" s="1467">
        <f t="shared" si="2"/>
        <v>6158066</v>
      </c>
      <c r="K62" s="1467">
        <f t="shared" si="2"/>
        <v>0</v>
      </c>
      <c r="L62" s="1467">
        <f t="shared" si="2"/>
        <v>4801934</v>
      </c>
      <c r="M62" s="1467">
        <f t="shared" si="2"/>
        <v>0</v>
      </c>
      <c r="N62" s="1467">
        <f t="shared" si="2"/>
        <v>0</v>
      </c>
      <c r="O62" s="1467">
        <f t="shared" si="2"/>
        <v>0</v>
      </c>
      <c r="P62" s="1289">
        <f t="shared" si="2"/>
        <v>0</v>
      </c>
      <c r="Q62" s="1468">
        <f t="shared" si="2"/>
        <v>0</v>
      </c>
      <c r="R62" s="1467">
        <f t="shared" si="2"/>
        <v>0</v>
      </c>
      <c r="S62" s="1467">
        <f t="shared" si="2"/>
        <v>0</v>
      </c>
      <c r="T62" s="1467">
        <f t="shared" si="2"/>
        <v>5960106</v>
      </c>
      <c r="U62" s="1467">
        <f t="shared" si="2"/>
        <v>0</v>
      </c>
      <c r="V62" s="1467">
        <f t="shared" si="2"/>
        <v>0</v>
      </c>
      <c r="W62" s="1467">
        <f t="shared" si="2"/>
        <v>0</v>
      </c>
      <c r="X62" s="1289">
        <f t="shared" si="2"/>
        <v>10251894</v>
      </c>
    </row>
    <row r="63" spans="1:24" ht="16.5" customHeight="1" x14ac:dyDescent="0.2">
      <c r="A63" s="1220"/>
      <c r="B63" s="1220"/>
      <c r="C63" s="1220"/>
      <c r="D63" s="1290"/>
      <c r="E63" s="1291"/>
      <c r="F63" s="1291"/>
      <c r="G63" s="1292"/>
      <c r="H63" s="1293"/>
      <c r="I63" s="1293"/>
      <c r="J63" s="1293"/>
      <c r="K63" s="1293"/>
      <c r="L63" s="1293"/>
      <c r="M63" s="1293"/>
      <c r="N63" s="1293"/>
      <c r="O63" s="1293"/>
      <c r="P63" s="1293"/>
      <c r="Q63" s="1293"/>
      <c r="R63" s="1293"/>
      <c r="S63" s="1293"/>
      <c r="T63" s="1293"/>
      <c r="U63" s="1293"/>
      <c r="V63" s="1293"/>
      <c r="W63" s="1293"/>
      <c r="X63" s="1293"/>
    </row>
    <row r="64" spans="1:24" ht="18.75" customHeight="1" x14ac:dyDescent="0.2">
      <c r="A64" s="1220"/>
      <c r="B64" s="1220"/>
      <c r="C64" s="1220"/>
      <c r="D64" s="1290"/>
      <c r="E64" s="1291"/>
      <c r="F64" s="1291"/>
      <c r="G64" s="1292"/>
      <c r="H64" s="1293"/>
      <c r="I64" s="1293"/>
      <c r="J64" s="1293"/>
      <c r="K64" s="1293"/>
      <c r="L64" s="1293"/>
      <c r="M64" s="1293"/>
      <c r="N64" s="1293"/>
      <c r="O64" s="1293"/>
      <c r="P64" s="1293"/>
      <c r="Q64" s="1293"/>
      <c r="R64" s="1293"/>
      <c r="S64" s="1293"/>
      <c r="T64" s="1293"/>
      <c r="U64" s="1293"/>
      <c r="V64" s="1293"/>
      <c r="W64" s="1293"/>
      <c r="X64" s="1293"/>
    </row>
    <row r="65" spans="1:24" ht="15.75" x14ac:dyDescent="0.25">
      <c r="A65" s="1294"/>
      <c r="B65" s="1294"/>
      <c r="C65" s="1294"/>
      <c r="D65" s="1195"/>
      <c r="E65" s="1295"/>
      <c r="F65" s="1295"/>
      <c r="G65" s="1296"/>
      <c r="H65" s="1297"/>
      <c r="I65" s="1297"/>
      <c r="J65" s="1297"/>
      <c r="K65" s="1297"/>
      <c r="L65" s="1297"/>
      <c r="M65" s="1297"/>
      <c r="N65" s="1297"/>
      <c r="O65" s="1297"/>
      <c r="P65" s="1297"/>
      <c r="Q65" s="1297"/>
      <c r="R65" s="1297"/>
      <c r="S65" s="1297"/>
      <c r="T65" s="1297"/>
      <c r="U65" s="1297"/>
      <c r="V65" s="1297"/>
      <c r="W65" s="1297"/>
      <c r="X65" s="1297"/>
    </row>
    <row r="66" spans="1:24" ht="22.5" customHeight="1" x14ac:dyDescent="0.25">
      <c r="A66" s="1197"/>
      <c r="B66" s="1197"/>
      <c r="C66" s="1197"/>
      <c r="D66" s="1197"/>
      <c r="E66" s="1197"/>
      <c r="F66" s="1197"/>
      <c r="G66" s="1197"/>
      <c r="H66" s="1224"/>
      <c r="I66" s="2108" t="s">
        <v>1750</v>
      </c>
      <c r="J66" s="2108"/>
      <c r="K66" s="2108"/>
      <c r="L66" s="2108">
        <v>117321388</v>
      </c>
      <c r="M66" s="2108"/>
      <c r="N66" s="1225"/>
      <c r="O66" s="1225"/>
      <c r="P66" s="1225"/>
      <c r="Q66" s="1225"/>
      <c r="R66" s="2108" t="s">
        <v>1751</v>
      </c>
      <c r="S66" s="2108"/>
      <c r="T66" s="2108"/>
      <c r="U66" s="2108">
        <v>117321388</v>
      </c>
      <c r="V66" s="2108"/>
      <c r="W66" s="1224"/>
      <c r="X66" s="1224"/>
    </row>
    <row r="67" spans="1:24" ht="23.25" customHeight="1" x14ac:dyDescent="0.25">
      <c r="A67" s="1197"/>
      <c r="B67" s="1197"/>
      <c r="C67" s="1197"/>
      <c r="D67" s="1197"/>
      <c r="E67" s="1197"/>
      <c r="F67" s="1197"/>
      <c r="G67" s="1197"/>
      <c r="H67" s="1224"/>
      <c r="I67" s="2066" t="s">
        <v>3474</v>
      </c>
      <c r="J67" s="2066"/>
      <c r="K67" s="2066"/>
      <c r="L67" s="2108">
        <f>SUM(H62:P62)</f>
        <v>16212000</v>
      </c>
      <c r="M67" s="2108"/>
      <c r="N67" s="1225"/>
      <c r="O67" s="1225"/>
      <c r="P67" s="1225"/>
      <c r="Q67" s="1225"/>
      <c r="R67" s="2066" t="s">
        <v>3474</v>
      </c>
      <c r="S67" s="2066"/>
      <c r="T67" s="2066"/>
      <c r="U67" s="2108">
        <f>SUM(Q62:X62)</f>
        <v>16212000</v>
      </c>
      <c r="V67" s="2108"/>
      <c r="W67" s="1224"/>
      <c r="X67" s="1224"/>
    </row>
    <row r="68" spans="1:24" ht="21.75" customHeight="1" x14ac:dyDescent="0.25">
      <c r="A68" s="1197"/>
      <c r="B68" s="1197"/>
      <c r="C68" s="1197"/>
      <c r="D68" s="1197"/>
      <c r="E68" s="1197"/>
      <c r="F68" s="1197"/>
      <c r="G68" s="1197"/>
      <c r="H68" s="1224"/>
      <c r="I68" s="2108" t="s">
        <v>1561</v>
      </c>
      <c r="J68" s="2108"/>
      <c r="K68" s="2108"/>
      <c r="L68" s="2108">
        <f>+L66+L67</f>
        <v>133533388</v>
      </c>
      <c r="M68" s="2108"/>
      <c r="N68" s="1225"/>
      <c r="O68" s="1225"/>
      <c r="P68" s="1225"/>
      <c r="Q68" s="1225"/>
      <c r="R68" s="2108" t="s">
        <v>1561</v>
      </c>
      <c r="S68" s="2108"/>
      <c r="T68" s="2108"/>
      <c r="U68" s="2108">
        <f>+U66+U67</f>
        <v>133533388</v>
      </c>
      <c r="V68" s="2108"/>
      <c r="W68" s="1224"/>
      <c r="X68" s="1224"/>
    </row>
    <row r="69" spans="1:24" x14ac:dyDescent="0.2">
      <c r="A69" s="348"/>
      <c r="B69" s="348"/>
      <c r="C69" s="348"/>
      <c r="D69" s="348"/>
      <c r="E69" s="348"/>
      <c r="F69" s="348"/>
      <c r="G69" s="348"/>
      <c r="H69" s="348"/>
      <c r="I69" s="348"/>
      <c r="J69" s="348"/>
      <c r="K69" s="348"/>
      <c r="L69" s="348"/>
      <c r="M69" s="348"/>
      <c r="N69" s="348"/>
      <c r="O69" s="348"/>
      <c r="P69" s="348"/>
      <c r="Q69" s="348"/>
      <c r="R69" s="348"/>
      <c r="S69" s="348"/>
      <c r="T69" s="348"/>
      <c r="U69" s="348"/>
      <c r="V69" s="348"/>
      <c r="W69" s="348"/>
      <c r="X69" s="348"/>
    </row>
    <row r="70" spans="1:24" x14ac:dyDescent="0.2">
      <c r="A70" s="348"/>
      <c r="B70" s="348"/>
      <c r="C70" s="348"/>
      <c r="D70" s="348"/>
      <c r="E70" s="348"/>
      <c r="F70" s="348"/>
      <c r="G70" s="348"/>
      <c r="H70" s="348"/>
      <c r="I70" s="348"/>
      <c r="J70" s="348"/>
      <c r="K70" s="348"/>
      <c r="L70" s="348"/>
      <c r="M70" s="348"/>
      <c r="N70" s="348"/>
      <c r="O70" s="348"/>
      <c r="P70" s="348"/>
      <c r="Q70" s="348"/>
      <c r="R70" s="348"/>
      <c r="S70" s="348"/>
      <c r="T70" s="348"/>
      <c r="U70" s="348"/>
      <c r="V70" s="348"/>
      <c r="W70" s="348"/>
      <c r="X70" s="348"/>
    </row>
    <row r="71" spans="1:24" x14ac:dyDescent="0.2">
      <c r="A71" s="348"/>
      <c r="B71" s="348"/>
      <c r="C71" s="348"/>
      <c r="D71" s="348"/>
      <c r="E71" s="348"/>
      <c r="F71" s="348"/>
      <c r="G71" s="348"/>
      <c r="H71" s="348"/>
      <c r="I71" s="348"/>
      <c r="J71" s="348"/>
      <c r="K71" s="348"/>
      <c r="L71" s="348"/>
      <c r="M71" s="348"/>
      <c r="N71" s="348"/>
      <c r="O71" s="348"/>
      <c r="P71" s="348"/>
      <c r="Q71" s="348"/>
      <c r="R71" s="348"/>
      <c r="S71" s="348"/>
      <c r="T71" s="348"/>
      <c r="U71" s="348"/>
      <c r="V71" s="348"/>
      <c r="W71" s="348"/>
      <c r="X71" s="348"/>
    </row>
    <row r="72" spans="1:24" ht="15.75" x14ac:dyDescent="0.25">
      <c r="A72" s="2069" t="s">
        <v>3354</v>
      </c>
      <c r="B72" s="2069"/>
      <c r="C72" s="2069"/>
      <c r="D72" s="2069"/>
      <c r="E72" s="2069"/>
      <c r="F72" s="2069"/>
      <c r="G72" s="2069"/>
      <c r="H72" s="2069"/>
      <c r="I72" s="2069"/>
      <c r="J72" s="2069"/>
      <c r="K72" s="2069"/>
      <c r="L72" s="2069"/>
      <c r="M72" s="2069"/>
      <c r="N72" s="2069"/>
      <c r="O72" s="2069"/>
      <c r="P72" s="2069"/>
      <c r="Q72" s="2069"/>
      <c r="R72" s="2069"/>
      <c r="S72" s="2069"/>
      <c r="T72" s="2069"/>
      <c r="U72" s="2069"/>
      <c r="V72" s="2069"/>
      <c r="W72" s="2069"/>
      <c r="X72" s="2069"/>
    </row>
    <row r="73" spans="1:24" ht="15" x14ac:dyDescent="0.25">
      <c r="A73" s="1195"/>
      <c r="B73" s="1195"/>
      <c r="C73" s="1195"/>
      <c r="D73" s="1195"/>
      <c r="E73" s="1195"/>
      <c r="F73" s="1195"/>
      <c r="G73" s="1195"/>
      <c r="H73" s="1195"/>
      <c r="I73" s="1195"/>
      <c r="J73" s="1195"/>
      <c r="K73" s="1195"/>
      <c r="L73" s="1195"/>
      <c r="M73" s="1195"/>
      <c r="N73" s="1195"/>
      <c r="O73" s="1195"/>
      <c r="P73" s="1195"/>
      <c r="Q73" s="1195"/>
      <c r="R73" s="1195"/>
      <c r="S73" s="1195"/>
      <c r="T73" s="1195"/>
      <c r="U73" s="1195"/>
      <c r="V73" s="1195"/>
      <c r="W73" s="1195"/>
      <c r="X73" s="1195"/>
    </row>
    <row r="74" spans="1:24" ht="15" x14ac:dyDescent="0.25">
      <c r="A74" s="2112" t="s">
        <v>1810</v>
      </c>
      <c r="B74" s="2112"/>
      <c r="C74" s="2112"/>
      <c r="D74" s="2112"/>
      <c r="E74" s="2112"/>
      <c r="F74" s="2112"/>
      <c r="G74" s="2112"/>
      <c r="H74" s="2112"/>
      <c r="I74" s="2112"/>
      <c r="J74" s="2112"/>
      <c r="K74" s="2112"/>
      <c r="L74" s="2112"/>
      <c r="M74" s="2112"/>
      <c r="N74" s="2112"/>
      <c r="O74" s="2112"/>
      <c r="P74" s="2112"/>
      <c r="Q74" s="2112"/>
      <c r="R74" s="2112"/>
      <c r="S74" s="2112"/>
      <c r="T74" s="2112"/>
      <c r="U74" s="2112"/>
      <c r="V74" s="2112"/>
      <c r="W74" s="2112"/>
      <c r="X74" s="2112"/>
    </row>
    <row r="75" spans="1:24" ht="15" x14ac:dyDescent="0.25">
      <c r="A75" s="1197"/>
      <c r="B75" s="1197"/>
      <c r="C75" s="1197"/>
      <c r="D75" s="1197"/>
      <c r="E75" s="1197"/>
      <c r="F75" s="1197"/>
      <c r="G75" s="1197"/>
      <c r="H75" s="1197"/>
      <c r="I75" s="1197"/>
      <c r="J75" s="1197"/>
      <c r="K75" s="1197"/>
      <c r="L75" s="1197"/>
      <c r="M75" s="1197"/>
      <c r="N75" s="1197"/>
      <c r="O75" s="1197"/>
      <c r="P75" s="1197"/>
      <c r="Q75" s="1197"/>
      <c r="R75" s="1197"/>
      <c r="S75" s="1197"/>
      <c r="T75" s="1197"/>
      <c r="U75" s="1197"/>
      <c r="V75" s="1197"/>
      <c r="W75" s="1197"/>
      <c r="X75" s="1197"/>
    </row>
    <row r="76" spans="1:24" ht="15" x14ac:dyDescent="0.25">
      <c r="A76" s="2113" t="s">
        <v>37</v>
      </c>
      <c r="B76" s="2093" t="s">
        <v>1726</v>
      </c>
      <c r="C76" s="2115" t="s">
        <v>2</v>
      </c>
      <c r="D76" s="2117" t="s">
        <v>1727</v>
      </c>
      <c r="E76" s="2117" t="s">
        <v>117</v>
      </c>
      <c r="F76" s="2117" t="s">
        <v>1728</v>
      </c>
      <c r="G76" s="2117" t="s">
        <v>1729</v>
      </c>
      <c r="H76" s="2119" t="s">
        <v>1730</v>
      </c>
      <c r="I76" s="2119"/>
      <c r="J76" s="2119"/>
      <c r="K76" s="2119"/>
      <c r="L76" s="2119"/>
      <c r="M76" s="2119"/>
      <c r="N76" s="2119"/>
      <c r="O76" s="2133"/>
      <c r="P76" s="1661"/>
      <c r="Q76" s="2120" t="s">
        <v>1731</v>
      </c>
      <c r="R76" s="2119"/>
      <c r="S76" s="2119"/>
      <c r="T76" s="2119"/>
      <c r="U76" s="2119"/>
      <c r="V76" s="2119"/>
      <c r="W76" s="2119"/>
      <c r="X76" s="2121"/>
    </row>
    <row r="77" spans="1:24" ht="90.75" customHeight="1" x14ac:dyDescent="0.2">
      <c r="A77" s="2114"/>
      <c r="B77" s="2094"/>
      <c r="C77" s="2116"/>
      <c r="D77" s="2118"/>
      <c r="E77" s="2118"/>
      <c r="F77" s="2118"/>
      <c r="G77" s="2118"/>
      <c r="H77" s="1154" t="s">
        <v>2387</v>
      </c>
      <c r="I77" s="1154" t="s">
        <v>1796</v>
      </c>
      <c r="J77" s="1154" t="s">
        <v>1797</v>
      </c>
      <c r="K77" s="1154" t="s">
        <v>1798</v>
      </c>
      <c r="L77" s="1154" t="s">
        <v>1799</v>
      </c>
      <c r="M77" s="1154" t="s">
        <v>1756</v>
      </c>
      <c r="N77" s="1154" t="s">
        <v>1757</v>
      </c>
      <c r="O77" s="1157" t="s">
        <v>1739</v>
      </c>
      <c r="P77" s="1159" t="s">
        <v>1740</v>
      </c>
      <c r="Q77" s="1227" t="s">
        <v>1741</v>
      </c>
      <c r="R77" s="1154" t="s">
        <v>1742</v>
      </c>
      <c r="S77" s="1154" t="s">
        <v>1800</v>
      </c>
      <c r="T77" s="1154" t="s">
        <v>1784</v>
      </c>
      <c r="U77" s="1154" t="s">
        <v>1745</v>
      </c>
      <c r="V77" s="1154" t="s">
        <v>1746</v>
      </c>
      <c r="W77" s="1154" t="s">
        <v>1747</v>
      </c>
      <c r="X77" s="1159" t="s">
        <v>1795</v>
      </c>
    </row>
    <row r="78" spans="1:24" ht="31.5" customHeight="1" x14ac:dyDescent="0.2">
      <c r="A78" s="1650" t="s">
        <v>231</v>
      </c>
      <c r="B78" s="1649" t="s">
        <v>262</v>
      </c>
      <c r="C78" s="1205" t="s">
        <v>3181</v>
      </c>
      <c r="D78" s="1206" t="s">
        <v>1846</v>
      </c>
      <c r="E78" s="1232" t="s">
        <v>164</v>
      </c>
      <c r="F78" s="1232" t="s">
        <v>91</v>
      </c>
      <c r="G78" s="1232" t="s">
        <v>1837</v>
      </c>
      <c r="H78" s="1285">
        <f>-4330000+4330000</f>
        <v>0</v>
      </c>
      <c r="I78" s="1285"/>
      <c r="J78" s="1285"/>
      <c r="K78" s="1285"/>
      <c r="L78" s="1285"/>
      <c r="M78" s="1285"/>
      <c r="N78" s="1285"/>
      <c r="O78" s="1285"/>
      <c r="P78" s="1286"/>
      <c r="Q78" s="1210"/>
      <c r="R78" s="1208"/>
      <c r="S78" s="1208"/>
      <c r="T78" s="1208"/>
      <c r="U78" s="1208"/>
      <c r="V78" s="1208"/>
      <c r="W78" s="1208"/>
      <c r="X78" s="1209"/>
    </row>
    <row r="79" spans="1:24" ht="39.75" customHeight="1" x14ac:dyDescent="0.2">
      <c r="A79" s="1650" t="s">
        <v>232</v>
      </c>
      <c r="B79" s="1649" t="s">
        <v>3183</v>
      </c>
      <c r="C79" s="1205" t="s">
        <v>3184</v>
      </c>
      <c r="D79" s="1206" t="s">
        <v>1846</v>
      </c>
      <c r="E79" s="1232" t="s">
        <v>164</v>
      </c>
      <c r="F79" s="1232" t="s">
        <v>91</v>
      </c>
      <c r="G79" s="1232" t="s">
        <v>1837</v>
      </c>
      <c r="H79" s="1285"/>
      <c r="I79" s="1285"/>
      <c r="J79" s="1285">
        <f>-990000+190000-216000</f>
        <v>-1016000</v>
      </c>
      <c r="K79" s="1285"/>
      <c r="L79" s="1285"/>
      <c r="M79" s="1285">
        <f>800000+216000</f>
        <v>1016000</v>
      </c>
      <c r="N79" s="1285"/>
      <c r="O79" s="1285"/>
      <c r="P79" s="1286"/>
      <c r="Q79" s="1210"/>
      <c r="R79" s="1208"/>
      <c r="S79" s="1208"/>
      <c r="T79" s="1208"/>
      <c r="U79" s="1208"/>
      <c r="V79" s="1208"/>
      <c r="W79" s="1208"/>
      <c r="X79" s="1209"/>
    </row>
    <row r="80" spans="1:24" ht="23.25" customHeight="1" x14ac:dyDescent="0.2">
      <c r="A80" s="2099" t="s">
        <v>233</v>
      </c>
      <c r="B80" s="2104" t="s">
        <v>188</v>
      </c>
      <c r="C80" s="2102" t="s">
        <v>3365</v>
      </c>
      <c r="D80" s="1206" t="s">
        <v>1846</v>
      </c>
      <c r="E80" s="1232" t="s">
        <v>1288</v>
      </c>
      <c r="F80" s="1232" t="s">
        <v>128</v>
      </c>
      <c r="G80" s="1232" t="s">
        <v>1829</v>
      </c>
      <c r="H80" s="1285"/>
      <c r="I80" s="1285"/>
      <c r="J80" s="1285"/>
      <c r="K80" s="1285"/>
      <c r="L80" s="1285"/>
      <c r="M80" s="1285"/>
      <c r="N80" s="1285"/>
      <c r="O80" s="1285"/>
      <c r="P80" s="1286"/>
      <c r="Q80" s="1210"/>
      <c r="R80" s="1208"/>
      <c r="S80" s="1208"/>
      <c r="T80" s="1208"/>
      <c r="U80" s="1208"/>
      <c r="V80" s="1208"/>
      <c r="W80" s="1208"/>
      <c r="X80" s="1209">
        <v>285750</v>
      </c>
    </row>
    <row r="81" spans="1:24" ht="23.25" customHeight="1" x14ac:dyDescent="0.2">
      <c r="A81" s="2101"/>
      <c r="B81" s="2105"/>
      <c r="C81" s="2103"/>
      <c r="D81" s="1206" t="s">
        <v>1846</v>
      </c>
      <c r="E81" s="1232" t="s">
        <v>164</v>
      </c>
      <c r="F81" s="1232" t="s">
        <v>91</v>
      </c>
      <c r="G81" s="1232" t="s">
        <v>1829</v>
      </c>
      <c r="H81" s="1285"/>
      <c r="I81" s="1285"/>
      <c r="J81" s="1285">
        <f>225000+60750</f>
        <v>285750</v>
      </c>
      <c r="K81" s="1285"/>
      <c r="L81" s="1285"/>
      <c r="M81" s="1285"/>
      <c r="N81" s="1285"/>
      <c r="O81" s="1285"/>
      <c r="P81" s="1286"/>
      <c r="Q81" s="1210"/>
      <c r="R81" s="1208"/>
      <c r="S81" s="1208"/>
      <c r="T81" s="1208"/>
      <c r="U81" s="1208"/>
      <c r="V81" s="1208"/>
      <c r="W81" s="1208"/>
      <c r="X81" s="1209"/>
    </row>
    <row r="82" spans="1:24" ht="28.5" customHeight="1" x14ac:dyDescent="0.2">
      <c r="A82" s="1646" t="s">
        <v>260</v>
      </c>
      <c r="B82" s="1643" t="s">
        <v>189</v>
      </c>
      <c r="C82" s="1641" t="s">
        <v>3373</v>
      </c>
      <c r="D82" s="1206" t="s">
        <v>1846</v>
      </c>
      <c r="E82" s="1232" t="s">
        <v>164</v>
      </c>
      <c r="F82" s="1232" t="s">
        <v>91</v>
      </c>
      <c r="G82" s="1232" t="s">
        <v>1837</v>
      </c>
      <c r="H82" s="1285">
        <f>-1143882+1143882</f>
        <v>0</v>
      </c>
      <c r="I82" s="1285"/>
      <c r="J82" s="1285"/>
      <c r="K82" s="1285"/>
      <c r="L82" s="1285"/>
      <c r="M82" s="1285"/>
      <c r="N82" s="1285"/>
      <c r="O82" s="1285"/>
      <c r="P82" s="1286"/>
      <c r="Q82" s="1210"/>
      <c r="R82" s="1208"/>
      <c r="S82" s="1208"/>
      <c r="T82" s="1208"/>
      <c r="U82" s="1208"/>
      <c r="V82" s="1208"/>
      <c r="W82" s="1208"/>
      <c r="X82" s="1209"/>
    </row>
    <row r="83" spans="1:24" ht="51.75" customHeight="1" x14ac:dyDescent="0.2">
      <c r="A83" s="1646" t="s">
        <v>261</v>
      </c>
      <c r="B83" s="1643" t="s">
        <v>190</v>
      </c>
      <c r="C83" s="1641" t="s">
        <v>3471</v>
      </c>
      <c r="D83" s="1206" t="s">
        <v>1846</v>
      </c>
      <c r="E83" s="1232" t="s">
        <v>164</v>
      </c>
      <c r="F83" s="1232" t="s">
        <v>91</v>
      </c>
      <c r="G83" s="1232" t="s">
        <v>1837</v>
      </c>
      <c r="H83" s="1285"/>
      <c r="I83" s="1285"/>
      <c r="J83" s="1285">
        <f>-400000+400000</f>
        <v>0</v>
      </c>
      <c r="K83" s="1285"/>
      <c r="L83" s="1285"/>
      <c r="M83" s="1285"/>
      <c r="N83" s="1285"/>
      <c r="O83" s="1285"/>
      <c r="P83" s="1286"/>
      <c r="Q83" s="1210"/>
      <c r="R83" s="1208"/>
      <c r="S83" s="1208"/>
      <c r="T83" s="1208"/>
      <c r="U83" s="1208"/>
      <c r="V83" s="1208"/>
      <c r="W83" s="1208"/>
      <c r="X83" s="1209"/>
    </row>
    <row r="84" spans="1:24" ht="27" customHeight="1" x14ac:dyDescent="0.2">
      <c r="A84" s="2099" t="s">
        <v>262</v>
      </c>
      <c r="B84" s="2104" t="s">
        <v>191</v>
      </c>
      <c r="C84" s="2102" t="s">
        <v>3468</v>
      </c>
      <c r="D84" s="1206" t="s">
        <v>1846</v>
      </c>
      <c r="E84" s="1232" t="s">
        <v>164</v>
      </c>
      <c r="F84" s="1232" t="s">
        <v>91</v>
      </c>
      <c r="G84" s="1232" t="s">
        <v>1828</v>
      </c>
      <c r="H84" s="1285"/>
      <c r="I84" s="1285"/>
      <c r="J84" s="1285">
        <v>-7478</v>
      </c>
      <c r="K84" s="1285"/>
      <c r="L84" s="1285"/>
      <c r="M84" s="1285"/>
      <c r="N84" s="1285"/>
      <c r="O84" s="1285"/>
      <c r="P84" s="1286"/>
      <c r="Q84" s="1210"/>
      <c r="R84" s="1208"/>
      <c r="S84" s="1208"/>
      <c r="T84" s="1208">
        <f>-95-7383</f>
        <v>-7478</v>
      </c>
      <c r="U84" s="1208"/>
      <c r="V84" s="1208"/>
      <c r="W84" s="1208"/>
      <c r="X84" s="1209"/>
    </row>
    <row r="85" spans="1:24" ht="27" customHeight="1" x14ac:dyDescent="0.2">
      <c r="A85" s="2101"/>
      <c r="B85" s="2105"/>
      <c r="C85" s="2103"/>
      <c r="D85" s="1206" t="s">
        <v>1846</v>
      </c>
      <c r="E85" s="1232" t="s">
        <v>164</v>
      </c>
      <c r="F85" s="1232" t="s">
        <v>830</v>
      </c>
      <c r="G85" s="1232" t="s">
        <v>1828</v>
      </c>
      <c r="H85" s="1285"/>
      <c r="I85" s="1285"/>
      <c r="J85" s="1285">
        <f>-1423764-42465</f>
        <v>-1466229</v>
      </c>
      <c r="K85" s="1285"/>
      <c r="L85" s="1285"/>
      <c r="M85" s="1285"/>
      <c r="N85" s="1285"/>
      <c r="O85" s="1285"/>
      <c r="P85" s="1286"/>
      <c r="Q85" s="1210"/>
      <c r="R85" s="1208"/>
      <c r="S85" s="1208"/>
      <c r="T85" s="1208">
        <v>-1466229</v>
      </c>
      <c r="U85" s="1208"/>
      <c r="V85" s="1208"/>
      <c r="W85" s="1208"/>
      <c r="X85" s="1209"/>
    </row>
    <row r="86" spans="1:24" ht="18" customHeight="1" x14ac:dyDescent="0.2">
      <c r="A86" s="1650"/>
      <c r="B86" s="1649"/>
      <c r="C86" s="1205"/>
      <c r="D86" s="1206"/>
      <c r="E86" s="1232"/>
      <c r="F86" s="1232"/>
      <c r="G86" s="1232"/>
      <c r="H86" s="1285"/>
      <c r="I86" s="1285"/>
      <c r="J86" s="1285"/>
      <c r="K86" s="1285"/>
      <c r="L86" s="1285"/>
      <c r="M86" s="1285"/>
      <c r="N86" s="1285"/>
      <c r="O86" s="1285"/>
      <c r="P86" s="1286"/>
      <c r="Q86" s="1210"/>
      <c r="R86" s="1208"/>
      <c r="S86" s="1208"/>
      <c r="T86" s="1208"/>
      <c r="U86" s="1208"/>
      <c r="V86" s="1208"/>
      <c r="W86" s="1208"/>
      <c r="X86" s="1209"/>
    </row>
    <row r="87" spans="1:24" ht="18.75" x14ac:dyDescent="0.3">
      <c r="A87" s="2082" t="s">
        <v>1749</v>
      </c>
      <c r="B87" s="2083"/>
      <c r="C87" s="2084"/>
      <c r="D87" s="1288"/>
      <c r="E87" s="1288"/>
      <c r="F87" s="1288"/>
      <c r="G87" s="1288"/>
      <c r="H87" s="1467">
        <f t="shared" ref="H87:X87" si="3">SUM(H78:H86)+H62</f>
        <v>4591120</v>
      </c>
      <c r="I87" s="1467">
        <f t="shared" si="3"/>
        <v>660880</v>
      </c>
      <c r="J87" s="1467">
        <f t="shared" si="3"/>
        <v>3954109</v>
      </c>
      <c r="K87" s="1467">
        <f t="shared" si="3"/>
        <v>0</v>
      </c>
      <c r="L87" s="1467">
        <f t="shared" si="3"/>
        <v>4801934</v>
      </c>
      <c r="M87" s="1467">
        <f t="shared" si="3"/>
        <v>1016000</v>
      </c>
      <c r="N87" s="1467">
        <f t="shared" si="3"/>
        <v>0</v>
      </c>
      <c r="O87" s="1467">
        <f t="shared" si="3"/>
        <v>0</v>
      </c>
      <c r="P87" s="1289">
        <f t="shared" si="3"/>
        <v>0</v>
      </c>
      <c r="Q87" s="1468">
        <f t="shared" si="3"/>
        <v>0</v>
      </c>
      <c r="R87" s="1467">
        <f t="shared" si="3"/>
        <v>0</v>
      </c>
      <c r="S87" s="1467">
        <f t="shared" si="3"/>
        <v>0</v>
      </c>
      <c r="T87" s="1467">
        <f t="shared" si="3"/>
        <v>4486399</v>
      </c>
      <c r="U87" s="1467">
        <f t="shared" si="3"/>
        <v>0</v>
      </c>
      <c r="V87" s="1467">
        <f t="shared" si="3"/>
        <v>0</v>
      </c>
      <c r="W87" s="1467">
        <f t="shared" si="3"/>
        <v>0</v>
      </c>
      <c r="X87" s="1289">
        <f t="shared" si="3"/>
        <v>10537644</v>
      </c>
    </row>
    <row r="88" spans="1:24" ht="15" customHeight="1" x14ac:dyDescent="0.2">
      <c r="A88" s="1220"/>
      <c r="B88" s="1220"/>
      <c r="C88" s="1220"/>
      <c r="D88" s="1290"/>
      <c r="E88" s="1291"/>
      <c r="F88" s="1291"/>
      <c r="G88" s="1292"/>
      <c r="H88" s="1293">
        <f>+'2.5. sz. Gyermekjóléti'!S9-'2.5. sz. Gyermekjóléti'!R9</f>
        <v>4591120</v>
      </c>
      <c r="I88" s="1293">
        <f>+'2.5. sz. Gyermekjóléti'!S10-'2.5. sz. Gyermekjóléti'!R10</f>
        <v>660880</v>
      </c>
      <c r="J88" s="1293">
        <f>+'2.5. sz. Gyermekjóléti'!S11-'2.5. sz. Gyermekjóléti'!R11</f>
        <v>3954109</v>
      </c>
      <c r="K88" s="1293">
        <f>+'2.5. sz. Gyermekjóléti'!S12-'2.5. sz. Gyermekjóléti'!R12</f>
        <v>0</v>
      </c>
      <c r="L88" s="1293">
        <f>+'2.5. sz. Gyermekjóléti'!S13-'2.5. sz. Gyermekjóléti'!R13</f>
        <v>4801934</v>
      </c>
      <c r="M88" s="1293">
        <f>+'2.5. sz. Gyermekjóléti'!S17-'2.5. sz. Gyermekjóléti'!R17</f>
        <v>1016000</v>
      </c>
      <c r="N88" s="1293">
        <f>+'2.5. sz. Gyermekjóléti'!S18-'2.5. sz. Gyermekjóléti'!R18</f>
        <v>0</v>
      </c>
      <c r="O88" s="1293">
        <f>+'2.5. sz. Gyermekjóléti'!S19-'2.5. sz. Gyermekjóléti'!R19</f>
        <v>0</v>
      </c>
      <c r="P88" s="1293">
        <f>+'2.5. sz. Gyermekjóléti'!S22-'2.5. sz. Gyermekjóléti'!R22</f>
        <v>0</v>
      </c>
      <c r="Q88" s="1293">
        <f>+'2.5. sz. Gyermekjóléti'!S31-'2.5. sz. Gyermekjóléti'!R31</f>
        <v>0</v>
      </c>
      <c r="R88" s="1293">
        <f>+'2.5. sz. Gyermekjóléti'!S32-'2.5. sz. Gyermekjóléti'!R32</f>
        <v>0</v>
      </c>
      <c r="S88" s="1293">
        <f>+'2.5. sz. Gyermekjóléti'!S33-'2.5. sz. Gyermekjóléti'!R33</f>
        <v>0</v>
      </c>
      <c r="T88" s="1293">
        <f>+'2.5. sz. Gyermekjóléti'!S34-'2.5. sz. Gyermekjóléti'!R34</f>
        <v>4486399</v>
      </c>
      <c r="U88" s="1293">
        <f>+'2.5. sz. Gyermekjóléti'!S35-'2.5. sz. Gyermekjóléti'!R35</f>
        <v>0</v>
      </c>
      <c r="V88" s="1293">
        <f>+'2.5. sz. Gyermekjóléti'!S36-'2.5. sz. Gyermekjóléti'!R36</f>
        <v>0</v>
      </c>
      <c r="W88" s="1293">
        <f>+'2.5. sz. Gyermekjóléti'!S37-'2.5. sz. Gyermekjóléti'!R37</f>
        <v>0</v>
      </c>
      <c r="X88" s="1293">
        <f>+'2.5. sz. Gyermekjóléti'!S39-'2.5. sz. Gyermekjóléti'!R39</f>
        <v>10537644</v>
      </c>
    </row>
    <row r="89" spans="1:24" ht="15" customHeight="1" x14ac:dyDescent="0.2">
      <c r="A89" s="1220"/>
      <c r="B89" s="1220"/>
      <c r="C89" s="1220"/>
      <c r="D89" s="1290"/>
      <c r="E89" s="1291"/>
      <c r="F89" s="1291"/>
      <c r="G89" s="1292"/>
      <c r="H89" s="1293">
        <f>+H88-H87</f>
        <v>0</v>
      </c>
      <c r="I89" s="1293">
        <f t="shared" ref="I89:X89" si="4">+I88-I87</f>
        <v>0</v>
      </c>
      <c r="J89" s="1293">
        <f t="shared" si="4"/>
        <v>0</v>
      </c>
      <c r="K89" s="1293">
        <f t="shared" si="4"/>
        <v>0</v>
      </c>
      <c r="L89" s="1293">
        <f t="shared" si="4"/>
        <v>0</v>
      </c>
      <c r="M89" s="1293">
        <f t="shared" si="4"/>
        <v>0</v>
      </c>
      <c r="N89" s="1293">
        <f t="shared" si="4"/>
        <v>0</v>
      </c>
      <c r="O89" s="1293">
        <f t="shared" si="4"/>
        <v>0</v>
      </c>
      <c r="P89" s="1293">
        <f t="shared" si="4"/>
        <v>0</v>
      </c>
      <c r="Q89" s="1293">
        <f t="shared" si="4"/>
        <v>0</v>
      </c>
      <c r="R89" s="1293">
        <f t="shared" si="4"/>
        <v>0</v>
      </c>
      <c r="S89" s="1293">
        <f t="shared" si="4"/>
        <v>0</v>
      </c>
      <c r="T89" s="1293">
        <f t="shared" si="4"/>
        <v>0</v>
      </c>
      <c r="U89" s="1293">
        <f t="shared" si="4"/>
        <v>0</v>
      </c>
      <c r="V89" s="1293">
        <f t="shared" si="4"/>
        <v>0</v>
      </c>
      <c r="W89" s="1293">
        <f t="shared" si="4"/>
        <v>0</v>
      </c>
      <c r="X89" s="1293">
        <f t="shared" si="4"/>
        <v>0</v>
      </c>
    </row>
    <row r="90" spans="1:24" ht="15.75" x14ac:dyDescent="0.25">
      <c r="A90" s="1294"/>
      <c r="B90" s="1294"/>
      <c r="C90" s="1294"/>
      <c r="D90" s="1195"/>
      <c r="E90" s="1295"/>
      <c r="F90" s="1295"/>
      <c r="G90" s="1296"/>
      <c r="H90" s="1297"/>
      <c r="I90" s="1297"/>
      <c r="J90" s="1297"/>
      <c r="K90" s="1297"/>
      <c r="L90" s="1297"/>
      <c r="M90" s="1297"/>
      <c r="N90" s="1297"/>
      <c r="O90" s="1297"/>
      <c r="P90" s="1297"/>
      <c r="Q90" s="1297"/>
      <c r="R90" s="1297"/>
      <c r="S90" s="1297"/>
      <c r="T90" s="1297"/>
      <c r="U90" s="1297"/>
      <c r="V90" s="1297"/>
      <c r="W90" s="1297"/>
      <c r="X90" s="1297"/>
    </row>
    <row r="91" spans="1:24" ht="23.25" customHeight="1" x14ac:dyDescent="0.25">
      <c r="A91" s="1197"/>
      <c r="B91" s="1197"/>
      <c r="C91" s="1197"/>
      <c r="D91" s="1197"/>
      <c r="E91" s="1197"/>
      <c r="F91" s="1197"/>
      <c r="G91" s="1197"/>
      <c r="H91" s="1224"/>
      <c r="I91" s="2108" t="s">
        <v>1750</v>
      </c>
      <c r="J91" s="2108"/>
      <c r="K91" s="2108"/>
      <c r="L91" s="2108">
        <v>117321388</v>
      </c>
      <c r="M91" s="2108"/>
      <c r="N91" s="1225"/>
      <c r="O91" s="1225"/>
      <c r="P91" s="1225"/>
      <c r="Q91" s="1225"/>
      <c r="R91" s="2108" t="s">
        <v>1751</v>
      </c>
      <c r="S91" s="2108"/>
      <c r="T91" s="2108"/>
      <c r="U91" s="2108">
        <v>117321388</v>
      </c>
      <c r="V91" s="2108"/>
      <c r="W91" s="1224"/>
      <c r="X91" s="1224"/>
    </row>
    <row r="92" spans="1:24" ht="21" customHeight="1" x14ac:dyDescent="0.25">
      <c r="A92" s="1197"/>
      <c r="B92" s="1197"/>
      <c r="C92" s="1197"/>
      <c r="D92" s="1197"/>
      <c r="E92" s="1197"/>
      <c r="F92" s="1197"/>
      <c r="G92" s="1197"/>
      <c r="H92" s="1224"/>
      <c r="I92" s="2066" t="s">
        <v>3474</v>
      </c>
      <c r="J92" s="2066"/>
      <c r="K92" s="2066"/>
      <c r="L92" s="2108">
        <f>SUM(H87:P87)</f>
        <v>15024043</v>
      </c>
      <c r="M92" s="2108"/>
      <c r="N92" s="1225"/>
      <c r="O92" s="1225"/>
      <c r="P92" s="1225"/>
      <c r="Q92" s="1225"/>
      <c r="R92" s="2066" t="s">
        <v>3474</v>
      </c>
      <c r="S92" s="2066"/>
      <c r="T92" s="2066"/>
      <c r="U92" s="2108">
        <f>SUM(Q87:X87)</f>
        <v>15024043</v>
      </c>
      <c r="V92" s="2108"/>
      <c r="W92" s="1224"/>
      <c r="X92" s="1224"/>
    </row>
    <row r="93" spans="1:24" ht="21.75" customHeight="1" x14ac:dyDescent="0.25">
      <c r="A93" s="1197"/>
      <c r="B93" s="1197"/>
      <c r="C93" s="1197"/>
      <c r="D93" s="1197"/>
      <c r="E93" s="1197"/>
      <c r="F93" s="1197"/>
      <c r="G93" s="1197"/>
      <c r="H93" s="1224"/>
      <c r="I93" s="2108" t="s">
        <v>1561</v>
      </c>
      <c r="J93" s="2108"/>
      <c r="K93" s="2108"/>
      <c r="L93" s="2108">
        <f>+L91+L92</f>
        <v>132345431</v>
      </c>
      <c r="M93" s="2108"/>
      <c r="N93" s="1225"/>
      <c r="O93" s="1225"/>
      <c r="P93" s="1225"/>
      <c r="Q93" s="1225"/>
      <c r="R93" s="2108" t="s">
        <v>1561</v>
      </c>
      <c r="S93" s="2108"/>
      <c r="T93" s="2108"/>
      <c r="U93" s="2108">
        <f>+U91+U92</f>
        <v>132345431</v>
      </c>
      <c r="V93" s="2108"/>
      <c r="W93" s="1224"/>
      <c r="X93" s="1224"/>
    </row>
    <row r="94" spans="1:24" x14ac:dyDescent="0.2">
      <c r="A94" s="348"/>
      <c r="B94" s="348"/>
      <c r="C94" s="348"/>
      <c r="D94" s="348"/>
      <c r="E94" s="348"/>
      <c r="F94" s="348"/>
      <c r="G94" s="348"/>
      <c r="H94" s="348"/>
      <c r="I94" s="348"/>
      <c r="J94" s="348"/>
      <c r="K94" s="348"/>
      <c r="L94" s="348"/>
      <c r="M94" s="348"/>
      <c r="N94" s="348"/>
      <c r="O94" s="348"/>
      <c r="P94" s="348"/>
      <c r="Q94" s="348"/>
      <c r="R94" s="348"/>
      <c r="S94" s="348"/>
      <c r="T94" s="348"/>
      <c r="U94" s="348"/>
      <c r="V94" s="348"/>
      <c r="W94" s="348"/>
      <c r="X94" s="348"/>
    </row>
    <row r="95" spans="1:24" x14ac:dyDescent="0.2">
      <c r="A95" s="348"/>
      <c r="B95" s="348"/>
      <c r="C95" s="348"/>
      <c r="D95" s="348"/>
      <c r="E95" s="348"/>
      <c r="F95" s="348"/>
      <c r="G95" s="348"/>
      <c r="H95" s="348"/>
      <c r="I95" s="348"/>
      <c r="J95" s="348"/>
      <c r="K95" s="348"/>
      <c r="L95" s="348"/>
      <c r="M95" s="348"/>
      <c r="N95" s="348"/>
      <c r="O95" s="348"/>
      <c r="P95" s="348"/>
      <c r="Q95" s="348"/>
      <c r="R95" s="348"/>
      <c r="S95" s="348"/>
      <c r="T95" s="348"/>
      <c r="U95" s="348"/>
      <c r="V95" s="348"/>
      <c r="W95" s="348"/>
      <c r="X95" s="348"/>
    </row>
    <row r="96" spans="1:24" x14ac:dyDescent="0.2">
      <c r="A96" s="348"/>
      <c r="B96" s="348"/>
      <c r="C96" s="348"/>
      <c r="D96" s="348"/>
      <c r="E96" s="348"/>
      <c r="F96" s="348"/>
      <c r="G96" s="348"/>
      <c r="H96" s="348"/>
      <c r="I96" s="348"/>
      <c r="J96" s="348"/>
      <c r="K96" s="348"/>
      <c r="L96" s="348"/>
      <c r="M96" s="348"/>
      <c r="N96" s="348"/>
      <c r="O96" s="348"/>
      <c r="P96" s="348"/>
      <c r="Q96" s="348"/>
      <c r="R96" s="348"/>
      <c r="S96" s="348"/>
      <c r="T96" s="348"/>
      <c r="U96" s="348"/>
      <c r="V96" s="348"/>
      <c r="W96" s="348"/>
      <c r="X96" s="348"/>
    </row>
    <row r="97" spans="1:24" x14ac:dyDescent="0.2">
      <c r="A97" s="348"/>
      <c r="B97" s="348"/>
      <c r="C97" s="348"/>
      <c r="D97" s="348"/>
      <c r="E97" s="348"/>
      <c r="F97" s="348"/>
      <c r="G97" s="348"/>
      <c r="H97" s="348"/>
      <c r="I97" s="348"/>
      <c r="J97" s="348"/>
      <c r="K97" s="348"/>
      <c r="L97" s="348"/>
      <c r="M97" s="348"/>
      <c r="N97" s="348"/>
      <c r="O97" s="348"/>
      <c r="P97" s="348"/>
      <c r="Q97" s="348"/>
      <c r="R97" s="348"/>
      <c r="S97" s="348"/>
      <c r="T97" s="348"/>
      <c r="U97" s="348"/>
      <c r="V97" s="348"/>
      <c r="W97" s="348"/>
      <c r="X97" s="348"/>
    </row>
    <row r="98" spans="1:24" x14ac:dyDescent="0.2">
      <c r="A98" s="348"/>
      <c r="B98" s="348"/>
      <c r="C98" s="348"/>
      <c r="D98" s="348"/>
      <c r="E98" s="348"/>
      <c r="F98" s="348"/>
      <c r="G98" s="348"/>
      <c r="H98" s="348"/>
      <c r="I98" s="348"/>
      <c r="J98" s="348"/>
      <c r="K98" s="348"/>
      <c r="L98" s="348"/>
      <c r="M98" s="348"/>
      <c r="N98" s="348"/>
      <c r="O98" s="348"/>
      <c r="P98" s="348"/>
      <c r="Q98" s="348"/>
      <c r="R98" s="348"/>
      <c r="S98" s="348"/>
      <c r="T98" s="348"/>
      <c r="U98" s="348"/>
      <c r="V98" s="348"/>
      <c r="W98" s="348"/>
      <c r="X98" s="348"/>
    </row>
    <row r="99" spans="1:24" x14ac:dyDescent="0.2">
      <c r="A99" s="348"/>
      <c r="B99" s="348"/>
      <c r="C99" s="348"/>
      <c r="D99" s="348"/>
      <c r="E99" s="348"/>
      <c r="F99" s="348"/>
      <c r="G99" s="348"/>
      <c r="H99" s="348"/>
      <c r="I99" s="348"/>
      <c r="J99" s="348"/>
      <c r="K99" s="348"/>
      <c r="L99" s="348"/>
      <c r="M99" s="348"/>
      <c r="N99" s="348"/>
      <c r="O99" s="348"/>
      <c r="P99" s="348"/>
      <c r="Q99" s="348"/>
      <c r="R99" s="348"/>
      <c r="S99" s="348"/>
      <c r="T99" s="348"/>
      <c r="U99" s="348"/>
      <c r="V99" s="348"/>
      <c r="W99" s="348"/>
      <c r="X99" s="348"/>
    </row>
    <row r="100" spans="1:24" x14ac:dyDescent="0.2">
      <c r="A100" s="348"/>
      <c r="B100" s="348"/>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row>
    <row r="101" spans="1:24" x14ac:dyDescent="0.2">
      <c r="A101" s="348"/>
      <c r="B101" s="348"/>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row>
    <row r="102" spans="1:24" x14ac:dyDescent="0.2">
      <c r="A102" s="348"/>
      <c r="B102" s="348"/>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row>
    <row r="103" spans="1:24" x14ac:dyDescent="0.2">
      <c r="A103" s="348"/>
      <c r="B103" s="348"/>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row>
    <row r="104" spans="1:24" x14ac:dyDescent="0.2">
      <c r="A104" s="348"/>
      <c r="B104" s="348"/>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row>
    <row r="105" spans="1:24" x14ac:dyDescent="0.2">
      <c r="A105" s="348"/>
      <c r="B105" s="348"/>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row>
    <row r="106" spans="1:24" x14ac:dyDescent="0.2">
      <c r="A106" s="348"/>
      <c r="B106" s="348"/>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row>
    <row r="107" spans="1:24" x14ac:dyDescent="0.2">
      <c r="A107" s="348"/>
      <c r="B107" s="348"/>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row>
    <row r="108" spans="1:24" x14ac:dyDescent="0.2">
      <c r="A108" s="348"/>
      <c r="B108" s="348"/>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row>
    <row r="109" spans="1:24" x14ac:dyDescent="0.2">
      <c r="A109" s="348"/>
      <c r="B109" s="348"/>
      <c r="C109" s="348"/>
      <c r="D109" s="348"/>
      <c r="E109" s="348"/>
      <c r="F109" s="348"/>
      <c r="G109" s="348"/>
      <c r="H109" s="348"/>
      <c r="I109" s="348"/>
      <c r="J109" s="348"/>
      <c r="K109" s="348"/>
      <c r="L109" s="348"/>
      <c r="M109" s="348"/>
      <c r="N109" s="348"/>
      <c r="O109" s="348"/>
      <c r="P109" s="348"/>
      <c r="Q109" s="348"/>
      <c r="R109" s="348"/>
      <c r="S109" s="348"/>
      <c r="T109" s="348"/>
      <c r="U109" s="348"/>
      <c r="V109" s="348"/>
      <c r="W109" s="348"/>
      <c r="X109" s="348"/>
    </row>
    <row r="110" spans="1:24" x14ac:dyDescent="0.2">
      <c r="A110" s="348"/>
      <c r="B110" s="348"/>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row>
    <row r="111" spans="1:24" x14ac:dyDescent="0.2">
      <c r="A111" s="348"/>
      <c r="B111" s="348"/>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row>
    <row r="112" spans="1:24" x14ac:dyDescent="0.2">
      <c r="A112" s="348"/>
      <c r="B112" s="348"/>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row>
    <row r="113" spans="1:24" x14ac:dyDescent="0.2">
      <c r="A113" s="348"/>
      <c r="B113" s="348"/>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row>
    <row r="114" spans="1:24" x14ac:dyDescent="0.2">
      <c r="A114" s="348"/>
      <c r="B114" s="348"/>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row>
    <row r="115" spans="1:24" x14ac:dyDescent="0.2">
      <c r="A115" s="348"/>
      <c r="B115" s="348"/>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row>
    <row r="116" spans="1:24" x14ac:dyDescent="0.2">
      <c r="A116" s="348"/>
      <c r="B116" s="348"/>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row>
    <row r="117" spans="1:24" x14ac:dyDescent="0.2">
      <c r="A117" s="348"/>
      <c r="B117" s="348"/>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row>
  </sheetData>
  <mergeCells count="117">
    <mergeCell ref="R46:T46"/>
    <mergeCell ref="U46:V46"/>
    <mergeCell ref="I44:K44"/>
    <mergeCell ref="L44:M44"/>
    <mergeCell ref="R44:T44"/>
    <mergeCell ref="U44:V44"/>
    <mergeCell ref="I45:K45"/>
    <mergeCell ref="L45:M45"/>
    <mergeCell ref="R45:T45"/>
    <mergeCell ref="U45:V45"/>
    <mergeCell ref="D27:D28"/>
    <mergeCell ref="E27:E28"/>
    <mergeCell ref="F27:F28"/>
    <mergeCell ref="G27:G28"/>
    <mergeCell ref="H27:O27"/>
    <mergeCell ref="I46:K46"/>
    <mergeCell ref="C32:C33"/>
    <mergeCell ref="B32:B33"/>
    <mergeCell ref="A32:A33"/>
    <mergeCell ref="L46:M46"/>
    <mergeCell ref="A1:X1"/>
    <mergeCell ref="A3:X3"/>
    <mergeCell ref="A5:A6"/>
    <mergeCell ref="B5:B6"/>
    <mergeCell ref="C5:C6"/>
    <mergeCell ref="D5:D6"/>
    <mergeCell ref="E5:E6"/>
    <mergeCell ref="F5:F6"/>
    <mergeCell ref="G5:G6"/>
    <mergeCell ref="H5:O5"/>
    <mergeCell ref="Q5:X5"/>
    <mergeCell ref="C10:C11"/>
    <mergeCell ref="B10:B11"/>
    <mergeCell ref="A10:A11"/>
    <mergeCell ref="R19:T19"/>
    <mergeCell ref="U19:V19"/>
    <mergeCell ref="I19:K19"/>
    <mergeCell ref="L19:M19"/>
    <mergeCell ref="A14:C14"/>
    <mergeCell ref="A25:X25"/>
    <mergeCell ref="I18:K18"/>
    <mergeCell ref="L18:M18"/>
    <mergeCell ref="C12:C13"/>
    <mergeCell ref="B12:B13"/>
    <mergeCell ref="A12:A13"/>
    <mergeCell ref="R18:T18"/>
    <mergeCell ref="U18:V18"/>
    <mergeCell ref="I20:K20"/>
    <mergeCell ref="L20:M20"/>
    <mergeCell ref="R20:T20"/>
    <mergeCell ref="U20:V20"/>
    <mergeCell ref="A23:X23"/>
    <mergeCell ref="Q27:X27"/>
    <mergeCell ref="A62:C62"/>
    <mergeCell ref="I66:K66"/>
    <mergeCell ref="A51:X51"/>
    <mergeCell ref="A53:X53"/>
    <mergeCell ref="A55:A56"/>
    <mergeCell ref="B55:B56"/>
    <mergeCell ref="C55:C56"/>
    <mergeCell ref="D55:D56"/>
    <mergeCell ref="E55:E56"/>
    <mergeCell ref="F55:F56"/>
    <mergeCell ref="G55:G56"/>
    <mergeCell ref="H55:O55"/>
    <mergeCell ref="Q55:X55"/>
    <mergeCell ref="C58:C59"/>
    <mergeCell ref="B58:B59"/>
    <mergeCell ref="A58:A59"/>
    <mergeCell ref="A40:C40"/>
    <mergeCell ref="C29:C30"/>
    <mergeCell ref="B29:B30"/>
    <mergeCell ref="A29:A30"/>
    <mergeCell ref="A27:A28"/>
    <mergeCell ref="B27:B28"/>
    <mergeCell ref="C27:C28"/>
    <mergeCell ref="I68:K68"/>
    <mergeCell ref="L68:M68"/>
    <mergeCell ref="R68:T68"/>
    <mergeCell ref="U68:V68"/>
    <mergeCell ref="L66:M66"/>
    <mergeCell ref="R66:T66"/>
    <mergeCell ref="U66:V66"/>
    <mergeCell ref="I67:K67"/>
    <mergeCell ref="L67:M67"/>
    <mergeCell ref="R67:T67"/>
    <mergeCell ref="U67:V67"/>
    <mergeCell ref="A72:X72"/>
    <mergeCell ref="A74:X74"/>
    <mergeCell ref="A76:A77"/>
    <mergeCell ref="B76:B77"/>
    <mergeCell ref="C76:C77"/>
    <mergeCell ref="D76:D77"/>
    <mergeCell ref="E76:E77"/>
    <mergeCell ref="F76:F77"/>
    <mergeCell ref="G76:G77"/>
    <mergeCell ref="H76:O76"/>
    <mergeCell ref="Q76:X76"/>
    <mergeCell ref="C80:C81"/>
    <mergeCell ref="B80:B81"/>
    <mergeCell ref="A80:A81"/>
    <mergeCell ref="I92:K92"/>
    <mergeCell ref="L92:M92"/>
    <mergeCell ref="R92:T92"/>
    <mergeCell ref="U92:V92"/>
    <mergeCell ref="I93:K93"/>
    <mergeCell ref="L93:M93"/>
    <mergeCell ref="R93:T93"/>
    <mergeCell ref="U93:V93"/>
    <mergeCell ref="A87:C87"/>
    <mergeCell ref="I91:K91"/>
    <mergeCell ref="L91:M91"/>
    <mergeCell ref="R91:T91"/>
    <mergeCell ref="U91:V91"/>
    <mergeCell ref="C84:C85"/>
    <mergeCell ref="B84:B85"/>
    <mergeCell ref="A84:A85"/>
  </mergeCells>
  <pageMargins left="0.51181102362204722" right="0.51181102362204722" top="0.74803149606299213" bottom="0.74803149606299213" header="0.31496062992125984" footer="0.31496062992125984"/>
  <pageSetup paperSize="9" scale="52" orientation="landscape" r:id="rId1"/>
  <headerFooter>
    <oddHeader>&amp;C2023. évi költségvetés&amp;RDunaharaszti Család- és Gyermekjóléti Szolgálat előirányzat-módosítása</oddHeader>
    <oddFooter>&amp;C&amp;P/&amp;N</oddFooter>
  </headerFooter>
  <rowBreaks count="2" manualBreakCount="2">
    <brk id="35" max="23" man="1"/>
    <brk id="68" max="2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X128"/>
  <sheetViews>
    <sheetView view="pageBreakPreview" topLeftCell="A88" zoomScale="90" zoomScaleNormal="100" zoomScaleSheetLayoutView="90" workbookViewId="0">
      <selection activeCell="R27" sqref="R27:T27"/>
    </sheetView>
  </sheetViews>
  <sheetFormatPr defaultRowHeight="12.75" x14ac:dyDescent="0.2"/>
  <cols>
    <col min="1" max="1" width="4.5703125" customWidth="1"/>
    <col min="2" max="2" width="4.42578125" customWidth="1"/>
    <col min="3" max="3" width="35" customWidth="1"/>
    <col min="4" max="4" width="6.42578125" customWidth="1"/>
    <col min="5" max="5" width="6.5703125" customWidth="1"/>
    <col min="6" max="6" width="5.140625" customWidth="1"/>
    <col min="7" max="7" width="5.5703125" customWidth="1"/>
    <col min="8" max="9" width="12.42578125" customWidth="1"/>
    <col min="10" max="10" width="11.42578125" customWidth="1"/>
    <col min="11" max="11" width="11" customWidth="1"/>
    <col min="12" max="12" width="13.140625" customWidth="1"/>
    <col min="13" max="13" width="11.42578125" customWidth="1"/>
    <col min="14" max="15" width="10.7109375" customWidth="1"/>
    <col min="16" max="16" width="11.28515625" customWidth="1"/>
    <col min="17" max="17" width="13.42578125" customWidth="1"/>
    <col min="18" max="18" width="13.5703125" customWidth="1"/>
    <col min="19" max="19" width="11.5703125" customWidth="1"/>
    <col min="20" max="21" width="11" customWidth="1"/>
    <col min="22" max="22" width="11.28515625" customWidth="1"/>
    <col min="23" max="23" width="11.42578125" customWidth="1"/>
    <col min="24" max="24" width="13" customWidth="1"/>
  </cols>
  <sheetData>
    <row r="1" spans="1:24" ht="15.75" x14ac:dyDescent="0.25">
      <c r="A1" s="2069" t="s">
        <v>2024</v>
      </c>
      <c r="B1" s="2069"/>
      <c r="C1" s="2069"/>
      <c r="D1" s="2069"/>
      <c r="E1" s="2069"/>
      <c r="F1" s="2069"/>
      <c r="G1" s="2069"/>
      <c r="H1" s="2069"/>
      <c r="I1" s="2069"/>
      <c r="J1" s="2069"/>
      <c r="K1" s="2069"/>
      <c r="L1" s="2069"/>
      <c r="M1" s="2069"/>
      <c r="N1" s="2069"/>
      <c r="O1" s="2069"/>
      <c r="P1" s="2069"/>
      <c r="Q1" s="2069"/>
      <c r="R1" s="2069"/>
      <c r="S1" s="2069"/>
      <c r="T1" s="2069"/>
      <c r="U1" s="2069"/>
      <c r="V1" s="2069"/>
      <c r="W1" s="2069"/>
      <c r="X1" s="2069"/>
    </row>
    <row r="2" spans="1:24" ht="15" x14ac:dyDescent="0.25">
      <c r="A2" s="1298"/>
      <c r="B2" s="1298"/>
      <c r="C2" s="1299"/>
      <c r="D2" s="1300"/>
      <c r="E2" s="1300"/>
      <c r="F2" s="1300"/>
      <c r="G2" s="1300"/>
      <c r="H2" s="1300"/>
      <c r="I2" s="1300"/>
      <c r="J2" s="1300"/>
      <c r="K2" s="1300"/>
      <c r="L2" s="1300"/>
      <c r="M2" s="1300"/>
      <c r="N2" s="1300"/>
      <c r="O2" s="1300"/>
      <c r="P2" s="1300"/>
      <c r="Q2" s="1300"/>
      <c r="R2" s="1300"/>
      <c r="S2" s="1300"/>
      <c r="T2" s="1300"/>
      <c r="U2" s="1300"/>
      <c r="V2" s="1300"/>
      <c r="W2" s="1300"/>
      <c r="X2" s="1300"/>
    </row>
    <row r="3" spans="1:24" ht="15" x14ac:dyDescent="0.25">
      <c r="A3" s="2188" t="s">
        <v>600</v>
      </c>
      <c r="B3" s="2188"/>
      <c r="C3" s="2188"/>
      <c r="D3" s="2188"/>
      <c r="E3" s="2188"/>
      <c r="F3" s="2188"/>
      <c r="G3" s="2188"/>
      <c r="H3" s="2188"/>
      <c r="I3" s="2188"/>
      <c r="J3" s="2188"/>
      <c r="K3" s="2188"/>
      <c r="L3" s="2188"/>
      <c r="M3" s="2188"/>
      <c r="N3" s="2188"/>
      <c r="O3" s="2188"/>
      <c r="P3" s="2188"/>
      <c r="Q3" s="2188"/>
      <c r="R3" s="2188"/>
      <c r="S3" s="2188"/>
      <c r="T3" s="2188"/>
      <c r="U3" s="2188"/>
      <c r="V3" s="2188"/>
      <c r="W3" s="2188"/>
      <c r="X3" s="2188"/>
    </row>
    <row r="4" spans="1:24" ht="15" x14ac:dyDescent="0.25">
      <c r="A4" s="1190"/>
      <c r="B4" s="1190"/>
      <c r="C4" s="1191"/>
      <c r="D4" s="1192"/>
      <c r="E4" s="1192"/>
      <c r="F4" s="1192"/>
      <c r="G4" s="1192"/>
      <c r="H4" s="1192"/>
      <c r="I4" s="1192"/>
      <c r="J4" s="1192"/>
      <c r="K4" s="1192"/>
      <c r="L4" s="1192"/>
      <c r="M4" s="1192"/>
      <c r="N4" s="1192"/>
      <c r="O4" s="1192"/>
      <c r="P4" s="1192"/>
      <c r="Q4" s="1301"/>
      <c r="R4" s="1192"/>
      <c r="S4" s="1192"/>
      <c r="T4" s="1192"/>
      <c r="U4" s="1192"/>
      <c r="V4" s="1192"/>
      <c r="W4" s="1192"/>
      <c r="X4" s="1192"/>
    </row>
    <row r="5" spans="1:24" ht="15" x14ac:dyDescent="0.25">
      <c r="A5" s="2070" t="s">
        <v>37</v>
      </c>
      <c r="B5" s="2093" t="s">
        <v>1726</v>
      </c>
      <c r="C5" s="2074" t="s">
        <v>2</v>
      </c>
      <c r="D5" s="2076" t="s">
        <v>1727</v>
      </c>
      <c r="E5" s="2076" t="s">
        <v>117</v>
      </c>
      <c r="F5" s="2076" t="s">
        <v>1728</v>
      </c>
      <c r="G5" s="2076" t="s">
        <v>1729</v>
      </c>
      <c r="H5" s="2078" t="s">
        <v>1730</v>
      </c>
      <c r="I5" s="2078"/>
      <c r="J5" s="2078"/>
      <c r="K5" s="2078"/>
      <c r="L5" s="2078"/>
      <c r="M5" s="2078"/>
      <c r="N5" s="2078"/>
      <c r="O5" s="2079"/>
      <c r="P5" s="1153"/>
      <c r="Q5" s="2095" t="s">
        <v>1731</v>
      </c>
      <c r="R5" s="2078"/>
      <c r="S5" s="2078"/>
      <c r="T5" s="2078"/>
      <c r="U5" s="2078"/>
      <c r="V5" s="2078"/>
      <c r="W5" s="2078"/>
      <c r="X5" s="2081"/>
    </row>
    <row r="6" spans="1:24" ht="89.25" customHeight="1" x14ac:dyDescent="0.2">
      <c r="A6" s="2071"/>
      <c r="B6" s="2094"/>
      <c r="C6" s="2075"/>
      <c r="D6" s="2077"/>
      <c r="E6" s="2077"/>
      <c r="F6" s="2077"/>
      <c r="G6" s="2077"/>
      <c r="H6" s="1154" t="s">
        <v>2382</v>
      </c>
      <c r="I6" s="1154" t="s">
        <v>1801</v>
      </c>
      <c r="J6" s="1154" t="s">
        <v>1797</v>
      </c>
      <c r="K6" s="1154" t="s">
        <v>1735</v>
      </c>
      <c r="L6" s="1154" t="s">
        <v>1736</v>
      </c>
      <c r="M6" s="1154" t="s">
        <v>1737</v>
      </c>
      <c r="N6" s="1154" t="s">
        <v>1738</v>
      </c>
      <c r="O6" s="1156" t="s">
        <v>1739</v>
      </c>
      <c r="P6" s="1157" t="s">
        <v>1740</v>
      </c>
      <c r="Q6" s="1158" t="s">
        <v>1741</v>
      </c>
      <c r="R6" s="1155" t="s">
        <v>1742</v>
      </c>
      <c r="S6" s="1154" t="s">
        <v>1743</v>
      </c>
      <c r="T6" s="1154" t="s">
        <v>1744</v>
      </c>
      <c r="U6" s="1155" t="s">
        <v>1745</v>
      </c>
      <c r="V6" s="1155" t="s">
        <v>1746</v>
      </c>
      <c r="W6" s="1155" t="s">
        <v>1747</v>
      </c>
      <c r="X6" s="1159" t="s">
        <v>1748</v>
      </c>
    </row>
    <row r="7" spans="1:24" ht="30" customHeight="1" x14ac:dyDescent="0.2">
      <c r="A7" s="1495" t="s">
        <v>188</v>
      </c>
      <c r="B7" s="1160" t="s">
        <v>194</v>
      </c>
      <c r="C7" s="1161" t="s">
        <v>1836</v>
      </c>
      <c r="D7" s="1201" t="s">
        <v>1839</v>
      </c>
      <c r="E7" s="1232" t="s">
        <v>162</v>
      </c>
      <c r="F7" s="1232" t="s">
        <v>132</v>
      </c>
      <c r="G7" s="1232" t="s">
        <v>1837</v>
      </c>
      <c r="H7" s="1302">
        <f>-200000+200000</f>
        <v>0</v>
      </c>
      <c r="I7" s="1303"/>
      <c r="J7" s="1302"/>
      <c r="K7" s="1302"/>
      <c r="L7" s="1302"/>
      <c r="M7" s="1302"/>
      <c r="N7" s="1302"/>
      <c r="O7" s="1303"/>
      <c r="P7" s="1304"/>
      <c r="Q7" s="1305"/>
      <c r="R7" s="1303"/>
      <c r="S7" s="1302"/>
      <c r="T7" s="1302"/>
      <c r="U7" s="1303"/>
      <c r="V7" s="1303"/>
      <c r="W7" s="1303"/>
      <c r="X7" s="1304"/>
    </row>
    <row r="8" spans="1:24" ht="28.5" customHeight="1" x14ac:dyDescent="0.2">
      <c r="A8" s="1494" t="s">
        <v>189</v>
      </c>
      <c r="B8" s="1313" t="s">
        <v>195</v>
      </c>
      <c r="C8" s="1169" t="s">
        <v>1841</v>
      </c>
      <c r="D8" s="1206" t="s">
        <v>1839</v>
      </c>
      <c r="E8" s="1232" t="s">
        <v>162</v>
      </c>
      <c r="F8" s="1232" t="s">
        <v>91</v>
      </c>
      <c r="G8" s="1232" t="s">
        <v>1837</v>
      </c>
      <c r="H8" s="1306">
        <f>-200000+200000</f>
        <v>0</v>
      </c>
      <c r="I8" s="1307"/>
      <c r="J8" s="1306"/>
      <c r="K8" s="1306"/>
      <c r="L8" s="1306"/>
      <c r="M8" s="1306"/>
      <c r="N8" s="1306"/>
      <c r="O8" s="1307"/>
      <c r="P8" s="1308"/>
      <c r="Q8" s="1309"/>
      <c r="R8" s="1307"/>
      <c r="S8" s="1306"/>
      <c r="T8" s="1306"/>
      <c r="U8" s="1307"/>
      <c r="V8" s="1307"/>
      <c r="W8" s="1307"/>
      <c r="X8" s="1308"/>
    </row>
    <row r="9" spans="1:24" ht="53.25" customHeight="1" x14ac:dyDescent="0.2">
      <c r="A9" s="1494" t="s">
        <v>190</v>
      </c>
      <c r="B9" s="1313" t="s">
        <v>196</v>
      </c>
      <c r="C9" s="1169" t="s">
        <v>2196</v>
      </c>
      <c r="D9" s="1206" t="s">
        <v>1839</v>
      </c>
      <c r="E9" s="1232" t="s">
        <v>162</v>
      </c>
      <c r="F9" s="1232" t="s">
        <v>152</v>
      </c>
      <c r="G9" s="1232" t="s">
        <v>1829</v>
      </c>
      <c r="H9" s="1306"/>
      <c r="I9" s="1306"/>
      <c r="J9" s="1306">
        <f>78740+21260</f>
        <v>100000</v>
      </c>
      <c r="K9" s="1306"/>
      <c r="L9" s="1306"/>
      <c r="M9" s="1306"/>
      <c r="N9" s="1306"/>
      <c r="O9" s="1306"/>
      <c r="P9" s="1308"/>
      <c r="Q9" s="1310">
        <v>100000</v>
      </c>
      <c r="R9" s="1306"/>
      <c r="S9" s="1306"/>
      <c r="T9" s="1306"/>
      <c r="U9" s="1306"/>
      <c r="V9" s="1306"/>
      <c r="W9" s="1306"/>
      <c r="X9" s="1308"/>
    </row>
    <row r="10" spans="1:24" ht="42.75" customHeight="1" x14ac:dyDescent="0.2">
      <c r="A10" s="1397" t="s">
        <v>1940</v>
      </c>
      <c r="B10" s="1398" t="s">
        <v>1941</v>
      </c>
      <c r="C10" s="1169" t="s">
        <v>2197</v>
      </c>
      <c r="D10" s="1206" t="s">
        <v>1839</v>
      </c>
      <c r="E10" s="1232" t="s">
        <v>162</v>
      </c>
      <c r="F10" s="1232" t="s">
        <v>91</v>
      </c>
      <c r="G10" s="1232" t="s">
        <v>1829</v>
      </c>
      <c r="H10" s="1306"/>
      <c r="I10" s="1306"/>
      <c r="J10" s="1306">
        <v>3192</v>
      </c>
      <c r="K10" s="1306"/>
      <c r="L10" s="1306"/>
      <c r="M10" s="1306"/>
      <c r="N10" s="1306"/>
      <c r="O10" s="1306"/>
      <c r="P10" s="1308"/>
      <c r="Q10" s="1310"/>
      <c r="R10" s="1306"/>
      <c r="S10" s="1306"/>
      <c r="T10" s="1306">
        <v>3192</v>
      </c>
      <c r="U10" s="1306"/>
      <c r="V10" s="1306"/>
      <c r="W10" s="1306"/>
      <c r="X10" s="1308"/>
    </row>
    <row r="11" spans="1:24" ht="39.75" customHeight="1" x14ac:dyDescent="0.2">
      <c r="A11" s="1494" t="s">
        <v>193</v>
      </c>
      <c r="B11" s="1313" t="s">
        <v>225</v>
      </c>
      <c r="C11" s="1169" t="s">
        <v>2198</v>
      </c>
      <c r="D11" s="1206" t="s">
        <v>1839</v>
      </c>
      <c r="E11" s="1232" t="s">
        <v>162</v>
      </c>
      <c r="F11" s="1232" t="s">
        <v>91</v>
      </c>
      <c r="G11" s="1311" t="s">
        <v>1837</v>
      </c>
      <c r="H11" s="1306"/>
      <c r="I11" s="1306"/>
      <c r="J11" s="1306"/>
      <c r="K11" s="1306"/>
      <c r="L11" s="1306"/>
      <c r="M11" s="1306">
        <f>-7079+7079</f>
        <v>0</v>
      </c>
      <c r="N11" s="1306"/>
      <c r="O11" s="1306"/>
      <c r="P11" s="1308"/>
      <c r="Q11" s="1310"/>
      <c r="R11" s="1306"/>
      <c r="S11" s="1306"/>
      <c r="T11" s="1306"/>
      <c r="U11" s="1306"/>
      <c r="V11" s="1306"/>
      <c r="W11" s="1306"/>
      <c r="X11" s="1308"/>
    </row>
    <row r="12" spans="1:24" ht="28.5" customHeight="1" x14ac:dyDescent="0.2">
      <c r="A12" s="2052" t="s">
        <v>194</v>
      </c>
      <c r="B12" s="2054" t="s">
        <v>226</v>
      </c>
      <c r="C12" s="2056" t="s">
        <v>2199</v>
      </c>
      <c r="D12" s="1206" t="s">
        <v>1839</v>
      </c>
      <c r="E12" s="1232" t="s">
        <v>1288</v>
      </c>
      <c r="F12" s="1232" t="s">
        <v>128</v>
      </c>
      <c r="G12" s="1311" t="s">
        <v>1829</v>
      </c>
      <c r="H12" s="1306"/>
      <c r="I12" s="1306"/>
      <c r="J12" s="1306"/>
      <c r="K12" s="1306"/>
      <c r="L12" s="1306"/>
      <c r="M12" s="1306"/>
      <c r="N12" s="1306"/>
      <c r="O12" s="1306"/>
      <c r="P12" s="1308"/>
      <c r="Q12" s="1310"/>
      <c r="R12" s="1306"/>
      <c r="S12" s="1306"/>
      <c r="T12" s="1306"/>
      <c r="U12" s="1306"/>
      <c r="V12" s="1306"/>
      <c r="W12" s="1306"/>
      <c r="X12" s="1308">
        <v>320000</v>
      </c>
    </row>
    <row r="13" spans="1:24" ht="28.5" customHeight="1" x14ac:dyDescent="0.2">
      <c r="A13" s="2053"/>
      <c r="B13" s="2055"/>
      <c r="C13" s="2057"/>
      <c r="D13" s="1206" t="s">
        <v>1839</v>
      </c>
      <c r="E13" s="1232" t="s">
        <v>162</v>
      </c>
      <c r="F13" s="1232" t="s">
        <v>152</v>
      </c>
      <c r="G13" s="1311" t="s">
        <v>1829</v>
      </c>
      <c r="H13" s="1306"/>
      <c r="I13" s="1306"/>
      <c r="J13" s="1306">
        <f>251969+68031</f>
        <v>320000</v>
      </c>
      <c r="K13" s="1306"/>
      <c r="L13" s="1306"/>
      <c r="M13" s="1306"/>
      <c r="N13" s="1306"/>
      <c r="O13" s="1306"/>
      <c r="P13" s="1308"/>
      <c r="Q13" s="1310"/>
      <c r="R13" s="1306"/>
      <c r="S13" s="1306"/>
      <c r="T13" s="1306"/>
      <c r="U13" s="1306"/>
      <c r="V13" s="1306"/>
      <c r="W13" s="1306"/>
      <c r="X13" s="1308"/>
    </row>
    <row r="14" spans="1:24" ht="19.5" customHeight="1" x14ac:dyDescent="0.2">
      <c r="A14" s="2052" t="s">
        <v>195</v>
      </c>
      <c r="B14" s="2054" t="s">
        <v>227</v>
      </c>
      <c r="C14" s="2056" t="s">
        <v>2200</v>
      </c>
      <c r="D14" s="1206" t="s">
        <v>1839</v>
      </c>
      <c r="E14" s="1232" t="s">
        <v>1288</v>
      </c>
      <c r="F14" s="1232" t="s">
        <v>128</v>
      </c>
      <c r="G14" s="1311" t="s">
        <v>1829</v>
      </c>
      <c r="H14" s="1306"/>
      <c r="I14" s="1306"/>
      <c r="J14" s="1306"/>
      <c r="K14" s="1306"/>
      <c r="L14" s="1306"/>
      <c r="M14" s="1306"/>
      <c r="N14" s="1306"/>
      <c r="O14" s="1306"/>
      <c r="P14" s="1308"/>
      <c r="Q14" s="1310"/>
      <c r="R14" s="1306"/>
      <c r="S14" s="1306"/>
      <c r="T14" s="1306"/>
      <c r="U14" s="1306"/>
      <c r="V14" s="1306"/>
      <c r="W14" s="1306"/>
      <c r="X14" s="1308">
        <v>129477</v>
      </c>
    </row>
    <row r="15" spans="1:24" ht="19.5" customHeight="1" x14ac:dyDescent="0.2">
      <c r="A15" s="2061"/>
      <c r="B15" s="2060"/>
      <c r="C15" s="2065"/>
      <c r="D15" s="1206" t="s">
        <v>1839</v>
      </c>
      <c r="E15" s="1232" t="s">
        <v>162</v>
      </c>
      <c r="F15" s="1232" t="s">
        <v>91</v>
      </c>
      <c r="G15" s="1311" t="s">
        <v>1829</v>
      </c>
      <c r="H15" s="1306"/>
      <c r="I15" s="1306"/>
      <c r="J15" s="1306">
        <f>83370+22510</f>
        <v>105880</v>
      </c>
      <c r="K15" s="1306"/>
      <c r="L15" s="1306"/>
      <c r="M15" s="1306"/>
      <c r="N15" s="1306"/>
      <c r="O15" s="1306"/>
      <c r="P15" s="1308"/>
      <c r="Q15" s="1310"/>
      <c r="R15" s="1306"/>
      <c r="S15" s="1306"/>
      <c r="T15" s="1306"/>
      <c r="U15" s="1306"/>
      <c r="V15" s="1306"/>
      <c r="W15" s="1306"/>
      <c r="X15" s="1308"/>
    </row>
    <row r="16" spans="1:24" ht="19.5" customHeight="1" x14ac:dyDescent="0.2">
      <c r="A16" s="2053"/>
      <c r="B16" s="2055"/>
      <c r="C16" s="2057"/>
      <c r="D16" s="1206" t="s">
        <v>1839</v>
      </c>
      <c r="E16" s="1232" t="s">
        <v>162</v>
      </c>
      <c r="F16" s="1232" t="s">
        <v>132</v>
      </c>
      <c r="G16" s="1311" t="s">
        <v>1829</v>
      </c>
      <c r="H16" s="1306"/>
      <c r="I16" s="1306"/>
      <c r="J16" s="1306">
        <f>18580+5017</f>
        <v>23597</v>
      </c>
      <c r="K16" s="1306"/>
      <c r="L16" s="1306"/>
      <c r="M16" s="1306"/>
      <c r="N16" s="1306"/>
      <c r="O16" s="1306"/>
      <c r="P16" s="1308"/>
      <c r="Q16" s="1310"/>
      <c r="R16" s="1306"/>
      <c r="S16" s="1306"/>
      <c r="T16" s="1306"/>
      <c r="U16" s="1306"/>
      <c r="V16" s="1306"/>
      <c r="W16" s="1306"/>
      <c r="X16" s="1308"/>
    </row>
    <row r="17" spans="1:24" ht="21.75" customHeight="1" x14ac:dyDescent="0.2">
      <c r="A17" s="2052" t="s">
        <v>196</v>
      </c>
      <c r="B17" s="2054" t="s">
        <v>228</v>
      </c>
      <c r="C17" s="2056" t="s">
        <v>2201</v>
      </c>
      <c r="D17" s="1206" t="s">
        <v>1839</v>
      </c>
      <c r="E17" s="1232" t="s">
        <v>1288</v>
      </c>
      <c r="F17" s="1232" t="s">
        <v>128</v>
      </c>
      <c r="G17" s="1311" t="s">
        <v>1829</v>
      </c>
      <c r="H17" s="1306"/>
      <c r="I17" s="1306"/>
      <c r="J17" s="1306"/>
      <c r="K17" s="1306"/>
      <c r="L17" s="1306"/>
      <c r="M17" s="1306"/>
      <c r="N17" s="1306"/>
      <c r="O17" s="1306"/>
      <c r="P17" s="1308"/>
      <c r="Q17" s="1310"/>
      <c r="R17" s="1306"/>
      <c r="S17" s="1306"/>
      <c r="T17" s="1306"/>
      <c r="U17" s="1306"/>
      <c r="V17" s="1306"/>
      <c r="W17" s="1306"/>
      <c r="X17" s="1308">
        <v>4356080</v>
      </c>
    </row>
    <row r="18" spans="1:24" ht="21.75" customHeight="1" x14ac:dyDescent="0.2">
      <c r="A18" s="2053"/>
      <c r="B18" s="2055"/>
      <c r="C18" s="2057"/>
      <c r="D18" s="1206" t="s">
        <v>1839</v>
      </c>
      <c r="E18" s="1232" t="s">
        <v>162</v>
      </c>
      <c r="F18" s="1232" t="s">
        <v>91</v>
      </c>
      <c r="G18" s="1311" t="s">
        <v>1829</v>
      </c>
      <c r="H18" s="1306"/>
      <c r="I18" s="1306"/>
      <c r="J18" s="1306">
        <f>3429984+926096</f>
        <v>4356080</v>
      </c>
      <c r="K18" s="1306"/>
      <c r="L18" s="1306"/>
      <c r="M18" s="1306"/>
      <c r="N18" s="1306"/>
      <c r="O18" s="1306"/>
      <c r="P18" s="1308"/>
      <c r="Q18" s="1310"/>
      <c r="R18" s="1306"/>
      <c r="S18" s="1306"/>
      <c r="T18" s="1306"/>
      <c r="U18" s="1306"/>
      <c r="V18" s="1306"/>
      <c r="W18" s="1306"/>
      <c r="X18" s="1308"/>
    </row>
    <row r="19" spans="1:24" ht="20.25" customHeight="1" x14ac:dyDescent="0.2">
      <c r="A19" s="2052" t="s">
        <v>197</v>
      </c>
      <c r="B19" s="2054" t="s">
        <v>229</v>
      </c>
      <c r="C19" s="2087" t="s">
        <v>2201</v>
      </c>
      <c r="D19" s="1206" t="s">
        <v>1839</v>
      </c>
      <c r="E19" s="1232" t="s">
        <v>1288</v>
      </c>
      <c r="F19" s="1232" t="s">
        <v>128</v>
      </c>
      <c r="G19" s="1311" t="s">
        <v>1829</v>
      </c>
      <c r="H19" s="1306"/>
      <c r="I19" s="1306"/>
      <c r="J19" s="1306"/>
      <c r="K19" s="1306"/>
      <c r="L19" s="1306"/>
      <c r="M19" s="1306"/>
      <c r="N19" s="1306"/>
      <c r="O19" s="1306"/>
      <c r="P19" s="1308"/>
      <c r="Q19" s="1310"/>
      <c r="R19" s="1306"/>
      <c r="S19" s="1306"/>
      <c r="T19" s="1306"/>
      <c r="U19" s="1306"/>
      <c r="V19" s="1306"/>
      <c r="W19" s="1306"/>
      <c r="X19" s="1308">
        <v>2552720</v>
      </c>
    </row>
    <row r="20" spans="1:24" ht="20.25" customHeight="1" x14ac:dyDescent="0.2">
      <c r="A20" s="2053"/>
      <c r="B20" s="2055"/>
      <c r="C20" s="2087"/>
      <c r="D20" s="1206" t="s">
        <v>1839</v>
      </c>
      <c r="E20" s="1232" t="s">
        <v>162</v>
      </c>
      <c r="F20" s="1232" t="s">
        <v>91</v>
      </c>
      <c r="G20" s="1311" t="s">
        <v>1829</v>
      </c>
      <c r="H20" s="1306"/>
      <c r="I20" s="1306"/>
      <c r="J20" s="1306">
        <f>2010016+542704</f>
        <v>2552720</v>
      </c>
      <c r="K20" s="1306"/>
      <c r="L20" s="1306"/>
      <c r="M20" s="1306"/>
      <c r="N20" s="1306"/>
      <c r="O20" s="1306"/>
      <c r="P20" s="1308"/>
      <c r="Q20" s="1310"/>
      <c r="R20" s="1306"/>
      <c r="S20" s="1306"/>
      <c r="T20" s="1306"/>
      <c r="U20" s="1306"/>
      <c r="V20" s="1306"/>
      <c r="W20" s="1306"/>
      <c r="X20" s="1308"/>
    </row>
    <row r="21" spans="1:24" ht="39" customHeight="1" x14ac:dyDescent="0.2">
      <c r="A21" s="1494" t="s">
        <v>198</v>
      </c>
      <c r="B21" s="1493" t="s">
        <v>2098</v>
      </c>
      <c r="C21" s="1492" t="s">
        <v>2202</v>
      </c>
      <c r="D21" s="1212" t="s">
        <v>1839</v>
      </c>
      <c r="E21" s="1244" t="s">
        <v>162</v>
      </c>
      <c r="F21" s="1244" t="s">
        <v>91</v>
      </c>
      <c r="G21" s="1178" t="s">
        <v>1837</v>
      </c>
      <c r="H21" s="1306"/>
      <c r="I21" s="1306"/>
      <c r="J21" s="1306">
        <f>-648701-175150</f>
        <v>-823851</v>
      </c>
      <c r="K21" s="1306"/>
      <c r="L21" s="1306"/>
      <c r="M21" s="1306">
        <f>648701+175150</f>
        <v>823851</v>
      </c>
      <c r="N21" s="1306"/>
      <c r="O21" s="1306"/>
      <c r="P21" s="1308"/>
      <c r="Q21" s="1310"/>
      <c r="R21" s="1306"/>
      <c r="S21" s="1306"/>
      <c r="T21" s="1306"/>
      <c r="U21" s="1306"/>
      <c r="V21" s="1306"/>
      <c r="W21" s="1306"/>
      <c r="X21" s="1308"/>
    </row>
    <row r="22" spans="1:24" ht="18.75" x14ac:dyDescent="0.3">
      <c r="A22" s="2185" t="s">
        <v>1749</v>
      </c>
      <c r="B22" s="2186"/>
      <c r="C22" s="2187"/>
      <c r="D22" s="1179"/>
      <c r="E22" s="1179"/>
      <c r="F22" s="1179"/>
      <c r="G22" s="1179"/>
      <c r="H22" s="1180">
        <f t="shared" ref="H22:X22" si="0">SUM(H7:H21)</f>
        <v>0</v>
      </c>
      <c r="I22" s="1180">
        <f t="shared" si="0"/>
        <v>0</v>
      </c>
      <c r="J22" s="1180">
        <f t="shared" si="0"/>
        <v>6637618</v>
      </c>
      <c r="K22" s="1180">
        <f t="shared" si="0"/>
        <v>0</v>
      </c>
      <c r="L22" s="1180">
        <f t="shared" si="0"/>
        <v>0</v>
      </c>
      <c r="M22" s="1180">
        <f t="shared" si="0"/>
        <v>823851</v>
      </c>
      <c r="N22" s="1180">
        <f t="shared" si="0"/>
        <v>0</v>
      </c>
      <c r="O22" s="1180">
        <f t="shared" si="0"/>
        <v>0</v>
      </c>
      <c r="P22" s="1181">
        <f t="shared" si="0"/>
        <v>0</v>
      </c>
      <c r="Q22" s="1182">
        <f t="shared" si="0"/>
        <v>100000</v>
      </c>
      <c r="R22" s="1180">
        <f t="shared" si="0"/>
        <v>0</v>
      </c>
      <c r="S22" s="1180">
        <f t="shared" si="0"/>
        <v>0</v>
      </c>
      <c r="T22" s="1180">
        <f t="shared" si="0"/>
        <v>3192</v>
      </c>
      <c r="U22" s="1180">
        <f t="shared" si="0"/>
        <v>0</v>
      </c>
      <c r="V22" s="1180">
        <f t="shared" si="0"/>
        <v>0</v>
      </c>
      <c r="W22" s="1180">
        <f t="shared" si="0"/>
        <v>0</v>
      </c>
      <c r="X22" s="1181">
        <f t="shared" si="0"/>
        <v>7358277</v>
      </c>
    </row>
    <row r="23" spans="1:24" ht="17.25" customHeight="1" x14ac:dyDescent="0.25">
      <c r="A23" s="1197"/>
      <c r="B23" s="1197"/>
      <c r="C23" s="1197"/>
      <c r="D23" s="1197"/>
      <c r="E23" s="1197"/>
      <c r="F23" s="1197"/>
      <c r="G23" s="1197"/>
      <c r="H23" s="1197"/>
      <c r="I23" s="1197"/>
      <c r="J23" s="1197"/>
      <c r="K23" s="1197"/>
      <c r="L23" s="1197"/>
      <c r="M23" s="1197"/>
      <c r="N23" s="1197"/>
      <c r="O23" s="1197"/>
      <c r="P23" s="1197"/>
      <c r="Q23" s="1197"/>
      <c r="R23" s="1197"/>
      <c r="S23" s="1197"/>
      <c r="T23" s="1197"/>
      <c r="U23" s="1197"/>
      <c r="V23" s="1197"/>
      <c r="W23" s="1197"/>
      <c r="X23" s="1197"/>
    </row>
    <row r="24" spans="1:24" ht="17.25" customHeight="1" x14ac:dyDescent="0.25">
      <c r="A24" s="1197"/>
      <c r="B24" s="1197"/>
      <c r="C24" s="1197"/>
      <c r="D24" s="1197"/>
      <c r="E24" s="1197"/>
      <c r="F24" s="1197"/>
      <c r="G24" s="1197"/>
      <c r="H24" s="1224"/>
      <c r="I24" s="1224"/>
      <c r="J24" s="1224"/>
      <c r="K24" s="1224"/>
      <c r="L24" s="1224"/>
      <c r="M24" s="1224"/>
      <c r="N24" s="1224"/>
      <c r="O24" s="1224"/>
      <c r="P24" s="1224"/>
      <c r="Q24" s="1224"/>
      <c r="R24" s="1224"/>
      <c r="S24" s="1224"/>
      <c r="T24" s="1224"/>
      <c r="U24" s="1224"/>
      <c r="V24" s="1224"/>
      <c r="W24" s="1224"/>
      <c r="X24" s="1224"/>
    </row>
    <row r="25" spans="1:24" ht="15" x14ac:dyDescent="0.25">
      <c r="A25" s="1197"/>
      <c r="B25" s="1197"/>
      <c r="C25" s="1197"/>
      <c r="D25" s="1197"/>
      <c r="E25" s="1197"/>
      <c r="F25" s="1197"/>
      <c r="G25" s="1197"/>
      <c r="H25" s="1197"/>
      <c r="I25" s="1197"/>
      <c r="J25" s="1197"/>
      <c r="K25" s="1197"/>
      <c r="L25" s="1197"/>
      <c r="M25" s="1197"/>
      <c r="N25" s="1197"/>
      <c r="O25" s="1197"/>
      <c r="P25" s="1197"/>
      <c r="Q25" s="1197"/>
      <c r="R25" s="1197"/>
      <c r="S25" s="1197"/>
      <c r="T25" s="1197"/>
      <c r="U25" s="1197"/>
      <c r="V25" s="1197"/>
      <c r="W25" s="1197"/>
      <c r="X25" s="1197"/>
    </row>
    <row r="26" spans="1:24" ht="21.75" customHeight="1" x14ac:dyDescent="0.25">
      <c r="A26" s="1197"/>
      <c r="B26" s="1197"/>
      <c r="C26" s="1197"/>
      <c r="D26" s="1197"/>
      <c r="E26" s="1197"/>
      <c r="F26" s="1197"/>
      <c r="G26" s="1197"/>
      <c r="H26" s="1224"/>
      <c r="I26" s="2108" t="s">
        <v>1750</v>
      </c>
      <c r="J26" s="2108"/>
      <c r="K26" s="2108"/>
      <c r="L26" s="2108">
        <v>405016570</v>
      </c>
      <c r="M26" s="2108"/>
      <c r="N26" s="1225"/>
      <c r="O26" s="1225"/>
      <c r="P26" s="1225"/>
      <c r="Q26" s="1225"/>
      <c r="R26" s="2108" t="s">
        <v>1751</v>
      </c>
      <c r="S26" s="2108"/>
      <c r="T26" s="2108"/>
      <c r="U26" s="2108">
        <v>405016570</v>
      </c>
      <c r="V26" s="2108"/>
      <c r="W26" s="1224"/>
      <c r="X26" s="1224"/>
    </row>
    <row r="27" spans="1:24" ht="21" customHeight="1" x14ac:dyDescent="0.25">
      <c r="A27" s="1197"/>
      <c r="B27" s="1197"/>
      <c r="C27" s="1197"/>
      <c r="D27" s="1197"/>
      <c r="E27" s="1197"/>
      <c r="F27" s="1197"/>
      <c r="G27" s="1197"/>
      <c r="H27" s="1224"/>
      <c r="I27" s="2066" t="s">
        <v>3474</v>
      </c>
      <c r="J27" s="2066"/>
      <c r="K27" s="2066"/>
      <c r="L27" s="2108">
        <f>SUM(H22:P22)</f>
        <v>7461469</v>
      </c>
      <c r="M27" s="2108"/>
      <c r="N27" s="1225"/>
      <c r="O27" s="1225"/>
      <c r="P27" s="1225"/>
      <c r="Q27" s="1225"/>
      <c r="R27" s="2066" t="s">
        <v>3474</v>
      </c>
      <c r="S27" s="2066"/>
      <c r="T27" s="2066"/>
      <c r="U27" s="2108">
        <f>SUM(Q22:X22)</f>
        <v>7461469</v>
      </c>
      <c r="V27" s="2108"/>
      <c r="W27" s="1224"/>
      <c r="X27" s="1224"/>
    </row>
    <row r="28" spans="1:24" ht="21.75" customHeight="1" x14ac:dyDescent="0.25">
      <c r="A28" s="1197"/>
      <c r="B28" s="1197"/>
      <c r="C28" s="1197"/>
      <c r="D28" s="1197"/>
      <c r="E28" s="1197"/>
      <c r="F28" s="1197"/>
      <c r="G28" s="1197"/>
      <c r="H28" s="1224"/>
      <c r="I28" s="2108" t="s">
        <v>1561</v>
      </c>
      <c r="J28" s="2108"/>
      <c r="K28" s="2108"/>
      <c r="L28" s="2108">
        <f>+L26+L27</f>
        <v>412478039</v>
      </c>
      <c r="M28" s="2108"/>
      <c r="N28" s="1225"/>
      <c r="O28" s="1225"/>
      <c r="P28" s="1225"/>
      <c r="Q28" s="1225"/>
      <c r="R28" s="2108" t="s">
        <v>1561</v>
      </c>
      <c r="S28" s="2108"/>
      <c r="T28" s="2108"/>
      <c r="U28" s="2108">
        <f>+U26+U27</f>
        <v>412478039</v>
      </c>
      <c r="V28" s="2108"/>
      <c r="W28" s="1224"/>
      <c r="X28" s="1224"/>
    </row>
    <row r="29" spans="1:24" x14ac:dyDescent="0.2">
      <c r="A29" s="348"/>
      <c r="B29" s="348"/>
      <c r="C29" s="348"/>
      <c r="D29" s="348"/>
      <c r="E29" s="348"/>
      <c r="F29" s="348"/>
      <c r="G29" s="348"/>
      <c r="H29" s="348"/>
      <c r="I29" s="348"/>
      <c r="J29" s="348"/>
      <c r="K29" s="348"/>
      <c r="L29" s="348"/>
      <c r="M29" s="348"/>
      <c r="N29" s="348"/>
      <c r="O29" s="348"/>
      <c r="P29" s="348"/>
      <c r="Q29" s="348"/>
      <c r="R29" s="348"/>
      <c r="S29" s="348"/>
      <c r="T29" s="348"/>
      <c r="U29" s="348"/>
      <c r="V29" s="348"/>
      <c r="W29" s="348"/>
      <c r="X29" s="348"/>
    </row>
    <row r="30" spans="1:24" x14ac:dyDescent="0.2">
      <c r="A30" s="348"/>
      <c r="B30" s="348"/>
      <c r="C30" s="348"/>
      <c r="D30" s="348"/>
      <c r="E30" s="348"/>
      <c r="F30" s="348"/>
      <c r="G30" s="348"/>
      <c r="H30" s="348"/>
      <c r="I30" s="348"/>
      <c r="J30" s="348"/>
      <c r="K30" s="348"/>
      <c r="L30" s="348"/>
      <c r="M30" s="348"/>
      <c r="N30" s="348"/>
      <c r="O30" s="348"/>
      <c r="P30" s="348"/>
      <c r="Q30" s="348"/>
      <c r="R30" s="348"/>
      <c r="S30" s="348"/>
      <c r="T30" s="348"/>
      <c r="U30" s="348"/>
      <c r="V30" s="348"/>
      <c r="W30" s="348"/>
      <c r="X30" s="348"/>
    </row>
    <row r="31" spans="1:24" ht="15.75" x14ac:dyDescent="0.25">
      <c r="A31" s="2069" t="s">
        <v>2641</v>
      </c>
      <c r="B31" s="2069"/>
      <c r="C31" s="2069"/>
      <c r="D31" s="2069"/>
      <c r="E31" s="2069"/>
      <c r="F31" s="2069"/>
      <c r="G31" s="2069"/>
      <c r="H31" s="2069"/>
      <c r="I31" s="2069"/>
      <c r="J31" s="2069"/>
      <c r="K31" s="2069"/>
      <c r="L31" s="2069"/>
      <c r="M31" s="2069"/>
      <c r="N31" s="2069"/>
      <c r="O31" s="2069"/>
      <c r="P31" s="2069"/>
      <c r="Q31" s="2069"/>
      <c r="R31" s="2069"/>
      <c r="S31" s="2069"/>
      <c r="T31" s="2069"/>
      <c r="U31" s="2069"/>
      <c r="V31" s="2069"/>
      <c r="W31" s="2069"/>
      <c r="X31" s="2069"/>
    </row>
    <row r="32" spans="1:24" ht="15" x14ac:dyDescent="0.25">
      <c r="A32" s="1298"/>
      <c r="B32" s="1298"/>
      <c r="C32" s="1299"/>
      <c r="D32" s="1300"/>
      <c r="E32" s="1300"/>
      <c r="F32" s="1300"/>
      <c r="G32" s="1300"/>
      <c r="H32" s="1300"/>
      <c r="I32" s="1300"/>
      <c r="J32" s="1300"/>
      <c r="K32" s="1300"/>
      <c r="L32" s="1300"/>
      <c r="M32" s="1300"/>
      <c r="N32" s="1300"/>
      <c r="O32" s="1300"/>
      <c r="P32" s="1300"/>
      <c r="Q32" s="1300"/>
      <c r="R32" s="1300"/>
      <c r="S32" s="1300"/>
      <c r="T32" s="1300"/>
      <c r="U32" s="1300"/>
      <c r="V32" s="1300"/>
      <c r="W32" s="1300"/>
      <c r="X32" s="1300"/>
    </row>
    <row r="33" spans="1:24" ht="15" x14ac:dyDescent="0.25">
      <c r="A33" s="2188" t="s">
        <v>600</v>
      </c>
      <c r="B33" s="2188"/>
      <c r="C33" s="2188"/>
      <c r="D33" s="2188"/>
      <c r="E33" s="2188"/>
      <c r="F33" s="2188"/>
      <c r="G33" s="2188"/>
      <c r="H33" s="2188"/>
      <c r="I33" s="2188"/>
      <c r="J33" s="2188"/>
      <c r="K33" s="2188"/>
      <c r="L33" s="2188"/>
      <c r="M33" s="2188"/>
      <c r="N33" s="2188"/>
      <c r="O33" s="2188"/>
      <c r="P33" s="2188"/>
      <c r="Q33" s="2188"/>
      <c r="R33" s="2188"/>
      <c r="S33" s="2188"/>
      <c r="T33" s="2188"/>
      <c r="U33" s="2188"/>
      <c r="V33" s="2188"/>
      <c r="W33" s="2188"/>
      <c r="X33" s="2188"/>
    </row>
    <row r="34" spans="1:24" ht="15" x14ac:dyDescent="0.25">
      <c r="A34" s="1190"/>
      <c r="B34" s="1190"/>
      <c r="C34" s="1191"/>
      <c r="D34" s="1192"/>
      <c r="E34" s="1192"/>
      <c r="F34" s="1192"/>
      <c r="G34" s="1192"/>
      <c r="H34" s="1192"/>
      <c r="I34" s="1192"/>
      <c r="J34" s="1192"/>
      <c r="K34" s="1192"/>
      <c r="L34" s="1192"/>
      <c r="M34" s="1192"/>
      <c r="N34" s="1192"/>
      <c r="O34" s="1192"/>
      <c r="P34" s="1192"/>
      <c r="Q34" s="1301"/>
      <c r="R34" s="1192"/>
      <c r="S34" s="1192"/>
      <c r="T34" s="1192"/>
      <c r="U34" s="1192"/>
      <c r="V34" s="1192"/>
      <c r="W34" s="1192"/>
      <c r="X34" s="1192"/>
    </row>
    <row r="35" spans="1:24" ht="15" x14ac:dyDescent="0.25">
      <c r="A35" s="2070" t="s">
        <v>37</v>
      </c>
      <c r="B35" s="2093" t="s">
        <v>1726</v>
      </c>
      <c r="C35" s="2074" t="s">
        <v>2</v>
      </c>
      <c r="D35" s="2076" t="s">
        <v>1727</v>
      </c>
      <c r="E35" s="2076" t="s">
        <v>117</v>
      </c>
      <c r="F35" s="2076" t="s">
        <v>1728</v>
      </c>
      <c r="G35" s="2076" t="s">
        <v>1729</v>
      </c>
      <c r="H35" s="2078" t="s">
        <v>1730</v>
      </c>
      <c r="I35" s="2078"/>
      <c r="J35" s="2078"/>
      <c r="K35" s="2078"/>
      <c r="L35" s="2078"/>
      <c r="M35" s="2078"/>
      <c r="N35" s="2078"/>
      <c r="O35" s="2079"/>
      <c r="P35" s="1464"/>
      <c r="Q35" s="2080" t="s">
        <v>1731</v>
      </c>
      <c r="R35" s="2078"/>
      <c r="S35" s="2078"/>
      <c r="T35" s="2078"/>
      <c r="U35" s="2078"/>
      <c r="V35" s="2078"/>
      <c r="W35" s="2078"/>
      <c r="X35" s="2081"/>
    </row>
    <row r="36" spans="1:24" ht="78.75" customHeight="1" x14ac:dyDescent="0.2">
      <c r="A36" s="2071"/>
      <c r="B36" s="2094"/>
      <c r="C36" s="2075"/>
      <c r="D36" s="2077"/>
      <c r="E36" s="2077"/>
      <c r="F36" s="2077"/>
      <c r="G36" s="2077"/>
      <c r="H36" s="1154" t="s">
        <v>2382</v>
      </c>
      <c r="I36" s="1154" t="s">
        <v>1801</v>
      </c>
      <c r="J36" s="1154" t="s">
        <v>1797</v>
      </c>
      <c r="K36" s="1154" t="s">
        <v>1735</v>
      </c>
      <c r="L36" s="1154" t="s">
        <v>1736</v>
      </c>
      <c r="M36" s="1154" t="s">
        <v>1737</v>
      </c>
      <c r="N36" s="1154" t="s">
        <v>1738</v>
      </c>
      <c r="O36" s="1156" t="s">
        <v>1739</v>
      </c>
      <c r="P36" s="1159" t="s">
        <v>1740</v>
      </c>
      <c r="Q36" s="1227" t="s">
        <v>1741</v>
      </c>
      <c r="R36" s="1155" t="s">
        <v>1742</v>
      </c>
      <c r="S36" s="1154" t="s">
        <v>1743</v>
      </c>
      <c r="T36" s="1154" t="s">
        <v>1744</v>
      </c>
      <c r="U36" s="1155" t="s">
        <v>1745</v>
      </c>
      <c r="V36" s="1155" t="s">
        <v>1746</v>
      </c>
      <c r="W36" s="1155" t="s">
        <v>1747</v>
      </c>
      <c r="X36" s="1159" t="s">
        <v>1748</v>
      </c>
    </row>
    <row r="37" spans="1:24" ht="21" customHeight="1" x14ac:dyDescent="0.2">
      <c r="A37" s="2070" t="s">
        <v>225</v>
      </c>
      <c r="B37" s="2074" t="s">
        <v>232</v>
      </c>
      <c r="C37" s="2096" t="s">
        <v>2263</v>
      </c>
      <c r="D37" s="1201" t="s">
        <v>1839</v>
      </c>
      <c r="E37" s="1232" t="s">
        <v>1288</v>
      </c>
      <c r="F37" s="1232" t="s">
        <v>128</v>
      </c>
      <c r="G37" s="1232" t="s">
        <v>1829</v>
      </c>
      <c r="H37" s="1302"/>
      <c r="I37" s="1303"/>
      <c r="J37" s="1302"/>
      <c r="K37" s="1302"/>
      <c r="L37" s="1302"/>
      <c r="M37" s="1302"/>
      <c r="N37" s="1302"/>
      <c r="O37" s="1303"/>
      <c r="P37" s="1304"/>
      <c r="Q37" s="1305"/>
      <c r="R37" s="1303"/>
      <c r="S37" s="1302"/>
      <c r="T37" s="1302"/>
      <c r="U37" s="1303"/>
      <c r="V37" s="1303"/>
      <c r="W37" s="1303"/>
      <c r="X37" s="1304">
        <v>7034250</v>
      </c>
    </row>
    <row r="38" spans="1:24" ht="21" customHeight="1" x14ac:dyDescent="0.2">
      <c r="A38" s="2068"/>
      <c r="B38" s="2067"/>
      <c r="C38" s="2065"/>
      <c r="D38" s="1236" t="s">
        <v>1839</v>
      </c>
      <c r="E38" s="1232" t="s">
        <v>162</v>
      </c>
      <c r="F38" s="1232" t="s">
        <v>91</v>
      </c>
      <c r="G38" s="1232" t="s">
        <v>1829</v>
      </c>
      <c r="H38" s="1477">
        <v>4200000</v>
      </c>
      <c r="I38" s="1478">
        <v>546000</v>
      </c>
      <c r="J38" s="1477"/>
      <c r="K38" s="1477"/>
      <c r="L38" s="1477"/>
      <c r="M38" s="1477"/>
      <c r="N38" s="1477"/>
      <c r="O38" s="1478"/>
      <c r="P38" s="1479"/>
      <c r="Q38" s="1480"/>
      <c r="R38" s="1478"/>
      <c r="S38" s="1477"/>
      <c r="T38" s="1477"/>
      <c r="U38" s="1478"/>
      <c r="V38" s="1478"/>
      <c r="W38" s="1478"/>
      <c r="X38" s="1479"/>
    </row>
    <row r="39" spans="1:24" ht="21" customHeight="1" x14ac:dyDescent="0.2">
      <c r="A39" s="2068"/>
      <c r="B39" s="2067"/>
      <c r="C39" s="2057"/>
      <c r="D39" s="1236" t="s">
        <v>1839</v>
      </c>
      <c r="E39" s="1232" t="s">
        <v>162</v>
      </c>
      <c r="F39" s="1232" t="s">
        <v>132</v>
      </c>
      <c r="G39" s="1232" t="s">
        <v>1829</v>
      </c>
      <c r="H39" s="1477">
        <v>2025000</v>
      </c>
      <c r="I39" s="1478">
        <v>263250</v>
      </c>
      <c r="J39" s="1477"/>
      <c r="K39" s="1477"/>
      <c r="L39" s="1477"/>
      <c r="M39" s="1477"/>
      <c r="N39" s="1477"/>
      <c r="O39" s="1478"/>
      <c r="P39" s="1479"/>
      <c r="Q39" s="1480"/>
      <c r="R39" s="1478"/>
      <c r="S39" s="1477"/>
      <c r="T39" s="1477"/>
      <c r="U39" s="1478"/>
      <c r="V39" s="1478"/>
      <c r="W39" s="1478"/>
      <c r="X39" s="1479"/>
    </row>
    <row r="40" spans="1:24" ht="32.25" customHeight="1" x14ac:dyDescent="0.2">
      <c r="A40" s="1494" t="s">
        <v>226</v>
      </c>
      <c r="B40" s="1493" t="s">
        <v>233</v>
      </c>
      <c r="C40" s="1631" t="s">
        <v>2317</v>
      </c>
      <c r="D40" s="1236" t="s">
        <v>1839</v>
      </c>
      <c r="E40" s="1232" t="s">
        <v>1288</v>
      </c>
      <c r="F40" s="1232" t="s">
        <v>128</v>
      </c>
      <c r="G40" s="1232" t="s">
        <v>1829</v>
      </c>
      <c r="H40" s="1477"/>
      <c r="I40" s="1478"/>
      <c r="J40" s="1477"/>
      <c r="K40" s="1477"/>
      <c r="L40" s="1477">
        <v>10764541</v>
      </c>
      <c r="M40" s="1477"/>
      <c r="N40" s="1477"/>
      <c r="O40" s="1478"/>
      <c r="P40" s="1479"/>
      <c r="Q40" s="1480"/>
      <c r="R40" s="1478"/>
      <c r="S40" s="1477"/>
      <c r="T40" s="1477"/>
      <c r="U40" s="1478"/>
      <c r="V40" s="1478"/>
      <c r="W40" s="1478"/>
      <c r="X40" s="1479">
        <v>10764541</v>
      </c>
    </row>
    <row r="41" spans="1:24" ht="38.25" customHeight="1" x14ac:dyDescent="0.2">
      <c r="A41" s="1494" t="s">
        <v>227</v>
      </c>
      <c r="B41" s="1493" t="s">
        <v>260</v>
      </c>
      <c r="C41" s="1631" t="s">
        <v>2343</v>
      </c>
      <c r="D41" s="1236" t="s">
        <v>1839</v>
      </c>
      <c r="E41" s="1232" t="s">
        <v>162</v>
      </c>
      <c r="F41" s="1232" t="s">
        <v>91</v>
      </c>
      <c r="G41" s="1232" t="s">
        <v>1829</v>
      </c>
      <c r="H41" s="1477"/>
      <c r="I41" s="1478"/>
      <c r="J41" s="1477">
        <v>15000</v>
      </c>
      <c r="K41" s="1477"/>
      <c r="L41" s="1477"/>
      <c r="M41" s="1477"/>
      <c r="N41" s="1477"/>
      <c r="O41" s="1478"/>
      <c r="P41" s="1479"/>
      <c r="Q41" s="1480"/>
      <c r="R41" s="1478"/>
      <c r="S41" s="1477"/>
      <c r="T41" s="1477">
        <v>15000</v>
      </c>
      <c r="U41" s="1478"/>
      <c r="V41" s="1478"/>
      <c r="W41" s="1478"/>
      <c r="X41" s="1479"/>
    </row>
    <row r="42" spans="1:24" ht="22.5" customHeight="1" x14ac:dyDescent="0.2">
      <c r="A42" s="2052" t="s">
        <v>228</v>
      </c>
      <c r="B42" s="2054" t="s">
        <v>261</v>
      </c>
      <c r="C42" s="2056" t="s">
        <v>2409</v>
      </c>
      <c r="D42" s="1236" t="s">
        <v>1839</v>
      </c>
      <c r="E42" s="1232" t="s">
        <v>1288</v>
      </c>
      <c r="F42" s="1232" t="s">
        <v>128</v>
      </c>
      <c r="G42" s="1232" t="s">
        <v>1829</v>
      </c>
      <c r="H42" s="1477"/>
      <c r="I42" s="1478"/>
      <c r="J42" s="1477"/>
      <c r="K42" s="1477"/>
      <c r="L42" s="1477"/>
      <c r="M42" s="1477"/>
      <c r="N42" s="1477"/>
      <c r="O42" s="1478"/>
      <c r="P42" s="1479"/>
      <c r="Q42" s="1480"/>
      <c r="R42" s="1478"/>
      <c r="S42" s="1477"/>
      <c r="T42" s="1477"/>
      <c r="U42" s="1478"/>
      <c r="V42" s="1478"/>
      <c r="W42" s="1478"/>
      <c r="X42" s="1479">
        <v>2278352</v>
      </c>
    </row>
    <row r="43" spans="1:24" ht="22.5" customHeight="1" x14ac:dyDescent="0.2">
      <c r="A43" s="2061"/>
      <c r="B43" s="2060"/>
      <c r="C43" s="2065"/>
      <c r="D43" s="1236" t="s">
        <v>1839</v>
      </c>
      <c r="E43" s="1232" t="s">
        <v>162</v>
      </c>
      <c r="F43" s="1232" t="s">
        <v>91</v>
      </c>
      <c r="G43" s="1232" t="s">
        <v>1829</v>
      </c>
      <c r="H43" s="1477">
        <v>1008120</v>
      </c>
      <c r="I43" s="1478">
        <v>131056</v>
      </c>
      <c r="J43" s="1477"/>
      <c r="K43" s="1477"/>
      <c r="L43" s="1477"/>
      <c r="M43" s="1477"/>
      <c r="N43" s="1477"/>
      <c r="O43" s="1478"/>
      <c r="P43" s="1479"/>
      <c r="Q43" s="1480"/>
      <c r="R43" s="1478"/>
      <c r="S43" s="1477"/>
      <c r="T43" s="1477"/>
      <c r="U43" s="1478"/>
      <c r="V43" s="1478"/>
      <c r="W43" s="1478"/>
      <c r="X43" s="1479"/>
    </row>
    <row r="44" spans="1:24" ht="22.5" customHeight="1" x14ac:dyDescent="0.2">
      <c r="A44" s="2053"/>
      <c r="B44" s="2055"/>
      <c r="C44" s="2057"/>
      <c r="D44" s="1206" t="s">
        <v>1839</v>
      </c>
      <c r="E44" s="1232" t="s">
        <v>162</v>
      </c>
      <c r="F44" s="1232" t="s">
        <v>132</v>
      </c>
      <c r="G44" s="1232" t="s">
        <v>1829</v>
      </c>
      <c r="H44" s="1306">
        <v>1008120</v>
      </c>
      <c r="I44" s="1307">
        <v>131056</v>
      </c>
      <c r="J44" s="1306"/>
      <c r="K44" s="1306"/>
      <c r="L44" s="1306"/>
      <c r="M44" s="1306"/>
      <c r="N44" s="1306"/>
      <c r="O44" s="1307"/>
      <c r="P44" s="1308"/>
      <c r="Q44" s="1309"/>
      <c r="R44" s="1307"/>
      <c r="S44" s="1306"/>
      <c r="T44" s="1306"/>
      <c r="U44" s="1307"/>
      <c r="V44" s="1307"/>
      <c r="W44" s="1307"/>
      <c r="X44" s="1308"/>
    </row>
    <row r="45" spans="1:24" ht="21.75" customHeight="1" x14ac:dyDescent="0.2">
      <c r="A45" s="2052" t="s">
        <v>229</v>
      </c>
      <c r="B45" s="2054" t="s">
        <v>262</v>
      </c>
      <c r="C45" s="2056" t="s">
        <v>2404</v>
      </c>
      <c r="D45" s="1212" t="s">
        <v>1839</v>
      </c>
      <c r="E45" s="1244" t="s">
        <v>162</v>
      </c>
      <c r="F45" s="1244" t="s">
        <v>91</v>
      </c>
      <c r="G45" s="1244" t="s">
        <v>1837</v>
      </c>
      <c r="H45" s="1306">
        <f>-220000+220000</f>
        <v>0</v>
      </c>
      <c r="I45" s="1307"/>
      <c r="J45" s="1306"/>
      <c r="K45" s="1306"/>
      <c r="L45" s="1306"/>
      <c r="M45" s="1306"/>
      <c r="N45" s="1306"/>
      <c r="O45" s="1307"/>
      <c r="P45" s="1308"/>
      <c r="Q45" s="1309"/>
      <c r="R45" s="1307"/>
      <c r="S45" s="1306"/>
      <c r="T45" s="1306"/>
      <c r="U45" s="1307"/>
      <c r="V45" s="1307"/>
      <c r="W45" s="1307"/>
      <c r="X45" s="1308"/>
    </row>
    <row r="46" spans="1:24" ht="21.75" customHeight="1" x14ac:dyDescent="0.2">
      <c r="A46" s="2053"/>
      <c r="B46" s="2055"/>
      <c r="C46" s="2057"/>
      <c r="D46" s="1212" t="s">
        <v>1839</v>
      </c>
      <c r="E46" s="1244" t="s">
        <v>162</v>
      </c>
      <c r="F46" s="1244" t="s">
        <v>132</v>
      </c>
      <c r="G46" s="1244" t="s">
        <v>1837</v>
      </c>
      <c r="H46" s="1306">
        <f>-75000+75000</f>
        <v>0</v>
      </c>
      <c r="I46" s="1307"/>
      <c r="J46" s="1306"/>
      <c r="K46" s="1306"/>
      <c r="L46" s="1306"/>
      <c r="M46" s="1306"/>
      <c r="N46" s="1306"/>
      <c r="O46" s="1307"/>
      <c r="P46" s="1308"/>
      <c r="Q46" s="1309"/>
      <c r="R46" s="1307"/>
      <c r="S46" s="1306"/>
      <c r="T46" s="1306"/>
      <c r="U46" s="1307"/>
      <c r="V46" s="1307"/>
      <c r="W46" s="1307"/>
      <c r="X46" s="1308"/>
    </row>
    <row r="47" spans="1:24" ht="55.5" customHeight="1" x14ac:dyDescent="0.2">
      <c r="A47" s="1494" t="s">
        <v>230</v>
      </c>
      <c r="B47" s="1493" t="s">
        <v>263</v>
      </c>
      <c r="C47" s="1492" t="s">
        <v>2475</v>
      </c>
      <c r="D47" s="1212" t="s">
        <v>1839</v>
      </c>
      <c r="E47" s="1244" t="s">
        <v>162</v>
      </c>
      <c r="F47" s="1244" t="s">
        <v>152</v>
      </c>
      <c r="G47" s="1244" t="s">
        <v>1837</v>
      </c>
      <c r="H47" s="1306"/>
      <c r="I47" s="1307"/>
      <c r="J47" s="1306">
        <f>-19483+19483</f>
        <v>0</v>
      </c>
      <c r="K47" s="1306"/>
      <c r="L47" s="1306"/>
      <c r="M47" s="1306"/>
      <c r="N47" s="1306"/>
      <c r="O47" s="1307"/>
      <c r="P47" s="1308"/>
      <c r="Q47" s="1309"/>
      <c r="R47" s="1307"/>
      <c r="S47" s="1306"/>
      <c r="T47" s="1306"/>
      <c r="U47" s="1307"/>
      <c r="V47" s="1307"/>
      <c r="W47" s="1307"/>
      <c r="X47" s="1308"/>
    </row>
    <row r="48" spans="1:24" ht="22.5" customHeight="1" x14ac:dyDescent="0.2">
      <c r="A48" s="2052" t="s">
        <v>231</v>
      </c>
      <c r="B48" s="2054" t="s">
        <v>264</v>
      </c>
      <c r="C48" s="2056" t="s">
        <v>2496</v>
      </c>
      <c r="D48" s="1212" t="s">
        <v>1839</v>
      </c>
      <c r="E48" s="1244" t="s">
        <v>1288</v>
      </c>
      <c r="F48" s="1244" t="s">
        <v>128</v>
      </c>
      <c r="G48" s="1244" t="s">
        <v>1829</v>
      </c>
      <c r="H48" s="1306"/>
      <c r="I48" s="1307"/>
      <c r="J48" s="1306"/>
      <c r="K48" s="1306"/>
      <c r="L48" s="1306"/>
      <c r="M48" s="1306"/>
      <c r="N48" s="1306"/>
      <c r="O48" s="1307"/>
      <c r="P48" s="1308"/>
      <c r="Q48" s="1309"/>
      <c r="R48" s="1307"/>
      <c r="S48" s="1306"/>
      <c r="T48" s="1306"/>
      <c r="U48" s="1307"/>
      <c r="V48" s="1307"/>
      <c r="W48" s="1307"/>
      <c r="X48" s="1308">
        <v>1375156</v>
      </c>
    </row>
    <row r="49" spans="1:24" ht="22.5" customHeight="1" x14ac:dyDescent="0.2">
      <c r="A49" s="2061"/>
      <c r="B49" s="2060"/>
      <c r="C49" s="2065"/>
      <c r="D49" s="1212" t="s">
        <v>1839</v>
      </c>
      <c r="E49" s="1244" t="s">
        <v>162</v>
      </c>
      <c r="F49" s="1244" t="s">
        <v>91</v>
      </c>
      <c r="G49" s="1244" t="s">
        <v>1829</v>
      </c>
      <c r="H49" s="1306"/>
      <c r="I49" s="1307"/>
      <c r="J49" s="1306">
        <f>958600+258822</f>
        <v>1217422</v>
      </c>
      <c r="K49" s="1306"/>
      <c r="L49" s="1306"/>
      <c r="M49" s="1306"/>
      <c r="N49" s="1306"/>
      <c r="O49" s="1307"/>
      <c r="P49" s="1308"/>
      <c r="Q49" s="1309"/>
      <c r="R49" s="1307"/>
      <c r="S49" s="1306"/>
      <c r="T49" s="1306"/>
      <c r="U49" s="1307"/>
      <c r="V49" s="1307"/>
      <c r="W49" s="1307"/>
      <c r="X49" s="1308"/>
    </row>
    <row r="50" spans="1:24" ht="22.5" customHeight="1" x14ac:dyDescent="0.2">
      <c r="A50" s="2053"/>
      <c r="B50" s="2055"/>
      <c r="C50" s="2057"/>
      <c r="D50" s="1212" t="s">
        <v>1839</v>
      </c>
      <c r="E50" s="1244" t="s">
        <v>162</v>
      </c>
      <c r="F50" s="1244" t="s">
        <v>132</v>
      </c>
      <c r="G50" s="1244" t="s">
        <v>1829</v>
      </c>
      <c r="H50" s="1306"/>
      <c r="I50" s="1307"/>
      <c r="J50" s="1306">
        <f>124200+33534</f>
        <v>157734</v>
      </c>
      <c r="K50" s="1306"/>
      <c r="L50" s="1306"/>
      <c r="M50" s="1306"/>
      <c r="N50" s="1306"/>
      <c r="O50" s="1307"/>
      <c r="P50" s="1308"/>
      <c r="Q50" s="1309"/>
      <c r="R50" s="1307"/>
      <c r="S50" s="1306"/>
      <c r="T50" s="1306"/>
      <c r="U50" s="1307"/>
      <c r="V50" s="1307"/>
      <c r="W50" s="1307"/>
      <c r="X50" s="1308"/>
    </row>
    <row r="51" spans="1:24" ht="22.5" customHeight="1" x14ac:dyDescent="0.2">
      <c r="A51" s="2052" t="s">
        <v>232</v>
      </c>
      <c r="B51" s="2054" t="s">
        <v>265</v>
      </c>
      <c r="C51" s="2056" t="s">
        <v>2526</v>
      </c>
      <c r="D51" s="1212" t="s">
        <v>1839</v>
      </c>
      <c r="E51" s="1244" t="s">
        <v>162</v>
      </c>
      <c r="F51" s="1244" t="s">
        <v>91</v>
      </c>
      <c r="G51" s="1244" t="s">
        <v>1837</v>
      </c>
      <c r="H51" s="1306">
        <f>-170000+170000</f>
        <v>0</v>
      </c>
      <c r="I51" s="1307"/>
      <c r="J51" s="1306"/>
      <c r="K51" s="1306"/>
      <c r="L51" s="1306"/>
      <c r="M51" s="1306"/>
      <c r="N51" s="1306"/>
      <c r="O51" s="1307"/>
      <c r="P51" s="1308"/>
      <c r="Q51" s="1309"/>
      <c r="R51" s="1307"/>
      <c r="S51" s="1306"/>
      <c r="T51" s="1306"/>
      <c r="U51" s="1307"/>
      <c r="V51" s="1307"/>
      <c r="W51" s="1307"/>
      <c r="X51" s="1308"/>
    </row>
    <row r="52" spans="1:24" ht="22.5" customHeight="1" x14ac:dyDescent="0.2">
      <c r="A52" s="2053"/>
      <c r="B52" s="2055"/>
      <c r="C52" s="2057"/>
      <c r="D52" s="1212" t="s">
        <v>1839</v>
      </c>
      <c r="E52" s="1244" t="s">
        <v>162</v>
      </c>
      <c r="F52" s="1244" t="s">
        <v>132</v>
      </c>
      <c r="G52" s="1244" t="s">
        <v>1837</v>
      </c>
      <c r="H52" s="1306">
        <f>-460000+60000+400000</f>
        <v>0</v>
      </c>
      <c r="I52" s="1307"/>
      <c r="J52" s="1306"/>
      <c r="K52" s="1306"/>
      <c r="L52" s="1306"/>
      <c r="M52" s="1306"/>
      <c r="N52" s="1306"/>
      <c r="O52" s="1307"/>
      <c r="P52" s="1308"/>
      <c r="Q52" s="1309"/>
      <c r="R52" s="1307"/>
      <c r="S52" s="1306"/>
      <c r="T52" s="1306"/>
      <c r="U52" s="1307"/>
      <c r="V52" s="1307"/>
      <c r="W52" s="1307"/>
      <c r="X52" s="1308"/>
    </row>
    <row r="53" spans="1:24" ht="18.75" x14ac:dyDescent="0.3">
      <c r="A53" s="2185" t="s">
        <v>1749</v>
      </c>
      <c r="B53" s="2186"/>
      <c r="C53" s="2187"/>
      <c r="D53" s="1179"/>
      <c r="E53" s="1179"/>
      <c r="F53" s="1179"/>
      <c r="G53" s="1179"/>
      <c r="H53" s="1180">
        <f t="shared" ref="H53:X53" si="1">SUM(H37:H52)+H22</f>
        <v>8241240</v>
      </c>
      <c r="I53" s="1180">
        <f t="shared" si="1"/>
        <v>1071362</v>
      </c>
      <c r="J53" s="1180">
        <f t="shared" si="1"/>
        <v>8027774</v>
      </c>
      <c r="K53" s="1180">
        <f t="shared" si="1"/>
        <v>0</v>
      </c>
      <c r="L53" s="1180">
        <f t="shared" si="1"/>
        <v>10764541</v>
      </c>
      <c r="M53" s="1180">
        <f t="shared" si="1"/>
        <v>823851</v>
      </c>
      <c r="N53" s="1180">
        <f t="shared" si="1"/>
        <v>0</v>
      </c>
      <c r="O53" s="1180">
        <f t="shared" si="1"/>
        <v>0</v>
      </c>
      <c r="P53" s="1181">
        <f t="shared" si="1"/>
        <v>0</v>
      </c>
      <c r="Q53" s="1182">
        <f t="shared" si="1"/>
        <v>100000</v>
      </c>
      <c r="R53" s="1180">
        <f t="shared" si="1"/>
        <v>0</v>
      </c>
      <c r="S53" s="1180">
        <f t="shared" si="1"/>
        <v>0</v>
      </c>
      <c r="T53" s="1180">
        <f t="shared" si="1"/>
        <v>18192</v>
      </c>
      <c r="U53" s="1180">
        <f t="shared" si="1"/>
        <v>0</v>
      </c>
      <c r="V53" s="1180">
        <f t="shared" si="1"/>
        <v>0</v>
      </c>
      <c r="W53" s="1180">
        <f t="shared" si="1"/>
        <v>0</v>
      </c>
      <c r="X53" s="1181">
        <f t="shared" si="1"/>
        <v>28810576</v>
      </c>
    </row>
    <row r="54" spans="1:24" ht="18.75" customHeight="1" x14ac:dyDescent="0.25">
      <c r="A54" s="1197"/>
      <c r="B54" s="1197"/>
      <c r="C54" s="1197"/>
      <c r="D54" s="1197"/>
      <c r="E54" s="1197"/>
      <c r="F54" s="1197"/>
      <c r="G54" s="1197"/>
      <c r="H54" s="1197"/>
      <c r="I54" s="1197"/>
      <c r="J54" s="1197"/>
      <c r="K54" s="1197"/>
      <c r="L54" s="1197"/>
      <c r="M54" s="1197"/>
      <c r="N54" s="1197"/>
      <c r="O54" s="1197"/>
      <c r="P54" s="1197"/>
      <c r="Q54" s="1197"/>
      <c r="R54" s="1197"/>
      <c r="S54" s="1197"/>
      <c r="T54" s="1197"/>
      <c r="U54" s="1197"/>
      <c r="V54" s="1197"/>
      <c r="W54" s="1197"/>
      <c r="X54" s="1197"/>
    </row>
    <row r="55" spans="1:24" ht="18" customHeight="1" x14ac:dyDescent="0.25">
      <c r="A55" s="1197"/>
      <c r="B55" s="1197"/>
      <c r="C55" s="1197"/>
      <c r="D55" s="1197"/>
      <c r="E55" s="1197"/>
      <c r="F55" s="1197"/>
      <c r="G55" s="1197"/>
      <c r="H55" s="1224"/>
      <c r="I55" s="1224"/>
      <c r="J55" s="1224"/>
      <c r="K55" s="1224"/>
      <c r="L55" s="1224"/>
      <c r="M55" s="1224"/>
      <c r="N55" s="1224"/>
      <c r="O55" s="1224"/>
      <c r="P55" s="1224"/>
      <c r="Q55" s="1224"/>
      <c r="R55" s="1224"/>
      <c r="S55" s="1224"/>
      <c r="T55" s="1224"/>
      <c r="U55" s="1224"/>
      <c r="V55" s="1224"/>
      <c r="W55" s="1224"/>
      <c r="X55" s="1224"/>
    </row>
    <row r="56" spans="1:24" ht="15" x14ac:dyDescent="0.25">
      <c r="A56" s="1197"/>
      <c r="B56" s="1197"/>
      <c r="C56" s="1197"/>
      <c r="D56" s="1197"/>
      <c r="E56" s="1197"/>
      <c r="F56" s="1197"/>
      <c r="G56" s="1197"/>
      <c r="H56" s="1197"/>
      <c r="I56" s="1197"/>
      <c r="J56" s="1197"/>
      <c r="K56" s="1197"/>
      <c r="L56" s="1197"/>
      <c r="M56" s="1197"/>
      <c r="N56" s="1197"/>
      <c r="O56" s="1197"/>
      <c r="P56" s="1197"/>
      <c r="Q56" s="1197"/>
      <c r="R56" s="1197"/>
      <c r="S56" s="1197"/>
      <c r="T56" s="1197"/>
      <c r="U56" s="1197"/>
      <c r="V56" s="1197"/>
      <c r="W56" s="1197"/>
      <c r="X56" s="1197"/>
    </row>
    <row r="57" spans="1:24" ht="22.5" customHeight="1" x14ac:dyDescent="0.25">
      <c r="A57" s="1197"/>
      <c r="B57" s="1197"/>
      <c r="C57" s="1197"/>
      <c r="D57" s="1197"/>
      <c r="E57" s="1197"/>
      <c r="F57" s="1197"/>
      <c r="G57" s="1197"/>
      <c r="H57" s="1224"/>
      <c r="I57" s="2108" t="s">
        <v>1750</v>
      </c>
      <c r="J57" s="2108"/>
      <c r="K57" s="2108"/>
      <c r="L57" s="2108">
        <v>405016570</v>
      </c>
      <c r="M57" s="2108"/>
      <c r="N57" s="1225"/>
      <c r="O57" s="1225"/>
      <c r="P57" s="1225"/>
      <c r="Q57" s="1225"/>
      <c r="R57" s="2108" t="s">
        <v>1751</v>
      </c>
      <c r="S57" s="2108"/>
      <c r="T57" s="2108"/>
      <c r="U57" s="2108">
        <v>405016570</v>
      </c>
      <c r="V57" s="2108"/>
      <c r="W57" s="1224"/>
      <c r="X57" s="1224"/>
    </row>
    <row r="58" spans="1:24" ht="21" customHeight="1" x14ac:dyDescent="0.25">
      <c r="A58" s="1197"/>
      <c r="B58" s="1197"/>
      <c r="C58" s="1197"/>
      <c r="D58" s="1197"/>
      <c r="E58" s="1197"/>
      <c r="F58" s="1197"/>
      <c r="G58" s="1197"/>
      <c r="H58" s="1224"/>
      <c r="I58" s="2066" t="s">
        <v>3474</v>
      </c>
      <c r="J58" s="2066"/>
      <c r="K58" s="2066"/>
      <c r="L58" s="2108">
        <f>SUM(H53:P53)</f>
        <v>28928768</v>
      </c>
      <c r="M58" s="2108"/>
      <c r="N58" s="1225"/>
      <c r="O58" s="1225"/>
      <c r="P58" s="1225"/>
      <c r="Q58" s="1225"/>
      <c r="R58" s="2066" t="s">
        <v>3474</v>
      </c>
      <c r="S58" s="2066"/>
      <c r="T58" s="2066"/>
      <c r="U58" s="2108">
        <f>SUM(Q53:X53)</f>
        <v>28928768</v>
      </c>
      <c r="V58" s="2108"/>
      <c r="W58" s="1224"/>
      <c r="X58" s="1224"/>
    </row>
    <row r="59" spans="1:24" ht="23.25" customHeight="1" x14ac:dyDescent="0.25">
      <c r="A59" s="1197"/>
      <c r="B59" s="1197"/>
      <c r="C59" s="1197"/>
      <c r="D59" s="1197"/>
      <c r="E59" s="1197"/>
      <c r="F59" s="1197"/>
      <c r="G59" s="1197"/>
      <c r="H59" s="1224"/>
      <c r="I59" s="2108" t="s">
        <v>1561</v>
      </c>
      <c r="J59" s="2108"/>
      <c r="K59" s="2108"/>
      <c r="L59" s="2108">
        <f>+L57+L58</f>
        <v>433945338</v>
      </c>
      <c r="M59" s="2108"/>
      <c r="N59" s="1225"/>
      <c r="O59" s="1225"/>
      <c r="P59" s="1225"/>
      <c r="Q59" s="1225"/>
      <c r="R59" s="2108" t="s">
        <v>1561</v>
      </c>
      <c r="S59" s="2108"/>
      <c r="T59" s="2108"/>
      <c r="U59" s="2108">
        <f>+U57+U58</f>
        <v>433945338</v>
      </c>
      <c r="V59" s="2108"/>
      <c r="W59" s="1224"/>
      <c r="X59" s="1224"/>
    </row>
    <row r="60" spans="1:24" x14ac:dyDescent="0.2">
      <c r="A60" s="348"/>
      <c r="B60" s="348"/>
      <c r="C60" s="348"/>
      <c r="D60" s="348"/>
      <c r="E60" s="348"/>
      <c r="F60" s="348"/>
      <c r="G60" s="348"/>
      <c r="H60" s="348"/>
      <c r="I60" s="348"/>
      <c r="J60" s="348"/>
      <c r="K60" s="348"/>
      <c r="L60" s="348"/>
      <c r="M60" s="348"/>
      <c r="N60" s="348"/>
      <c r="O60" s="348"/>
      <c r="P60" s="348"/>
      <c r="Q60" s="348"/>
      <c r="R60" s="348"/>
      <c r="S60" s="348"/>
      <c r="T60" s="348"/>
      <c r="U60" s="348"/>
      <c r="V60" s="348"/>
      <c r="W60" s="348"/>
      <c r="X60" s="348"/>
    </row>
    <row r="61" spans="1:24" x14ac:dyDescent="0.2">
      <c r="A61" s="348"/>
      <c r="B61" s="348"/>
      <c r="C61" s="348"/>
      <c r="D61" s="348"/>
      <c r="E61" s="348"/>
      <c r="F61" s="348"/>
      <c r="G61" s="348"/>
      <c r="H61" s="348"/>
      <c r="I61" s="348"/>
      <c r="J61" s="348"/>
      <c r="K61" s="348"/>
      <c r="L61" s="348"/>
      <c r="M61" s="348"/>
      <c r="N61" s="348"/>
      <c r="O61" s="348"/>
      <c r="P61" s="348"/>
      <c r="Q61" s="348"/>
      <c r="R61" s="348"/>
      <c r="S61" s="348"/>
      <c r="T61" s="348"/>
      <c r="U61" s="348"/>
      <c r="V61" s="348"/>
      <c r="W61" s="348"/>
      <c r="X61" s="348"/>
    </row>
    <row r="62" spans="1:24" ht="15.75" x14ac:dyDescent="0.25">
      <c r="A62" s="2069" t="s">
        <v>2824</v>
      </c>
      <c r="B62" s="2069"/>
      <c r="C62" s="2069"/>
      <c r="D62" s="2069"/>
      <c r="E62" s="2069"/>
      <c r="F62" s="2069"/>
      <c r="G62" s="2069"/>
      <c r="H62" s="2069"/>
      <c r="I62" s="2069"/>
      <c r="J62" s="2069"/>
      <c r="K62" s="2069"/>
      <c r="L62" s="2069"/>
      <c r="M62" s="2069"/>
      <c r="N62" s="2069"/>
      <c r="O62" s="2069"/>
      <c r="P62" s="2069"/>
      <c r="Q62" s="2069"/>
      <c r="R62" s="2069"/>
      <c r="S62" s="2069"/>
      <c r="T62" s="2069"/>
      <c r="U62" s="2069"/>
      <c r="V62" s="2069"/>
      <c r="W62" s="2069"/>
      <c r="X62" s="2069"/>
    </row>
    <row r="63" spans="1:24" ht="15" x14ac:dyDescent="0.25">
      <c r="A63" s="1298"/>
      <c r="B63" s="1298"/>
      <c r="C63" s="1299"/>
      <c r="D63" s="1300"/>
      <c r="E63" s="1300"/>
      <c r="F63" s="1300"/>
      <c r="G63" s="1300"/>
      <c r="H63" s="1300"/>
      <c r="I63" s="1300"/>
      <c r="J63" s="1300"/>
      <c r="K63" s="1300"/>
      <c r="L63" s="1300"/>
      <c r="M63" s="1300"/>
      <c r="N63" s="1300"/>
      <c r="O63" s="1300"/>
      <c r="P63" s="1300"/>
      <c r="Q63" s="1300"/>
      <c r="R63" s="1300"/>
      <c r="S63" s="1300"/>
      <c r="T63" s="1300"/>
      <c r="U63" s="1300"/>
      <c r="V63" s="1300"/>
      <c r="W63" s="1300"/>
      <c r="X63" s="1300"/>
    </row>
    <row r="64" spans="1:24" ht="15" x14ac:dyDescent="0.25">
      <c r="A64" s="2188" t="s">
        <v>600</v>
      </c>
      <c r="B64" s="2188"/>
      <c r="C64" s="2188"/>
      <c r="D64" s="2188"/>
      <c r="E64" s="2188"/>
      <c r="F64" s="2188"/>
      <c r="G64" s="2188"/>
      <c r="H64" s="2188"/>
      <c r="I64" s="2188"/>
      <c r="J64" s="2188"/>
      <c r="K64" s="2188"/>
      <c r="L64" s="2188"/>
      <c r="M64" s="2188"/>
      <c r="N64" s="2188"/>
      <c r="O64" s="2188"/>
      <c r="P64" s="2188"/>
      <c r="Q64" s="2188"/>
      <c r="R64" s="2188"/>
      <c r="S64" s="2188"/>
      <c r="T64" s="2188"/>
      <c r="U64" s="2188"/>
      <c r="V64" s="2188"/>
      <c r="W64" s="2188"/>
      <c r="X64" s="2188"/>
    </row>
    <row r="65" spans="1:24" ht="15" x14ac:dyDescent="0.25">
      <c r="A65" s="1190"/>
      <c r="B65" s="1190"/>
      <c r="C65" s="1191"/>
      <c r="D65" s="1192"/>
      <c r="E65" s="1192"/>
      <c r="F65" s="1192"/>
      <c r="G65" s="1192"/>
      <c r="H65" s="1192"/>
      <c r="I65" s="1192"/>
      <c r="J65" s="1192"/>
      <c r="K65" s="1192"/>
      <c r="L65" s="1192"/>
      <c r="M65" s="1192"/>
      <c r="N65" s="1192"/>
      <c r="O65" s="1192"/>
      <c r="P65" s="1192"/>
      <c r="Q65" s="1301"/>
      <c r="R65" s="1192"/>
      <c r="S65" s="1192"/>
      <c r="T65" s="1192"/>
      <c r="U65" s="1192"/>
      <c r="V65" s="1192"/>
      <c r="W65" s="1192"/>
      <c r="X65" s="1192"/>
    </row>
    <row r="66" spans="1:24" ht="15" customHeight="1" x14ac:dyDescent="0.25">
      <c r="A66" s="2070" t="s">
        <v>37</v>
      </c>
      <c r="B66" s="2093" t="s">
        <v>1726</v>
      </c>
      <c r="C66" s="2074" t="s">
        <v>2</v>
      </c>
      <c r="D66" s="2076" t="s">
        <v>1727</v>
      </c>
      <c r="E66" s="2076" t="s">
        <v>117</v>
      </c>
      <c r="F66" s="2076" t="s">
        <v>1728</v>
      </c>
      <c r="G66" s="2076" t="s">
        <v>1729</v>
      </c>
      <c r="H66" s="2078" t="s">
        <v>1730</v>
      </c>
      <c r="I66" s="2078"/>
      <c r="J66" s="2078"/>
      <c r="K66" s="2078"/>
      <c r="L66" s="2078"/>
      <c r="M66" s="2078"/>
      <c r="N66" s="2078"/>
      <c r="O66" s="2079"/>
      <c r="P66" s="1464"/>
      <c r="Q66" s="2080" t="s">
        <v>1731</v>
      </c>
      <c r="R66" s="2078"/>
      <c r="S66" s="2078"/>
      <c r="T66" s="2078"/>
      <c r="U66" s="2078"/>
      <c r="V66" s="2078"/>
      <c r="W66" s="2078"/>
      <c r="X66" s="2081"/>
    </row>
    <row r="67" spans="1:24" ht="89.25" x14ac:dyDescent="0.2">
      <c r="A67" s="2071"/>
      <c r="B67" s="2094"/>
      <c r="C67" s="2075"/>
      <c r="D67" s="2077"/>
      <c r="E67" s="2077"/>
      <c r="F67" s="2077"/>
      <c r="G67" s="2077"/>
      <c r="H67" s="1154" t="s">
        <v>2382</v>
      </c>
      <c r="I67" s="1154" t="s">
        <v>1801</v>
      </c>
      <c r="J67" s="1154" t="s">
        <v>1797</v>
      </c>
      <c r="K67" s="1154" t="s">
        <v>1735</v>
      </c>
      <c r="L67" s="1154" t="s">
        <v>1736</v>
      </c>
      <c r="M67" s="1154" t="s">
        <v>1737</v>
      </c>
      <c r="N67" s="1154" t="s">
        <v>1738</v>
      </c>
      <c r="O67" s="1156" t="s">
        <v>1739</v>
      </c>
      <c r="P67" s="1159" t="s">
        <v>1740</v>
      </c>
      <c r="Q67" s="1227" t="s">
        <v>1741</v>
      </c>
      <c r="R67" s="1155" t="s">
        <v>1742</v>
      </c>
      <c r="S67" s="1154" t="s">
        <v>1743</v>
      </c>
      <c r="T67" s="1154" t="s">
        <v>1744</v>
      </c>
      <c r="U67" s="1155" t="s">
        <v>1745</v>
      </c>
      <c r="V67" s="1155" t="s">
        <v>1746</v>
      </c>
      <c r="W67" s="1155" t="s">
        <v>1747</v>
      </c>
      <c r="X67" s="1159" t="s">
        <v>1748</v>
      </c>
    </row>
    <row r="68" spans="1:24" ht="18" customHeight="1" x14ac:dyDescent="0.2">
      <c r="A68" s="2086" t="s">
        <v>233</v>
      </c>
      <c r="B68" s="2085" t="s">
        <v>266</v>
      </c>
      <c r="C68" s="2096" t="s">
        <v>2690</v>
      </c>
      <c r="D68" s="1201" t="s">
        <v>1839</v>
      </c>
      <c r="E68" s="1232" t="s">
        <v>162</v>
      </c>
      <c r="F68" s="1232" t="s">
        <v>91</v>
      </c>
      <c r="G68" s="1232" t="s">
        <v>1837</v>
      </c>
      <c r="H68" s="1302">
        <f>-90000+90000</f>
        <v>0</v>
      </c>
      <c r="I68" s="1303"/>
      <c r="J68" s="1302"/>
      <c r="K68" s="1302"/>
      <c r="L68" s="1302"/>
      <c r="M68" s="1302"/>
      <c r="N68" s="1302"/>
      <c r="O68" s="1303"/>
      <c r="P68" s="1304"/>
      <c r="Q68" s="1305"/>
      <c r="R68" s="1303"/>
      <c r="S68" s="1302"/>
      <c r="T68" s="1302"/>
      <c r="U68" s="1303"/>
      <c r="V68" s="1303"/>
      <c r="W68" s="1303"/>
      <c r="X68" s="1304"/>
    </row>
    <row r="69" spans="1:24" ht="18" customHeight="1" x14ac:dyDescent="0.2">
      <c r="A69" s="2053"/>
      <c r="B69" s="2055"/>
      <c r="C69" s="2057"/>
      <c r="D69" s="1236" t="s">
        <v>1839</v>
      </c>
      <c r="E69" s="1232" t="s">
        <v>162</v>
      </c>
      <c r="F69" s="1232" t="s">
        <v>132</v>
      </c>
      <c r="G69" s="1232" t="s">
        <v>1837</v>
      </c>
      <c r="H69" s="1477">
        <f>-440000+40000+400000</f>
        <v>0</v>
      </c>
      <c r="I69" s="1478"/>
      <c r="J69" s="1477"/>
      <c r="K69" s="1477"/>
      <c r="L69" s="1477"/>
      <c r="M69" s="1477"/>
      <c r="N69" s="1477"/>
      <c r="O69" s="1478"/>
      <c r="P69" s="1479"/>
      <c r="Q69" s="1480"/>
      <c r="R69" s="1478"/>
      <c r="S69" s="1477"/>
      <c r="T69" s="1477"/>
      <c r="U69" s="1478"/>
      <c r="V69" s="1478"/>
      <c r="W69" s="1478"/>
      <c r="X69" s="1479"/>
    </row>
    <row r="70" spans="1:24" ht="22.5" customHeight="1" x14ac:dyDescent="0.2">
      <c r="A70" s="2052" t="s">
        <v>260</v>
      </c>
      <c r="B70" s="2054" t="s">
        <v>267</v>
      </c>
      <c r="C70" s="2056" t="s">
        <v>2732</v>
      </c>
      <c r="D70" s="1236" t="s">
        <v>1839</v>
      </c>
      <c r="E70" s="1232" t="s">
        <v>1288</v>
      </c>
      <c r="F70" s="1232" t="s">
        <v>128</v>
      </c>
      <c r="G70" s="1232" t="s">
        <v>1829</v>
      </c>
      <c r="H70" s="1477"/>
      <c r="I70" s="1478"/>
      <c r="J70" s="1477"/>
      <c r="K70" s="1477"/>
      <c r="L70" s="1477"/>
      <c r="M70" s="1477"/>
      <c r="N70" s="1477"/>
      <c r="O70" s="1478"/>
      <c r="P70" s="1479"/>
      <c r="Q70" s="1480"/>
      <c r="R70" s="1478"/>
      <c r="S70" s="1477"/>
      <c r="T70" s="1477"/>
      <c r="U70" s="1478"/>
      <c r="V70" s="1478"/>
      <c r="W70" s="1478"/>
      <c r="X70" s="1479">
        <v>545724</v>
      </c>
    </row>
    <row r="71" spans="1:24" ht="22.5" customHeight="1" x14ac:dyDescent="0.2">
      <c r="A71" s="2053"/>
      <c r="B71" s="2055"/>
      <c r="C71" s="2057"/>
      <c r="D71" s="1236" t="s">
        <v>1839</v>
      </c>
      <c r="E71" s="1232" t="s">
        <v>162</v>
      </c>
      <c r="F71" s="1232" t="s">
        <v>91</v>
      </c>
      <c r="G71" s="1232" t="s">
        <v>1829</v>
      </c>
      <c r="H71" s="1477"/>
      <c r="I71" s="1478"/>
      <c r="J71" s="1477">
        <f>429704+116020</f>
        <v>545724</v>
      </c>
      <c r="K71" s="1477"/>
      <c r="L71" s="1477"/>
      <c r="M71" s="1477"/>
      <c r="N71" s="1477"/>
      <c r="O71" s="1478"/>
      <c r="P71" s="1479"/>
      <c r="Q71" s="1480"/>
      <c r="R71" s="1478"/>
      <c r="S71" s="1477"/>
      <c r="T71" s="1477"/>
      <c r="U71" s="1478"/>
      <c r="V71" s="1478"/>
      <c r="W71" s="1478"/>
      <c r="X71" s="1479"/>
    </row>
    <row r="72" spans="1:24" ht="21.75" customHeight="1" x14ac:dyDescent="0.2">
      <c r="A72" s="2052" t="s">
        <v>261</v>
      </c>
      <c r="B72" s="2054" t="s">
        <v>268</v>
      </c>
      <c r="C72" s="2056" t="s">
        <v>2775</v>
      </c>
      <c r="D72" s="1236" t="s">
        <v>1839</v>
      </c>
      <c r="E72" s="1232" t="s">
        <v>1288</v>
      </c>
      <c r="F72" s="1232" t="s">
        <v>128</v>
      </c>
      <c r="G72" s="1232" t="s">
        <v>1829</v>
      </c>
      <c r="H72" s="1477"/>
      <c r="I72" s="1478"/>
      <c r="J72" s="1477"/>
      <c r="K72" s="1477"/>
      <c r="L72" s="1477"/>
      <c r="M72" s="1477"/>
      <c r="N72" s="1477"/>
      <c r="O72" s="1478"/>
      <c r="P72" s="1479"/>
      <c r="Q72" s="1480"/>
      <c r="R72" s="1478"/>
      <c r="S72" s="1477"/>
      <c r="T72" s="1477"/>
      <c r="U72" s="1478"/>
      <c r="V72" s="1478"/>
      <c r="W72" s="1478"/>
      <c r="X72" s="1479">
        <v>5568000</v>
      </c>
    </row>
    <row r="73" spans="1:24" ht="21.75" customHeight="1" x14ac:dyDescent="0.2">
      <c r="A73" s="2061"/>
      <c r="B73" s="2060"/>
      <c r="C73" s="2065"/>
      <c r="D73" s="1236" t="s">
        <v>1839</v>
      </c>
      <c r="E73" s="1232" t="s">
        <v>162</v>
      </c>
      <c r="F73" s="1232" t="s">
        <v>91</v>
      </c>
      <c r="G73" s="1232" t="s">
        <v>1829</v>
      </c>
      <c r="H73" s="1477">
        <v>3000000</v>
      </c>
      <c r="I73" s="1478">
        <v>840000</v>
      </c>
      <c r="J73" s="1477"/>
      <c r="K73" s="1477"/>
      <c r="L73" s="1477"/>
      <c r="M73" s="1477"/>
      <c r="N73" s="1477"/>
      <c r="O73" s="1478"/>
      <c r="P73" s="1479"/>
      <c r="Q73" s="1480"/>
      <c r="R73" s="1478"/>
      <c r="S73" s="1477"/>
      <c r="T73" s="1477"/>
      <c r="U73" s="1478"/>
      <c r="V73" s="1478"/>
      <c r="W73" s="1478"/>
      <c r="X73" s="1479"/>
    </row>
    <row r="74" spans="1:24" ht="21.75" customHeight="1" x14ac:dyDescent="0.2">
      <c r="A74" s="2053"/>
      <c r="B74" s="2055"/>
      <c r="C74" s="2057"/>
      <c r="D74" s="1236" t="s">
        <v>1839</v>
      </c>
      <c r="E74" s="1232" t="s">
        <v>162</v>
      </c>
      <c r="F74" s="1232" t="s">
        <v>132</v>
      </c>
      <c r="G74" s="1232" t="s">
        <v>1829</v>
      </c>
      <c r="H74" s="1477">
        <v>1350000</v>
      </c>
      <c r="I74" s="1478">
        <v>378000</v>
      </c>
      <c r="J74" s="1477"/>
      <c r="K74" s="1477"/>
      <c r="L74" s="1477"/>
      <c r="M74" s="1477"/>
      <c r="N74" s="1477"/>
      <c r="O74" s="1478"/>
      <c r="P74" s="1479"/>
      <c r="Q74" s="1480"/>
      <c r="R74" s="1478"/>
      <c r="S74" s="1477"/>
      <c r="T74" s="1477"/>
      <c r="U74" s="1478"/>
      <c r="V74" s="1478"/>
      <c r="W74" s="1478"/>
      <c r="X74" s="1479"/>
    </row>
    <row r="75" spans="1:24" ht="19.5" customHeight="1" x14ac:dyDescent="0.2">
      <c r="A75" s="2052" t="s">
        <v>262</v>
      </c>
      <c r="B75" s="2054" t="s">
        <v>269</v>
      </c>
      <c r="C75" s="2056" t="s">
        <v>2856</v>
      </c>
      <c r="D75" s="1236" t="s">
        <v>1839</v>
      </c>
      <c r="E75" s="1232" t="s">
        <v>162</v>
      </c>
      <c r="F75" s="1232" t="s">
        <v>91</v>
      </c>
      <c r="G75" s="1232" t="s">
        <v>1837</v>
      </c>
      <c r="H75" s="1477">
        <f>-160000+160000</f>
        <v>0</v>
      </c>
      <c r="I75" s="1478"/>
      <c r="J75" s="1477"/>
      <c r="K75" s="1477"/>
      <c r="L75" s="1477"/>
      <c r="M75" s="1477"/>
      <c r="N75" s="1477"/>
      <c r="O75" s="1478"/>
      <c r="P75" s="1479"/>
      <c r="Q75" s="1480"/>
      <c r="R75" s="1478"/>
      <c r="S75" s="1477"/>
      <c r="T75" s="1477"/>
      <c r="U75" s="1478"/>
      <c r="V75" s="1478"/>
      <c r="W75" s="1478"/>
      <c r="X75" s="1479"/>
    </row>
    <row r="76" spans="1:24" ht="19.5" customHeight="1" x14ac:dyDescent="0.2">
      <c r="A76" s="2053"/>
      <c r="B76" s="2055"/>
      <c r="C76" s="2057"/>
      <c r="D76" s="1236" t="s">
        <v>1839</v>
      </c>
      <c r="E76" s="1232" t="s">
        <v>162</v>
      </c>
      <c r="F76" s="1232" t="s">
        <v>132</v>
      </c>
      <c r="G76" s="1232" t="s">
        <v>1837</v>
      </c>
      <c r="H76" s="1477">
        <f>-440000+40000+400000</f>
        <v>0</v>
      </c>
      <c r="I76" s="1478"/>
      <c r="J76" s="1477"/>
      <c r="K76" s="1477"/>
      <c r="L76" s="1477"/>
      <c r="M76" s="1477"/>
      <c r="N76" s="1477"/>
      <c r="O76" s="1478"/>
      <c r="P76" s="1479"/>
      <c r="Q76" s="1480"/>
      <c r="R76" s="1478"/>
      <c r="S76" s="1477"/>
      <c r="T76" s="1477"/>
      <c r="U76" s="1478"/>
      <c r="V76" s="1478"/>
      <c r="W76" s="1478"/>
      <c r="X76" s="1479"/>
    </row>
    <row r="77" spans="1:24" ht="39.75" customHeight="1" x14ac:dyDescent="0.2">
      <c r="A77" s="1491" t="s">
        <v>263</v>
      </c>
      <c r="B77" s="1490" t="s">
        <v>270</v>
      </c>
      <c r="C77" s="1631" t="s">
        <v>2961</v>
      </c>
      <c r="D77" s="1236" t="s">
        <v>1839</v>
      </c>
      <c r="E77" s="1232" t="s">
        <v>162</v>
      </c>
      <c r="F77" s="1232" t="s">
        <v>91</v>
      </c>
      <c r="G77" s="1232" t="s">
        <v>1829</v>
      </c>
      <c r="H77" s="1477"/>
      <c r="I77" s="1478"/>
      <c r="J77" s="1477">
        <v>220000</v>
      </c>
      <c r="K77" s="1477"/>
      <c r="L77" s="1477"/>
      <c r="M77" s="1477"/>
      <c r="N77" s="1477"/>
      <c r="O77" s="1478"/>
      <c r="P77" s="1479"/>
      <c r="Q77" s="1480"/>
      <c r="R77" s="1478"/>
      <c r="S77" s="1477"/>
      <c r="T77" s="1477">
        <v>220000</v>
      </c>
      <c r="U77" s="1478"/>
      <c r="V77" s="1478"/>
      <c r="W77" s="1478"/>
      <c r="X77" s="1479"/>
    </row>
    <row r="78" spans="1:24" ht="42.75" customHeight="1" x14ac:dyDescent="0.2">
      <c r="A78" s="1491" t="s">
        <v>264</v>
      </c>
      <c r="B78" s="1490" t="s">
        <v>271</v>
      </c>
      <c r="C78" s="1631" t="s">
        <v>2962</v>
      </c>
      <c r="D78" s="1236" t="s">
        <v>1839</v>
      </c>
      <c r="E78" s="1232" t="s">
        <v>162</v>
      </c>
      <c r="F78" s="1232" t="s">
        <v>152</v>
      </c>
      <c r="G78" s="1232" t="s">
        <v>1837</v>
      </c>
      <c r="H78" s="1477"/>
      <c r="I78" s="1478"/>
      <c r="J78" s="1477">
        <f>-94691+94691</f>
        <v>0</v>
      </c>
      <c r="K78" s="1477"/>
      <c r="L78" s="1477"/>
      <c r="M78" s="1477"/>
      <c r="N78" s="1477"/>
      <c r="O78" s="1478"/>
      <c r="P78" s="1479"/>
      <c r="Q78" s="1480"/>
      <c r="R78" s="1478"/>
      <c r="S78" s="1477"/>
      <c r="T78" s="1477"/>
      <c r="U78" s="1478"/>
      <c r="V78" s="1478"/>
      <c r="W78" s="1478"/>
      <c r="X78" s="1479"/>
    </row>
    <row r="79" spans="1:24" ht="42.75" customHeight="1" x14ac:dyDescent="0.2">
      <c r="A79" s="1491" t="s">
        <v>265</v>
      </c>
      <c r="B79" s="1490" t="s">
        <v>272</v>
      </c>
      <c r="C79" s="1631" t="s">
        <v>2964</v>
      </c>
      <c r="D79" s="1236" t="s">
        <v>1839</v>
      </c>
      <c r="E79" s="1232" t="s">
        <v>162</v>
      </c>
      <c r="F79" s="1232" t="s">
        <v>151</v>
      </c>
      <c r="G79" s="1232" t="s">
        <v>1837</v>
      </c>
      <c r="H79" s="1477"/>
      <c r="I79" s="1478"/>
      <c r="J79" s="1477">
        <f>-77580-100000-51600</f>
        <v>-229180</v>
      </c>
      <c r="K79" s="1477"/>
      <c r="L79" s="1477"/>
      <c r="M79" s="1477">
        <f>180457+48723</f>
        <v>229180</v>
      </c>
      <c r="N79" s="1477"/>
      <c r="O79" s="1478"/>
      <c r="P79" s="1479"/>
      <c r="Q79" s="1480"/>
      <c r="R79" s="1478"/>
      <c r="S79" s="1477"/>
      <c r="T79" s="1477"/>
      <c r="U79" s="1478"/>
      <c r="V79" s="1478"/>
      <c r="W79" s="1478"/>
      <c r="X79" s="1479"/>
    </row>
    <row r="80" spans="1:24" ht="21" customHeight="1" x14ac:dyDescent="0.2">
      <c r="A80" s="1635"/>
      <c r="B80" s="1637"/>
      <c r="C80" s="1563"/>
      <c r="D80" s="1236"/>
      <c r="E80" s="1232"/>
      <c r="F80" s="1232"/>
      <c r="G80" s="1232"/>
      <c r="H80" s="1477"/>
      <c r="I80" s="1478"/>
      <c r="J80" s="1477"/>
      <c r="K80" s="1477"/>
      <c r="L80" s="1477"/>
      <c r="M80" s="1477"/>
      <c r="N80" s="1477"/>
      <c r="O80" s="1478"/>
      <c r="P80" s="1479"/>
      <c r="Q80" s="1480"/>
      <c r="R80" s="1478"/>
      <c r="S80" s="1477"/>
      <c r="T80" s="1477"/>
      <c r="U80" s="1478"/>
      <c r="V80" s="1478"/>
      <c r="W80" s="1478"/>
      <c r="X80" s="1479"/>
    </row>
    <row r="81" spans="1:24" ht="18.75" x14ac:dyDescent="0.3">
      <c r="A81" s="2185" t="s">
        <v>1749</v>
      </c>
      <c r="B81" s="2186"/>
      <c r="C81" s="2187"/>
      <c r="D81" s="1179"/>
      <c r="E81" s="1179"/>
      <c r="F81" s="1179"/>
      <c r="G81" s="1179"/>
      <c r="H81" s="1180">
        <f t="shared" ref="H81:X81" si="2">SUM(H68:H80)+H53</f>
        <v>12591240</v>
      </c>
      <c r="I81" s="1180">
        <f t="shared" si="2"/>
        <v>2289362</v>
      </c>
      <c r="J81" s="1180">
        <f t="shared" si="2"/>
        <v>8564318</v>
      </c>
      <c r="K81" s="1180">
        <f t="shared" si="2"/>
        <v>0</v>
      </c>
      <c r="L81" s="1180">
        <f t="shared" si="2"/>
        <v>10764541</v>
      </c>
      <c r="M81" s="1180">
        <f t="shared" si="2"/>
        <v>1053031</v>
      </c>
      <c r="N81" s="1180">
        <f t="shared" si="2"/>
        <v>0</v>
      </c>
      <c r="O81" s="1180">
        <f t="shared" si="2"/>
        <v>0</v>
      </c>
      <c r="P81" s="1181">
        <f t="shared" si="2"/>
        <v>0</v>
      </c>
      <c r="Q81" s="1182">
        <f t="shared" si="2"/>
        <v>100000</v>
      </c>
      <c r="R81" s="1180">
        <f t="shared" si="2"/>
        <v>0</v>
      </c>
      <c r="S81" s="1180">
        <f t="shared" si="2"/>
        <v>0</v>
      </c>
      <c r="T81" s="1180">
        <f t="shared" si="2"/>
        <v>238192</v>
      </c>
      <c r="U81" s="1180">
        <f t="shared" si="2"/>
        <v>0</v>
      </c>
      <c r="V81" s="1180">
        <f t="shared" si="2"/>
        <v>0</v>
      </c>
      <c r="W81" s="1180">
        <f t="shared" si="2"/>
        <v>0</v>
      </c>
      <c r="X81" s="1181">
        <f t="shared" si="2"/>
        <v>34924300</v>
      </c>
    </row>
    <row r="82" spans="1:24" ht="18" customHeight="1" x14ac:dyDescent="0.25">
      <c r="A82" s="1197"/>
      <c r="B82" s="1197"/>
      <c r="C82" s="1197"/>
      <c r="D82" s="1197"/>
      <c r="E82" s="1197"/>
      <c r="F82" s="1197"/>
      <c r="G82" s="1197"/>
      <c r="H82" s="1197"/>
      <c r="I82" s="1197"/>
      <c r="J82" s="1197"/>
      <c r="K82" s="1197"/>
      <c r="L82" s="1197"/>
      <c r="M82" s="1197"/>
      <c r="N82" s="1197"/>
      <c r="O82" s="1197"/>
      <c r="P82" s="1197"/>
      <c r="Q82" s="1197"/>
      <c r="R82" s="1197"/>
      <c r="S82" s="1197"/>
      <c r="T82" s="1197"/>
      <c r="U82" s="1197"/>
      <c r="V82" s="1197"/>
      <c r="W82" s="1197"/>
      <c r="X82" s="1197"/>
    </row>
    <row r="83" spans="1:24" ht="18" customHeight="1" x14ac:dyDescent="0.25">
      <c r="A83" s="1197"/>
      <c r="B83" s="1197"/>
      <c r="C83" s="1197"/>
      <c r="D83" s="1197"/>
      <c r="E83" s="1197"/>
      <c r="F83" s="1197"/>
      <c r="G83" s="1197"/>
      <c r="H83" s="1224"/>
      <c r="I83" s="1224"/>
      <c r="J83" s="1224"/>
      <c r="K83" s="1224"/>
      <c r="L83" s="1224"/>
      <c r="M83" s="1224"/>
      <c r="N83" s="1224"/>
      <c r="O83" s="1224"/>
      <c r="P83" s="1224"/>
      <c r="Q83" s="1224"/>
      <c r="R83" s="1224"/>
      <c r="S83" s="1224"/>
      <c r="T83" s="1224"/>
      <c r="U83" s="1224"/>
      <c r="V83" s="1224"/>
      <c r="W83" s="1224"/>
      <c r="X83" s="1224"/>
    </row>
    <row r="84" spans="1:24" ht="15" x14ac:dyDescent="0.25">
      <c r="A84" s="1197"/>
      <c r="B84" s="1197"/>
      <c r="C84" s="1197"/>
      <c r="D84" s="1197"/>
      <c r="E84" s="1197"/>
      <c r="F84" s="1197"/>
      <c r="G84" s="1197"/>
      <c r="H84" s="1197"/>
      <c r="I84" s="1197"/>
      <c r="J84" s="1197"/>
      <c r="K84" s="1197"/>
      <c r="L84" s="1197"/>
      <c r="M84" s="1197"/>
      <c r="N84" s="1197"/>
      <c r="O84" s="1197"/>
      <c r="P84" s="1197"/>
      <c r="Q84" s="1197"/>
      <c r="R84" s="1197"/>
      <c r="S84" s="1197"/>
      <c r="T84" s="1197"/>
      <c r="U84" s="1197"/>
      <c r="V84" s="1197"/>
      <c r="W84" s="1197"/>
      <c r="X84" s="1197"/>
    </row>
    <row r="85" spans="1:24" ht="21.75" customHeight="1" x14ac:dyDescent="0.25">
      <c r="A85" s="1197"/>
      <c r="B85" s="1197"/>
      <c r="C85" s="1197"/>
      <c r="D85" s="1197"/>
      <c r="E85" s="1197"/>
      <c r="F85" s="1197"/>
      <c r="G85" s="1197"/>
      <c r="H85" s="1224"/>
      <c r="I85" s="2108" t="s">
        <v>1750</v>
      </c>
      <c r="J85" s="2108"/>
      <c r="K85" s="2108"/>
      <c r="L85" s="2108">
        <v>405016570</v>
      </c>
      <c r="M85" s="2108"/>
      <c r="N85" s="1225"/>
      <c r="O85" s="1225"/>
      <c r="P85" s="1225"/>
      <c r="Q85" s="1225"/>
      <c r="R85" s="2108" t="s">
        <v>1751</v>
      </c>
      <c r="S85" s="2108"/>
      <c r="T85" s="2108"/>
      <c r="U85" s="2108">
        <v>405016570</v>
      </c>
      <c r="V85" s="2108"/>
      <c r="W85" s="1224"/>
      <c r="X85" s="1224"/>
    </row>
    <row r="86" spans="1:24" ht="22.5" customHeight="1" x14ac:dyDescent="0.25">
      <c r="A86" s="1197"/>
      <c r="B86" s="1197"/>
      <c r="C86" s="1197"/>
      <c r="D86" s="1197"/>
      <c r="E86" s="1197"/>
      <c r="F86" s="1197"/>
      <c r="G86" s="1197"/>
      <c r="H86" s="1224"/>
      <c r="I86" s="2066" t="s">
        <v>3474</v>
      </c>
      <c r="J86" s="2066"/>
      <c r="K86" s="2066"/>
      <c r="L86" s="2108">
        <f>SUM(H81:P81)</f>
        <v>35262492</v>
      </c>
      <c r="M86" s="2108"/>
      <c r="N86" s="1225"/>
      <c r="O86" s="1225"/>
      <c r="P86" s="1225"/>
      <c r="Q86" s="1225"/>
      <c r="R86" s="2066" t="s">
        <v>3474</v>
      </c>
      <c r="S86" s="2066"/>
      <c r="T86" s="2066"/>
      <c r="U86" s="2108">
        <f>SUM(Q81:X81)</f>
        <v>35262492</v>
      </c>
      <c r="V86" s="2108"/>
      <c r="W86" s="1224"/>
      <c r="X86" s="1224"/>
    </row>
    <row r="87" spans="1:24" ht="18.75" customHeight="1" x14ac:dyDescent="0.25">
      <c r="A87" s="1197"/>
      <c r="B87" s="1197"/>
      <c r="C87" s="1197"/>
      <c r="D87" s="1197"/>
      <c r="E87" s="1197"/>
      <c r="F87" s="1197"/>
      <c r="G87" s="1197"/>
      <c r="H87" s="1224"/>
      <c r="I87" s="2108" t="s">
        <v>1561</v>
      </c>
      <c r="J87" s="2108"/>
      <c r="K87" s="2108"/>
      <c r="L87" s="2108">
        <f>+L85+L86</f>
        <v>440279062</v>
      </c>
      <c r="M87" s="2108"/>
      <c r="N87" s="1225"/>
      <c r="O87" s="1225"/>
      <c r="P87" s="1225"/>
      <c r="Q87" s="1225"/>
      <c r="R87" s="2108" t="s">
        <v>1561</v>
      </c>
      <c r="S87" s="2108"/>
      <c r="T87" s="2108"/>
      <c r="U87" s="2108">
        <f>+U85+U86</f>
        <v>440279062</v>
      </c>
      <c r="V87" s="2108"/>
      <c r="W87" s="1224"/>
      <c r="X87" s="1224"/>
    </row>
    <row r="88" spans="1:24" x14ac:dyDescent="0.2">
      <c r="A88" s="348"/>
      <c r="B88" s="348"/>
      <c r="C88" s="348"/>
      <c r="D88" s="348"/>
      <c r="E88" s="348"/>
      <c r="F88" s="348"/>
      <c r="G88" s="348"/>
      <c r="H88" s="348"/>
      <c r="I88" s="348"/>
      <c r="J88" s="348"/>
      <c r="K88" s="348"/>
      <c r="L88" s="348"/>
      <c r="M88" s="348"/>
      <c r="N88" s="348"/>
      <c r="O88" s="348"/>
      <c r="P88" s="348"/>
      <c r="Q88" s="348"/>
      <c r="R88" s="348"/>
      <c r="S88" s="348"/>
      <c r="T88" s="348"/>
      <c r="U88" s="348"/>
      <c r="V88" s="348"/>
      <c r="W88" s="348"/>
      <c r="X88" s="348"/>
    </row>
    <row r="89" spans="1:24" x14ac:dyDescent="0.2">
      <c r="A89" s="348"/>
      <c r="B89" s="348"/>
      <c r="C89" s="348"/>
      <c r="D89" s="348"/>
      <c r="E89" s="348"/>
      <c r="F89" s="348"/>
      <c r="G89" s="348"/>
      <c r="H89" s="348"/>
      <c r="I89" s="348"/>
      <c r="J89" s="348"/>
      <c r="K89" s="348"/>
      <c r="L89" s="348"/>
      <c r="M89" s="348"/>
      <c r="N89" s="348"/>
      <c r="O89" s="348"/>
      <c r="P89" s="348"/>
      <c r="Q89" s="348"/>
      <c r="R89" s="348"/>
      <c r="S89" s="348"/>
      <c r="T89" s="348"/>
      <c r="U89" s="348"/>
      <c r="V89" s="348"/>
      <c r="W89" s="348"/>
      <c r="X89" s="348"/>
    </row>
    <row r="90" spans="1:24" x14ac:dyDescent="0.2">
      <c r="A90" s="348"/>
      <c r="B90" s="348"/>
      <c r="C90" s="348"/>
      <c r="D90" s="348"/>
      <c r="E90" s="348"/>
      <c r="F90" s="348"/>
      <c r="G90" s="348"/>
      <c r="H90" s="348"/>
      <c r="I90" s="348"/>
      <c r="J90" s="348"/>
      <c r="K90" s="348"/>
      <c r="L90" s="348"/>
      <c r="M90" s="348"/>
      <c r="N90" s="348"/>
      <c r="O90" s="348"/>
      <c r="P90" s="348"/>
      <c r="Q90" s="348"/>
      <c r="R90" s="348"/>
      <c r="S90" s="348"/>
      <c r="T90" s="348"/>
      <c r="U90" s="348"/>
      <c r="V90" s="348"/>
      <c r="W90" s="348"/>
      <c r="X90" s="348"/>
    </row>
    <row r="91" spans="1:24" ht="15.75" x14ac:dyDescent="0.25">
      <c r="A91" s="2069" t="s">
        <v>3354</v>
      </c>
      <c r="B91" s="2069"/>
      <c r="C91" s="2069"/>
      <c r="D91" s="2069"/>
      <c r="E91" s="2069"/>
      <c r="F91" s="2069"/>
      <c r="G91" s="2069"/>
      <c r="H91" s="2069"/>
      <c r="I91" s="2069"/>
      <c r="J91" s="2069"/>
      <c r="K91" s="2069"/>
      <c r="L91" s="2069"/>
      <c r="M91" s="2069"/>
      <c r="N91" s="2069"/>
      <c r="O91" s="2069"/>
      <c r="P91" s="2069"/>
      <c r="Q91" s="2069"/>
      <c r="R91" s="2069"/>
      <c r="S91" s="2069"/>
      <c r="T91" s="2069"/>
      <c r="U91" s="2069"/>
      <c r="V91" s="2069"/>
      <c r="W91" s="2069"/>
      <c r="X91" s="2069"/>
    </row>
    <row r="92" spans="1:24" ht="15" x14ac:dyDescent="0.25">
      <c r="A92" s="1298"/>
      <c r="B92" s="1298"/>
      <c r="C92" s="1299"/>
      <c r="D92" s="1300"/>
      <c r="E92" s="1300"/>
      <c r="F92" s="1300"/>
      <c r="G92" s="1300"/>
      <c r="H92" s="1300"/>
      <c r="I92" s="1300"/>
      <c r="J92" s="1300"/>
      <c r="K92" s="1300"/>
      <c r="L92" s="1300"/>
      <c r="M92" s="1300"/>
      <c r="N92" s="1300"/>
      <c r="O92" s="1300"/>
      <c r="P92" s="1300"/>
      <c r="Q92" s="1300"/>
      <c r="R92" s="1300"/>
      <c r="S92" s="1300"/>
      <c r="T92" s="1300"/>
      <c r="U92" s="1300"/>
      <c r="V92" s="1300"/>
      <c r="W92" s="1300"/>
      <c r="X92" s="1300"/>
    </row>
    <row r="93" spans="1:24" ht="15" x14ac:dyDescent="0.25">
      <c r="A93" s="2188" t="s">
        <v>600</v>
      </c>
      <c r="B93" s="2188"/>
      <c r="C93" s="2188"/>
      <c r="D93" s="2188"/>
      <c r="E93" s="2188"/>
      <c r="F93" s="2188"/>
      <c r="G93" s="2188"/>
      <c r="H93" s="2188"/>
      <c r="I93" s="2188"/>
      <c r="J93" s="2188"/>
      <c r="K93" s="2188"/>
      <c r="L93" s="2188"/>
      <c r="M93" s="2188"/>
      <c r="N93" s="2188"/>
      <c r="O93" s="2188"/>
      <c r="P93" s="2188"/>
      <c r="Q93" s="2188"/>
      <c r="R93" s="2188"/>
      <c r="S93" s="2188"/>
      <c r="T93" s="2188"/>
      <c r="U93" s="2188"/>
      <c r="V93" s="2188"/>
      <c r="W93" s="2188"/>
      <c r="X93" s="2188"/>
    </row>
    <row r="94" spans="1:24" ht="15" x14ac:dyDescent="0.25">
      <c r="A94" s="1190"/>
      <c r="B94" s="1190"/>
      <c r="C94" s="1191"/>
      <c r="D94" s="1192"/>
      <c r="E94" s="1192"/>
      <c r="F94" s="1192"/>
      <c r="G94" s="1192"/>
      <c r="H94" s="1192"/>
      <c r="I94" s="1192"/>
      <c r="J94" s="1192"/>
      <c r="K94" s="1192"/>
      <c r="L94" s="1192"/>
      <c r="M94" s="1192"/>
      <c r="N94" s="1192"/>
      <c r="O94" s="1192"/>
      <c r="P94" s="1192"/>
      <c r="Q94" s="1301"/>
      <c r="R94" s="1192"/>
      <c r="S94" s="1192"/>
      <c r="T94" s="1192"/>
      <c r="U94" s="1192"/>
      <c r="V94" s="1192"/>
      <c r="W94" s="1192"/>
      <c r="X94" s="1192"/>
    </row>
    <row r="95" spans="1:24" ht="15" customHeight="1" x14ac:dyDescent="0.25">
      <c r="A95" s="2070" t="s">
        <v>37</v>
      </c>
      <c r="B95" s="2093" t="s">
        <v>1726</v>
      </c>
      <c r="C95" s="2074" t="s">
        <v>2</v>
      </c>
      <c r="D95" s="2076" t="s">
        <v>1727</v>
      </c>
      <c r="E95" s="2076" t="s">
        <v>117</v>
      </c>
      <c r="F95" s="2076" t="s">
        <v>1728</v>
      </c>
      <c r="G95" s="2076" t="s">
        <v>1729</v>
      </c>
      <c r="H95" s="2078" t="s">
        <v>1730</v>
      </c>
      <c r="I95" s="2078"/>
      <c r="J95" s="2078"/>
      <c r="K95" s="2078"/>
      <c r="L95" s="2078"/>
      <c r="M95" s="2078"/>
      <c r="N95" s="2078"/>
      <c r="O95" s="2079"/>
      <c r="P95" s="1464"/>
      <c r="Q95" s="2080" t="s">
        <v>1731</v>
      </c>
      <c r="R95" s="2078"/>
      <c r="S95" s="2078"/>
      <c r="T95" s="2078"/>
      <c r="U95" s="2078"/>
      <c r="V95" s="2078"/>
      <c r="W95" s="2078"/>
      <c r="X95" s="2081"/>
    </row>
    <row r="96" spans="1:24" ht="90.75" customHeight="1" x14ac:dyDescent="0.2">
      <c r="A96" s="2071"/>
      <c r="B96" s="2094"/>
      <c r="C96" s="2075"/>
      <c r="D96" s="2077"/>
      <c r="E96" s="2077"/>
      <c r="F96" s="2077"/>
      <c r="G96" s="2077"/>
      <c r="H96" s="1154" t="s">
        <v>2382</v>
      </c>
      <c r="I96" s="1154" t="s">
        <v>1801</v>
      </c>
      <c r="J96" s="1154" t="s">
        <v>1797</v>
      </c>
      <c r="K96" s="1154" t="s">
        <v>1735</v>
      </c>
      <c r="L96" s="1154" t="s">
        <v>1736</v>
      </c>
      <c r="M96" s="1154" t="s">
        <v>1737</v>
      </c>
      <c r="N96" s="1154" t="s">
        <v>1738</v>
      </c>
      <c r="O96" s="1156" t="s">
        <v>1739</v>
      </c>
      <c r="P96" s="1159" t="s">
        <v>1740</v>
      </c>
      <c r="Q96" s="1227" t="s">
        <v>1741</v>
      </c>
      <c r="R96" s="1155" t="s">
        <v>1742</v>
      </c>
      <c r="S96" s="1154" t="s">
        <v>1743</v>
      </c>
      <c r="T96" s="1154" t="s">
        <v>1744</v>
      </c>
      <c r="U96" s="1155" t="s">
        <v>1745</v>
      </c>
      <c r="V96" s="1155" t="s">
        <v>1746</v>
      </c>
      <c r="W96" s="1155" t="s">
        <v>1747</v>
      </c>
      <c r="X96" s="1159" t="s">
        <v>1748</v>
      </c>
    </row>
    <row r="97" spans="1:24" ht="22.5" customHeight="1" x14ac:dyDescent="0.2">
      <c r="A97" s="2086" t="s">
        <v>266</v>
      </c>
      <c r="B97" s="2085" t="s">
        <v>276</v>
      </c>
      <c r="C97" s="2096" t="s">
        <v>3030</v>
      </c>
      <c r="D97" s="1201" t="s">
        <v>1839</v>
      </c>
      <c r="E97" s="1232" t="s">
        <v>162</v>
      </c>
      <c r="F97" s="1232" t="s">
        <v>91</v>
      </c>
      <c r="G97" s="1232" t="s">
        <v>1837</v>
      </c>
      <c r="H97" s="1302">
        <f>-862142+183500+678642</f>
        <v>0</v>
      </c>
      <c r="I97" s="1303"/>
      <c r="J97" s="1302"/>
      <c r="K97" s="1302"/>
      <c r="L97" s="1302"/>
      <c r="M97" s="1302"/>
      <c r="N97" s="1302"/>
      <c r="O97" s="1303"/>
      <c r="P97" s="1304"/>
      <c r="Q97" s="1305"/>
      <c r="R97" s="1303"/>
      <c r="S97" s="1302"/>
      <c r="T97" s="1302"/>
      <c r="U97" s="1303"/>
      <c r="V97" s="1303"/>
      <c r="W97" s="1303"/>
      <c r="X97" s="1304"/>
    </row>
    <row r="98" spans="1:24" ht="22.5" customHeight="1" x14ac:dyDescent="0.2">
      <c r="A98" s="2053"/>
      <c r="B98" s="2055"/>
      <c r="C98" s="2057"/>
      <c r="D98" s="1236" t="s">
        <v>1839</v>
      </c>
      <c r="E98" s="1232" t="s">
        <v>162</v>
      </c>
      <c r="F98" s="1232" t="s">
        <v>132</v>
      </c>
      <c r="G98" s="1232" t="s">
        <v>1837</v>
      </c>
      <c r="H98" s="1477">
        <f>-446438+100000+346438</f>
        <v>0</v>
      </c>
      <c r="I98" s="1478"/>
      <c r="J98" s="1477"/>
      <c r="K98" s="1477"/>
      <c r="L98" s="1477"/>
      <c r="M98" s="1477"/>
      <c r="N98" s="1477"/>
      <c r="O98" s="1478"/>
      <c r="P98" s="1479"/>
      <c r="Q98" s="1480"/>
      <c r="R98" s="1478"/>
      <c r="S98" s="1477"/>
      <c r="T98" s="1477"/>
      <c r="U98" s="1478"/>
      <c r="V98" s="1478"/>
      <c r="W98" s="1478"/>
      <c r="X98" s="1479"/>
    </row>
    <row r="99" spans="1:24" ht="24" customHeight="1" x14ac:dyDescent="0.2">
      <c r="A99" s="2052" t="s">
        <v>267</v>
      </c>
      <c r="B99" s="2054" t="s">
        <v>277</v>
      </c>
      <c r="C99" s="2056" t="s">
        <v>3058</v>
      </c>
      <c r="D99" s="1236" t="s">
        <v>1839</v>
      </c>
      <c r="E99" s="1232" t="s">
        <v>1288</v>
      </c>
      <c r="F99" s="1232" t="s">
        <v>128</v>
      </c>
      <c r="G99" s="1232" t="s">
        <v>1829</v>
      </c>
      <c r="H99" s="1477"/>
      <c r="I99" s="1478"/>
      <c r="J99" s="1477"/>
      <c r="K99" s="1477"/>
      <c r="L99" s="1477"/>
      <c r="M99" s="1477"/>
      <c r="N99" s="1477"/>
      <c r="O99" s="1478"/>
      <c r="P99" s="1479"/>
      <c r="Q99" s="1480"/>
      <c r="R99" s="1478"/>
      <c r="S99" s="1477"/>
      <c r="T99" s="1477"/>
      <c r="U99" s="1478"/>
      <c r="V99" s="1478"/>
      <c r="W99" s="1478"/>
      <c r="X99" s="1479">
        <v>627888</v>
      </c>
    </row>
    <row r="100" spans="1:24" ht="24" customHeight="1" x14ac:dyDescent="0.2">
      <c r="A100" s="2053"/>
      <c r="B100" s="2055"/>
      <c r="C100" s="2057"/>
      <c r="D100" s="1236" t="s">
        <v>1839</v>
      </c>
      <c r="E100" s="1232" t="s">
        <v>162</v>
      </c>
      <c r="F100" s="1232" t="s">
        <v>132</v>
      </c>
      <c r="G100" s="1232" t="s">
        <v>1829</v>
      </c>
      <c r="H100" s="1477"/>
      <c r="I100" s="1478"/>
      <c r="J100" s="1477">
        <f>494400+133488</f>
        <v>627888</v>
      </c>
      <c r="K100" s="1477"/>
      <c r="L100" s="1477"/>
      <c r="M100" s="1477"/>
      <c r="N100" s="1477"/>
      <c r="O100" s="1478"/>
      <c r="P100" s="1479"/>
      <c r="Q100" s="1480"/>
      <c r="R100" s="1478"/>
      <c r="S100" s="1477"/>
      <c r="T100" s="1477"/>
      <c r="U100" s="1478"/>
      <c r="V100" s="1478"/>
      <c r="W100" s="1478"/>
      <c r="X100" s="1479"/>
    </row>
    <row r="101" spans="1:24" ht="19.5" customHeight="1" x14ac:dyDescent="0.2">
      <c r="A101" s="2052" t="s">
        <v>268</v>
      </c>
      <c r="B101" s="2054" t="s">
        <v>278</v>
      </c>
      <c r="C101" s="2056" t="s">
        <v>3181</v>
      </c>
      <c r="D101" s="1236" t="s">
        <v>1839</v>
      </c>
      <c r="E101" s="1232" t="s">
        <v>162</v>
      </c>
      <c r="F101" s="1232" t="s">
        <v>91</v>
      </c>
      <c r="G101" s="1232" t="s">
        <v>1837</v>
      </c>
      <c r="H101" s="1477">
        <f>-15283500+14150000+1133500</f>
        <v>0</v>
      </c>
      <c r="I101" s="1478"/>
      <c r="J101" s="1477"/>
      <c r="K101" s="1477"/>
      <c r="L101" s="1477"/>
      <c r="M101" s="1477"/>
      <c r="N101" s="1477"/>
      <c r="O101" s="1478"/>
      <c r="P101" s="1479"/>
      <c r="Q101" s="1480"/>
      <c r="R101" s="1478"/>
      <c r="S101" s="1477"/>
      <c r="T101" s="1477"/>
      <c r="U101" s="1478"/>
      <c r="V101" s="1478"/>
      <c r="W101" s="1478"/>
      <c r="X101" s="1479"/>
    </row>
    <row r="102" spans="1:24" ht="19.5" customHeight="1" x14ac:dyDescent="0.2">
      <c r="A102" s="2053"/>
      <c r="B102" s="2055"/>
      <c r="C102" s="2057"/>
      <c r="D102" s="1236" t="s">
        <v>1839</v>
      </c>
      <c r="E102" s="1232" t="s">
        <v>162</v>
      </c>
      <c r="F102" s="1232" t="s">
        <v>132</v>
      </c>
      <c r="G102" s="1232" t="s">
        <v>1837</v>
      </c>
      <c r="H102" s="1477">
        <f>-7730000+6950000+430000+350000</f>
        <v>0</v>
      </c>
      <c r="I102" s="1478"/>
      <c r="J102" s="1477"/>
      <c r="K102" s="1477"/>
      <c r="L102" s="1477"/>
      <c r="M102" s="1477"/>
      <c r="N102" s="1477"/>
      <c r="O102" s="1478"/>
      <c r="P102" s="1479"/>
      <c r="Q102" s="1480"/>
      <c r="R102" s="1478"/>
      <c r="S102" s="1477"/>
      <c r="T102" s="1477"/>
      <c r="U102" s="1478"/>
      <c r="V102" s="1478"/>
      <c r="W102" s="1478"/>
      <c r="X102" s="1479"/>
    </row>
    <row r="103" spans="1:24" ht="24.75" customHeight="1" x14ac:dyDescent="0.2">
      <c r="A103" s="2052" t="s">
        <v>269</v>
      </c>
      <c r="B103" s="2054" t="s">
        <v>279</v>
      </c>
      <c r="C103" s="2056" t="s">
        <v>3208</v>
      </c>
      <c r="D103" s="1236" t="s">
        <v>1839</v>
      </c>
      <c r="E103" s="1232" t="s">
        <v>1288</v>
      </c>
      <c r="F103" s="1232" t="s">
        <v>128</v>
      </c>
      <c r="G103" s="1232" t="s">
        <v>1829</v>
      </c>
      <c r="H103" s="1477"/>
      <c r="I103" s="1478"/>
      <c r="J103" s="1477"/>
      <c r="K103" s="1477"/>
      <c r="L103" s="1477"/>
      <c r="M103" s="1477"/>
      <c r="N103" s="1477"/>
      <c r="O103" s="1478"/>
      <c r="P103" s="1479"/>
      <c r="Q103" s="1480"/>
      <c r="R103" s="1478"/>
      <c r="S103" s="1477"/>
      <c r="T103" s="1477"/>
      <c r="U103" s="1478"/>
      <c r="V103" s="1478"/>
      <c r="W103" s="1478"/>
      <c r="X103" s="1479">
        <v>300000</v>
      </c>
    </row>
    <row r="104" spans="1:24" ht="24.75" customHeight="1" x14ac:dyDescent="0.2">
      <c r="A104" s="2053"/>
      <c r="B104" s="2055"/>
      <c r="C104" s="2057"/>
      <c r="D104" s="1236" t="s">
        <v>1839</v>
      </c>
      <c r="E104" s="1232" t="s">
        <v>162</v>
      </c>
      <c r="F104" s="1232" t="s">
        <v>152</v>
      </c>
      <c r="G104" s="1232" t="s">
        <v>1829</v>
      </c>
      <c r="H104" s="1477"/>
      <c r="I104" s="1478"/>
      <c r="J104" s="1477">
        <f>236220+63780</f>
        <v>300000</v>
      </c>
      <c r="K104" s="1477"/>
      <c r="L104" s="1477"/>
      <c r="M104" s="1477"/>
      <c r="N104" s="1477"/>
      <c r="O104" s="1478"/>
      <c r="P104" s="1479"/>
      <c r="Q104" s="1480"/>
      <c r="R104" s="1478"/>
      <c r="S104" s="1477"/>
      <c r="T104" s="1477"/>
      <c r="U104" s="1478"/>
      <c r="V104" s="1478"/>
      <c r="W104" s="1478"/>
      <c r="X104" s="1479"/>
    </row>
    <row r="105" spans="1:24" ht="28.5" customHeight="1" x14ac:dyDescent="0.2">
      <c r="A105" s="1491" t="s">
        <v>270</v>
      </c>
      <c r="B105" s="1490" t="s">
        <v>280</v>
      </c>
      <c r="C105" s="1631" t="s">
        <v>3346</v>
      </c>
      <c r="D105" s="1236" t="s">
        <v>1839</v>
      </c>
      <c r="E105" s="1232" t="s">
        <v>162</v>
      </c>
      <c r="F105" s="1232" t="s">
        <v>91</v>
      </c>
      <c r="G105" s="1232" t="s">
        <v>1837</v>
      </c>
      <c r="H105" s="1477"/>
      <c r="I105" s="1478"/>
      <c r="J105" s="1477">
        <f>-500000+500000</f>
        <v>0</v>
      </c>
      <c r="K105" s="1477"/>
      <c r="L105" s="1477"/>
      <c r="M105" s="1477"/>
      <c r="N105" s="1477"/>
      <c r="O105" s="1478"/>
      <c r="P105" s="1479"/>
      <c r="Q105" s="1480"/>
      <c r="R105" s="1478"/>
      <c r="S105" s="1477"/>
      <c r="T105" s="1477"/>
      <c r="U105" s="1478"/>
      <c r="V105" s="1478"/>
      <c r="W105" s="1478"/>
      <c r="X105" s="1479"/>
    </row>
    <row r="106" spans="1:24" ht="21.75" customHeight="1" x14ac:dyDescent="0.2">
      <c r="A106" s="2052" t="s">
        <v>271</v>
      </c>
      <c r="B106" s="2054" t="s">
        <v>188</v>
      </c>
      <c r="C106" s="2056" t="s">
        <v>3373</v>
      </c>
      <c r="D106" s="1236" t="s">
        <v>1839</v>
      </c>
      <c r="E106" s="1232" t="s">
        <v>162</v>
      </c>
      <c r="F106" s="1232" t="s">
        <v>91</v>
      </c>
      <c r="G106" s="1232" t="s">
        <v>1837</v>
      </c>
      <c r="H106" s="1477">
        <f>-3485500+293500+3192000</f>
        <v>0</v>
      </c>
      <c r="I106" s="1478"/>
      <c r="J106" s="1477"/>
      <c r="K106" s="1477"/>
      <c r="L106" s="1477"/>
      <c r="M106" s="1477"/>
      <c r="N106" s="1477"/>
      <c r="O106" s="1478"/>
      <c r="P106" s="1479"/>
      <c r="Q106" s="1480"/>
      <c r="R106" s="1478"/>
      <c r="S106" s="1477"/>
      <c r="T106" s="1477"/>
      <c r="U106" s="1478"/>
      <c r="V106" s="1478"/>
      <c r="W106" s="1478"/>
      <c r="X106" s="1479"/>
    </row>
    <row r="107" spans="1:24" ht="21.75" customHeight="1" x14ac:dyDescent="0.2">
      <c r="A107" s="2053"/>
      <c r="B107" s="2055"/>
      <c r="C107" s="2057"/>
      <c r="D107" s="1236" t="s">
        <v>1839</v>
      </c>
      <c r="E107" s="1232" t="s">
        <v>162</v>
      </c>
      <c r="F107" s="1232" t="s">
        <v>132</v>
      </c>
      <c r="G107" s="1232" t="s">
        <v>1837</v>
      </c>
      <c r="H107" s="1477">
        <f>-260000+160000+100000</f>
        <v>0</v>
      </c>
      <c r="I107" s="1478"/>
      <c r="J107" s="1477"/>
      <c r="K107" s="1477"/>
      <c r="L107" s="1477"/>
      <c r="M107" s="1477"/>
      <c r="N107" s="1477"/>
      <c r="O107" s="1478"/>
      <c r="P107" s="1479"/>
      <c r="Q107" s="1480"/>
      <c r="R107" s="1478"/>
      <c r="S107" s="1477"/>
      <c r="T107" s="1477"/>
      <c r="U107" s="1478"/>
      <c r="V107" s="1478"/>
      <c r="W107" s="1478"/>
      <c r="X107" s="1479"/>
    </row>
    <row r="108" spans="1:24" ht="39.75" customHeight="1" x14ac:dyDescent="0.2">
      <c r="A108" s="1491" t="s">
        <v>272</v>
      </c>
      <c r="B108" s="1490" t="s">
        <v>189</v>
      </c>
      <c r="C108" s="1631" t="s">
        <v>3427</v>
      </c>
      <c r="D108" s="1236" t="s">
        <v>1839</v>
      </c>
      <c r="E108" s="1232" t="s">
        <v>162</v>
      </c>
      <c r="F108" s="1232" t="s">
        <v>91</v>
      </c>
      <c r="G108" s="1232" t="s">
        <v>1837</v>
      </c>
      <c r="H108" s="1477"/>
      <c r="I108" s="1478"/>
      <c r="J108" s="1477">
        <f>-500000+500000</f>
        <v>0</v>
      </c>
      <c r="K108" s="1477"/>
      <c r="L108" s="1477"/>
      <c r="M108" s="1477"/>
      <c r="N108" s="1477"/>
      <c r="O108" s="1478"/>
      <c r="P108" s="1479"/>
      <c r="Q108" s="1480"/>
      <c r="R108" s="1478"/>
      <c r="S108" s="1477"/>
      <c r="T108" s="1477"/>
      <c r="U108" s="1478"/>
      <c r="V108" s="1478"/>
      <c r="W108" s="1478"/>
      <c r="X108" s="1479"/>
    </row>
    <row r="109" spans="1:24" ht="36.75" customHeight="1" x14ac:dyDescent="0.2">
      <c r="A109" s="1491" t="s">
        <v>276</v>
      </c>
      <c r="B109" s="1490" t="s">
        <v>190</v>
      </c>
      <c r="C109" s="1631" t="s">
        <v>3468</v>
      </c>
      <c r="D109" s="1236" t="s">
        <v>1839</v>
      </c>
      <c r="E109" s="1232" t="s">
        <v>162</v>
      </c>
      <c r="F109" s="1232" t="s">
        <v>91</v>
      </c>
      <c r="G109" s="1232" t="s">
        <v>1828</v>
      </c>
      <c r="H109" s="1477"/>
      <c r="I109" s="1478"/>
      <c r="J109" s="1477">
        <v>-39110</v>
      </c>
      <c r="K109" s="1477"/>
      <c r="L109" s="1477"/>
      <c r="M109" s="1477"/>
      <c r="N109" s="1477"/>
      <c r="O109" s="1478"/>
      <c r="P109" s="1479"/>
      <c r="Q109" s="1480"/>
      <c r="R109" s="1478"/>
      <c r="S109" s="1477"/>
      <c r="T109" s="1477">
        <f>-10-39100</f>
        <v>-39110</v>
      </c>
      <c r="U109" s="1478"/>
      <c r="V109" s="1478"/>
      <c r="W109" s="1478"/>
      <c r="X109" s="1479"/>
    </row>
    <row r="110" spans="1:24" ht="18.75" customHeight="1" x14ac:dyDescent="0.2">
      <c r="A110" s="1494"/>
      <c r="B110" s="1493"/>
      <c r="C110" s="1169"/>
      <c r="D110" s="1236"/>
      <c r="E110" s="1232"/>
      <c r="F110" s="1232"/>
      <c r="G110" s="1232"/>
      <c r="H110" s="1477"/>
      <c r="I110" s="1478"/>
      <c r="J110" s="1477"/>
      <c r="K110" s="1477"/>
      <c r="L110" s="1477"/>
      <c r="M110" s="1477"/>
      <c r="N110" s="1477"/>
      <c r="O110" s="1478"/>
      <c r="P110" s="1479"/>
      <c r="Q110" s="1480"/>
      <c r="R110" s="1478"/>
      <c r="S110" s="1477"/>
      <c r="T110" s="1477"/>
      <c r="U110" s="1478"/>
      <c r="V110" s="1478"/>
      <c r="W110" s="1478"/>
      <c r="X110" s="1479"/>
    </row>
    <row r="111" spans="1:24" ht="18.75" x14ac:dyDescent="0.3">
      <c r="A111" s="2185" t="s">
        <v>1749</v>
      </c>
      <c r="B111" s="2186"/>
      <c r="C111" s="2187"/>
      <c r="D111" s="1179"/>
      <c r="E111" s="1179"/>
      <c r="F111" s="1179"/>
      <c r="G111" s="1179"/>
      <c r="H111" s="1180">
        <f t="shared" ref="H111:X111" si="3">SUM(H97:H110)+H81</f>
        <v>12591240</v>
      </c>
      <c r="I111" s="1180">
        <f t="shared" si="3"/>
        <v>2289362</v>
      </c>
      <c r="J111" s="1180">
        <f t="shared" si="3"/>
        <v>9453096</v>
      </c>
      <c r="K111" s="1180">
        <f t="shared" si="3"/>
        <v>0</v>
      </c>
      <c r="L111" s="1180">
        <f t="shared" si="3"/>
        <v>10764541</v>
      </c>
      <c r="M111" s="1180">
        <f t="shared" si="3"/>
        <v>1053031</v>
      </c>
      <c r="N111" s="1180">
        <f t="shared" si="3"/>
        <v>0</v>
      </c>
      <c r="O111" s="1180">
        <f t="shared" si="3"/>
        <v>0</v>
      </c>
      <c r="P111" s="1181">
        <f t="shared" si="3"/>
        <v>0</v>
      </c>
      <c r="Q111" s="1182">
        <f t="shared" si="3"/>
        <v>100000</v>
      </c>
      <c r="R111" s="1180">
        <f t="shared" si="3"/>
        <v>0</v>
      </c>
      <c r="S111" s="1180">
        <f t="shared" si="3"/>
        <v>0</v>
      </c>
      <c r="T111" s="1180">
        <f t="shared" si="3"/>
        <v>199082</v>
      </c>
      <c r="U111" s="1180">
        <f t="shared" si="3"/>
        <v>0</v>
      </c>
      <c r="V111" s="1180">
        <f t="shared" si="3"/>
        <v>0</v>
      </c>
      <c r="W111" s="1180">
        <f t="shared" si="3"/>
        <v>0</v>
      </c>
      <c r="X111" s="1181">
        <f t="shared" si="3"/>
        <v>35852188</v>
      </c>
    </row>
    <row r="112" spans="1:24" ht="18.75" customHeight="1" x14ac:dyDescent="0.25">
      <c r="A112" s="1197"/>
      <c r="B112" s="1197"/>
      <c r="C112" s="1197"/>
      <c r="D112" s="1197"/>
      <c r="E112" s="1197"/>
      <c r="F112" s="1197"/>
      <c r="G112" s="1197"/>
      <c r="H112" s="1197">
        <f>+'2.9. sz. Szivárvány Ó.'!Q9-'2.9. sz. Szivárvány Ó.'!P9</f>
        <v>12591240</v>
      </c>
      <c r="I112" s="1197">
        <f>+'2.9. sz. Szivárvány Ó.'!Q10-'2.9. sz. Szivárvány Ó.'!P10</f>
        <v>2289362</v>
      </c>
      <c r="J112" s="1197">
        <f>+'2.9. sz. Szivárvány Ó.'!Q11-'2.9. sz. Szivárvány Ó.'!P11</f>
        <v>9453096</v>
      </c>
      <c r="K112" s="1197">
        <f>+'2.9. sz. Szivárvány Ó.'!Q12-'2.9. sz. Szivárvány Ó.'!P12</f>
        <v>0</v>
      </c>
      <c r="L112" s="1197">
        <f>+'2.9. sz. Szivárvány Ó.'!Q13-'2.9. sz. Szivárvány Ó.'!P13</f>
        <v>10764541</v>
      </c>
      <c r="M112" s="1197">
        <f>+'2.9. sz. Szivárvány Ó.'!Q17-'2.9. sz. Szivárvány Ó.'!P17</f>
        <v>1053031</v>
      </c>
      <c r="N112" s="1197">
        <f>+'2.9. sz. Szivárvány Ó.'!Q18-'2.9. sz. Szivárvány Ó.'!P18</f>
        <v>0</v>
      </c>
      <c r="O112" s="1197">
        <f>+'2.9. sz. Szivárvány Ó.'!Q19-'2.9. sz. Szivárvány Ó.'!P19</f>
        <v>0</v>
      </c>
      <c r="P112" s="1197">
        <f>+'2.9. sz. Szivárvány Ó.'!Q22-'2.9. sz. Szivárvány Ó.'!P22</f>
        <v>0</v>
      </c>
      <c r="Q112" s="1197">
        <f>+'2.9. sz. Szivárvány Ó.'!Q31-'2.9. sz. Szivárvány Ó.'!P31</f>
        <v>100000</v>
      </c>
      <c r="R112" s="1197">
        <f>+'2.9. sz. Szivárvány Ó.'!Q32-'2.9. sz. Szivárvány Ó.'!P32</f>
        <v>0</v>
      </c>
      <c r="S112" s="1197">
        <f>+'2.9. sz. Szivárvány Ó.'!Q33-'2.9. sz. Szivárvány Ó.'!P33</f>
        <v>0</v>
      </c>
      <c r="T112" s="1197">
        <f>+'2.9. sz. Szivárvány Ó.'!Q34-'2.9. sz. Szivárvány Ó.'!P34</f>
        <v>199082</v>
      </c>
      <c r="U112" s="1197">
        <f>+'2.9. sz. Szivárvány Ó.'!Q35-'2.9. sz. Szivárvány Ó.'!P35</f>
        <v>0</v>
      </c>
      <c r="V112" s="1197">
        <f>+'2.9. sz. Szivárvány Ó.'!Q36-'2.9. sz. Szivárvány Ó.'!P36</f>
        <v>0</v>
      </c>
      <c r="W112" s="1197">
        <f>+'2.9. sz. Szivárvány Ó.'!Q37-'2.9. sz. Szivárvány Ó.'!P37</f>
        <v>0</v>
      </c>
      <c r="X112" s="1197">
        <f>+'2.9. sz. Szivárvány Ó.'!Q39-'2.9. sz. Szivárvány Ó.'!P39</f>
        <v>35852188</v>
      </c>
    </row>
    <row r="113" spans="1:24" ht="18" customHeight="1" x14ac:dyDescent="0.25">
      <c r="A113" s="1197"/>
      <c r="B113" s="1197"/>
      <c r="C113" s="1197"/>
      <c r="D113" s="1197"/>
      <c r="E113" s="1197"/>
      <c r="F113" s="1197"/>
      <c r="G113" s="1197"/>
      <c r="H113" s="1224">
        <f>+H112-H111</f>
        <v>0</v>
      </c>
      <c r="I113" s="1224">
        <f t="shared" ref="I113:J113" si="4">+I112-I111</f>
        <v>0</v>
      </c>
      <c r="J113" s="1224">
        <f t="shared" si="4"/>
        <v>0</v>
      </c>
      <c r="K113" s="1224">
        <f>+K112-K111</f>
        <v>0</v>
      </c>
      <c r="L113" s="1224">
        <f>+L112-L111</f>
        <v>0</v>
      </c>
      <c r="M113" s="1224">
        <f t="shared" ref="M113" si="5">+M112-M111</f>
        <v>0</v>
      </c>
      <c r="N113" s="1224">
        <f>+N112-N111</f>
        <v>0</v>
      </c>
      <c r="O113" s="1224">
        <f t="shared" ref="O113:X113" si="6">+O112-O111</f>
        <v>0</v>
      </c>
      <c r="P113" s="1224">
        <f t="shared" si="6"/>
        <v>0</v>
      </c>
      <c r="Q113" s="1224">
        <f t="shared" si="6"/>
        <v>0</v>
      </c>
      <c r="R113" s="1224">
        <f t="shared" si="6"/>
        <v>0</v>
      </c>
      <c r="S113" s="1224">
        <f t="shared" si="6"/>
        <v>0</v>
      </c>
      <c r="T113" s="1224">
        <f t="shared" si="6"/>
        <v>0</v>
      </c>
      <c r="U113" s="1224">
        <f t="shared" si="6"/>
        <v>0</v>
      </c>
      <c r="V113" s="1224">
        <f t="shared" si="6"/>
        <v>0</v>
      </c>
      <c r="W113" s="1224">
        <f t="shared" si="6"/>
        <v>0</v>
      </c>
      <c r="X113" s="1224">
        <f t="shared" si="6"/>
        <v>0</v>
      </c>
    </row>
    <row r="114" spans="1:24" ht="15" x14ac:dyDescent="0.25">
      <c r="A114" s="1197"/>
      <c r="B114" s="1197"/>
      <c r="C114" s="1197"/>
      <c r="D114" s="1197"/>
      <c r="E114" s="1197"/>
      <c r="F114" s="1197"/>
      <c r="G114" s="1197"/>
      <c r="H114" s="1197"/>
      <c r="I114" s="1197"/>
      <c r="J114" s="1197"/>
      <c r="K114" s="1197"/>
      <c r="L114" s="1197"/>
      <c r="M114" s="1197"/>
      <c r="N114" s="1197"/>
      <c r="O114" s="1197"/>
      <c r="P114" s="1197"/>
      <c r="Q114" s="1197"/>
      <c r="R114" s="1197"/>
      <c r="S114" s="1197"/>
      <c r="T114" s="1197"/>
      <c r="U114" s="1197"/>
      <c r="V114" s="1197"/>
      <c r="W114" s="1197"/>
      <c r="X114" s="1197"/>
    </row>
    <row r="115" spans="1:24" ht="22.5" customHeight="1" x14ac:dyDescent="0.25">
      <c r="A115" s="1197"/>
      <c r="B115" s="1197"/>
      <c r="C115" s="1197"/>
      <c r="D115" s="1197"/>
      <c r="E115" s="1197"/>
      <c r="F115" s="1197"/>
      <c r="G115" s="1197"/>
      <c r="H115" s="1224"/>
      <c r="I115" s="2108" t="s">
        <v>1750</v>
      </c>
      <c r="J115" s="2108"/>
      <c r="K115" s="2108"/>
      <c r="L115" s="2108">
        <v>405016570</v>
      </c>
      <c r="M115" s="2108"/>
      <c r="N115" s="1225"/>
      <c r="O115" s="1225"/>
      <c r="P115" s="1225"/>
      <c r="Q115" s="1225"/>
      <c r="R115" s="2108" t="s">
        <v>1751</v>
      </c>
      <c r="S115" s="2108"/>
      <c r="T115" s="2108"/>
      <c r="U115" s="2108">
        <v>405016570</v>
      </c>
      <c r="V115" s="2108"/>
      <c r="W115" s="1224"/>
      <c r="X115" s="1224"/>
    </row>
    <row r="116" spans="1:24" ht="21.75" customHeight="1" x14ac:dyDescent="0.25">
      <c r="A116" s="1197"/>
      <c r="B116" s="1197"/>
      <c r="C116" s="1197"/>
      <c r="D116" s="1197"/>
      <c r="E116" s="1197"/>
      <c r="F116" s="1197"/>
      <c r="G116" s="1197"/>
      <c r="H116" s="1224"/>
      <c r="I116" s="2066" t="s">
        <v>3474</v>
      </c>
      <c r="J116" s="2066"/>
      <c r="K116" s="2066"/>
      <c r="L116" s="2108">
        <f>SUM(H111:P111)</f>
        <v>36151270</v>
      </c>
      <c r="M116" s="2108"/>
      <c r="N116" s="1225"/>
      <c r="O116" s="1225"/>
      <c r="P116" s="1225"/>
      <c r="Q116" s="1225"/>
      <c r="R116" s="2066" t="s">
        <v>3474</v>
      </c>
      <c r="S116" s="2066"/>
      <c r="T116" s="2066"/>
      <c r="U116" s="2108">
        <f>SUM(Q111:X111)</f>
        <v>36151270</v>
      </c>
      <c r="V116" s="2108"/>
      <c r="W116" s="1224"/>
      <c r="X116" s="1224"/>
    </row>
    <row r="117" spans="1:24" ht="22.5" customHeight="1" x14ac:dyDescent="0.25">
      <c r="A117" s="1197"/>
      <c r="B117" s="1197"/>
      <c r="C117" s="1197"/>
      <c r="D117" s="1197"/>
      <c r="E117" s="1197"/>
      <c r="F117" s="1197"/>
      <c r="G117" s="1197"/>
      <c r="H117" s="1224"/>
      <c r="I117" s="2108" t="s">
        <v>1561</v>
      </c>
      <c r="J117" s="2108"/>
      <c r="K117" s="2108"/>
      <c r="L117" s="2108">
        <f>+L115+L116</f>
        <v>441167840</v>
      </c>
      <c r="M117" s="2108"/>
      <c r="N117" s="1225"/>
      <c r="O117" s="1225"/>
      <c r="P117" s="1225"/>
      <c r="Q117" s="1225"/>
      <c r="R117" s="2108" t="s">
        <v>1561</v>
      </c>
      <c r="S117" s="2108"/>
      <c r="T117" s="2108"/>
      <c r="U117" s="2108">
        <f>+U115+U116</f>
        <v>441167840</v>
      </c>
      <c r="V117" s="2108"/>
      <c r="W117" s="1224"/>
      <c r="X117" s="1224"/>
    </row>
    <row r="118" spans="1:24" x14ac:dyDescent="0.2">
      <c r="A118" s="348"/>
      <c r="B118" s="348"/>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row>
    <row r="119" spans="1:24" x14ac:dyDescent="0.2">
      <c r="A119" s="348"/>
      <c r="B119" s="348"/>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row>
    <row r="120" spans="1:24" x14ac:dyDescent="0.2">
      <c r="A120" s="348"/>
      <c r="B120" s="348"/>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row>
    <row r="121" spans="1:24" x14ac:dyDescent="0.2">
      <c r="A121" s="348"/>
      <c r="B121" s="348"/>
      <c r="C121" s="348"/>
      <c r="D121" s="348"/>
      <c r="E121" s="348"/>
      <c r="F121" s="348"/>
      <c r="G121" s="348"/>
      <c r="H121" s="348"/>
      <c r="I121" s="348"/>
      <c r="J121" s="348"/>
      <c r="K121" s="348"/>
      <c r="L121" s="348"/>
      <c r="M121" s="348"/>
      <c r="N121" s="348"/>
      <c r="O121" s="348"/>
      <c r="P121" s="348"/>
      <c r="Q121" s="348"/>
      <c r="R121" s="348"/>
      <c r="S121" s="348"/>
      <c r="T121" s="348"/>
      <c r="U121" s="348"/>
      <c r="V121" s="348"/>
      <c r="W121" s="348"/>
      <c r="X121" s="348"/>
    </row>
    <row r="122" spans="1:24" x14ac:dyDescent="0.2">
      <c r="A122" s="348"/>
      <c r="B122" s="348"/>
      <c r="C122" s="348"/>
      <c r="D122" s="348"/>
      <c r="E122" s="348"/>
      <c r="F122" s="348"/>
      <c r="G122" s="348"/>
      <c r="H122" s="348"/>
      <c r="I122" s="348"/>
      <c r="J122" s="348"/>
      <c r="K122" s="348"/>
      <c r="L122" s="348"/>
      <c r="M122" s="348"/>
      <c r="N122" s="348"/>
      <c r="O122" s="348"/>
      <c r="P122" s="348"/>
      <c r="Q122" s="348"/>
      <c r="R122" s="348"/>
      <c r="S122" s="348"/>
      <c r="T122" s="348"/>
      <c r="U122" s="348"/>
      <c r="V122" s="348"/>
      <c r="W122" s="348"/>
      <c r="X122" s="348"/>
    </row>
    <row r="123" spans="1:24" x14ac:dyDescent="0.2">
      <c r="A123" s="348"/>
      <c r="B123" s="348"/>
      <c r="C123" s="348"/>
      <c r="D123" s="348"/>
      <c r="E123" s="348"/>
      <c r="F123" s="348"/>
      <c r="G123" s="348"/>
      <c r="H123" s="348"/>
      <c r="I123" s="348"/>
      <c r="J123" s="348"/>
      <c r="K123" s="348"/>
      <c r="L123" s="348"/>
      <c r="M123" s="348"/>
      <c r="N123" s="348"/>
      <c r="O123" s="348"/>
      <c r="P123" s="348"/>
      <c r="Q123" s="348"/>
      <c r="R123" s="348"/>
      <c r="S123" s="348"/>
      <c r="T123" s="348"/>
      <c r="U123" s="348"/>
      <c r="V123" s="348"/>
      <c r="W123" s="348"/>
      <c r="X123" s="348"/>
    </row>
    <row r="124" spans="1:24" x14ac:dyDescent="0.2">
      <c r="A124" s="348"/>
      <c r="B124" s="348"/>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row>
    <row r="125" spans="1:24" x14ac:dyDescent="0.2">
      <c r="A125" s="348"/>
      <c r="B125" s="348"/>
      <c r="C125" s="348"/>
      <c r="D125" s="348"/>
      <c r="E125" s="348"/>
      <c r="F125" s="348"/>
      <c r="G125" s="348"/>
      <c r="H125" s="348"/>
      <c r="I125" s="348"/>
      <c r="J125" s="348"/>
      <c r="K125" s="348"/>
      <c r="L125" s="348"/>
      <c r="M125" s="348"/>
      <c r="N125" s="348"/>
      <c r="O125" s="348"/>
      <c r="P125" s="348"/>
      <c r="Q125" s="348"/>
      <c r="R125" s="348"/>
      <c r="S125" s="348"/>
      <c r="T125" s="348"/>
      <c r="U125" s="348"/>
      <c r="V125" s="348"/>
      <c r="W125" s="348"/>
      <c r="X125" s="348"/>
    </row>
    <row r="126" spans="1:24" x14ac:dyDescent="0.2">
      <c r="A126" s="348"/>
      <c r="B126" s="348"/>
      <c r="C126" s="348"/>
      <c r="D126" s="348"/>
      <c r="E126" s="348"/>
      <c r="F126" s="348"/>
      <c r="G126" s="348"/>
      <c r="H126" s="348"/>
      <c r="I126" s="348"/>
      <c r="J126" s="348"/>
      <c r="K126" s="348"/>
      <c r="L126" s="348"/>
      <c r="M126" s="348"/>
      <c r="N126" s="348"/>
      <c r="O126" s="348"/>
      <c r="P126" s="348"/>
      <c r="Q126" s="348"/>
      <c r="R126" s="348"/>
      <c r="S126" s="348"/>
      <c r="T126" s="348"/>
      <c r="U126" s="348"/>
      <c r="V126" s="348"/>
      <c r="W126" s="348"/>
      <c r="X126" s="348"/>
    </row>
    <row r="127" spans="1:24" x14ac:dyDescent="0.2">
      <c r="A127" s="348"/>
      <c r="B127" s="348"/>
      <c r="C127" s="348"/>
      <c r="D127" s="348"/>
      <c r="E127" s="348"/>
      <c r="F127" s="348"/>
      <c r="G127" s="348"/>
      <c r="H127" s="348"/>
      <c r="I127" s="348"/>
      <c r="J127" s="348"/>
      <c r="K127" s="348"/>
      <c r="L127" s="348"/>
      <c r="M127" s="348"/>
      <c r="N127" s="348"/>
      <c r="O127" s="348"/>
      <c r="P127" s="348"/>
      <c r="Q127" s="348"/>
      <c r="R127" s="348"/>
      <c r="S127" s="348"/>
      <c r="T127" s="348"/>
      <c r="U127" s="348"/>
      <c r="V127" s="348"/>
      <c r="W127" s="348"/>
      <c r="X127" s="348"/>
    </row>
    <row r="128" spans="1:24" x14ac:dyDescent="0.2">
      <c r="A128" s="348"/>
      <c r="B128" s="348"/>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row>
  </sheetData>
  <mergeCells count="150">
    <mergeCell ref="R87:T87"/>
    <mergeCell ref="U87:V87"/>
    <mergeCell ref="L85:M85"/>
    <mergeCell ref="R85:T85"/>
    <mergeCell ref="U85:V85"/>
    <mergeCell ref="I86:K86"/>
    <mergeCell ref="L86:M86"/>
    <mergeCell ref="R86:T86"/>
    <mergeCell ref="U86:V86"/>
    <mergeCell ref="I85:K85"/>
    <mergeCell ref="C70:C71"/>
    <mergeCell ref="B70:B71"/>
    <mergeCell ref="A70:A71"/>
    <mergeCell ref="A48:A50"/>
    <mergeCell ref="C42:C44"/>
    <mergeCell ref="B42:B44"/>
    <mergeCell ref="A42:A44"/>
    <mergeCell ref="C45:C46"/>
    <mergeCell ref="B45:B46"/>
    <mergeCell ref="A45:A46"/>
    <mergeCell ref="C68:C69"/>
    <mergeCell ref="B68:B69"/>
    <mergeCell ref="A68:A69"/>
    <mergeCell ref="H66:O66"/>
    <mergeCell ref="Q66:X66"/>
    <mergeCell ref="B37:B39"/>
    <mergeCell ref="C48:C50"/>
    <mergeCell ref="B48:B50"/>
    <mergeCell ref="C51:C52"/>
    <mergeCell ref="B51:B52"/>
    <mergeCell ref="A51:A52"/>
    <mergeCell ref="A53:C53"/>
    <mergeCell ref="G66:G67"/>
    <mergeCell ref="I57:K57"/>
    <mergeCell ref="L59:M59"/>
    <mergeCell ref="I59:K59"/>
    <mergeCell ref="R59:T59"/>
    <mergeCell ref="U59:V59"/>
    <mergeCell ref="A62:X62"/>
    <mergeCell ref="A64:X64"/>
    <mergeCell ref="A66:A67"/>
    <mergeCell ref="B66:B67"/>
    <mergeCell ref="C66:C67"/>
    <mergeCell ref="D66:D67"/>
    <mergeCell ref="E66:E67"/>
    <mergeCell ref="F66:F67"/>
    <mergeCell ref="L28:M28"/>
    <mergeCell ref="R28:T28"/>
    <mergeCell ref="U28:V28"/>
    <mergeCell ref="I27:K27"/>
    <mergeCell ref="L27:M27"/>
    <mergeCell ref="L58:M58"/>
    <mergeCell ref="L57:M57"/>
    <mergeCell ref="R58:T58"/>
    <mergeCell ref="U58:V58"/>
    <mergeCell ref="R57:T57"/>
    <mergeCell ref="U57:V57"/>
    <mergeCell ref="I58:K58"/>
    <mergeCell ref="A1:X1"/>
    <mergeCell ref="A3:X3"/>
    <mergeCell ref="A5:A6"/>
    <mergeCell ref="B5:B6"/>
    <mergeCell ref="C5:C6"/>
    <mergeCell ref="D5:D6"/>
    <mergeCell ref="E5:E6"/>
    <mergeCell ref="F5:F6"/>
    <mergeCell ref="G5:G6"/>
    <mergeCell ref="H5:O5"/>
    <mergeCell ref="Q5:X5"/>
    <mergeCell ref="C14:C16"/>
    <mergeCell ref="B14:B16"/>
    <mergeCell ref="A14:A16"/>
    <mergeCell ref="C17:C18"/>
    <mergeCell ref="B17:B18"/>
    <mergeCell ref="A17:A18"/>
    <mergeCell ref="C12:C13"/>
    <mergeCell ref="B12:B13"/>
    <mergeCell ref="A12:A13"/>
    <mergeCell ref="C19:C20"/>
    <mergeCell ref="B19:B20"/>
    <mergeCell ref="A19:A20"/>
    <mergeCell ref="A22:C22"/>
    <mergeCell ref="A37:A39"/>
    <mergeCell ref="C37:C39"/>
    <mergeCell ref="A31:X31"/>
    <mergeCell ref="A33:X33"/>
    <mergeCell ref="A35:A36"/>
    <mergeCell ref="B35:B36"/>
    <mergeCell ref="C35:C36"/>
    <mergeCell ref="D35:D36"/>
    <mergeCell ref="E35:E36"/>
    <mergeCell ref="F35:F36"/>
    <mergeCell ref="G35:G36"/>
    <mergeCell ref="H35:O35"/>
    <mergeCell ref="Q35:X35"/>
    <mergeCell ref="I26:K26"/>
    <mergeCell ref="L26:M26"/>
    <mergeCell ref="R26:T26"/>
    <mergeCell ref="U26:V26"/>
    <mergeCell ref="R27:T27"/>
    <mergeCell ref="U27:V27"/>
    <mergeCell ref="I28:K28"/>
    <mergeCell ref="A103:A104"/>
    <mergeCell ref="C106:C107"/>
    <mergeCell ref="B106:B107"/>
    <mergeCell ref="A106:A107"/>
    <mergeCell ref="C75:C76"/>
    <mergeCell ref="B75:B76"/>
    <mergeCell ref="A75:A76"/>
    <mergeCell ref="C72:C74"/>
    <mergeCell ref="B72:B74"/>
    <mergeCell ref="A72:A74"/>
    <mergeCell ref="A81:C81"/>
    <mergeCell ref="A91:X91"/>
    <mergeCell ref="A93:X93"/>
    <mergeCell ref="A95:A96"/>
    <mergeCell ref="B95:B96"/>
    <mergeCell ref="C95:C96"/>
    <mergeCell ref="D95:D96"/>
    <mergeCell ref="E95:E96"/>
    <mergeCell ref="F95:F96"/>
    <mergeCell ref="G95:G96"/>
    <mergeCell ref="H95:O95"/>
    <mergeCell ref="Q95:X95"/>
    <mergeCell ref="I87:K87"/>
    <mergeCell ref="L87:M87"/>
    <mergeCell ref="I116:K116"/>
    <mergeCell ref="L116:M116"/>
    <mergeCell ref="R116:T116"/>
    <mergeCell ref="U116:V116"/>
    <mergeCell ref="I117:K117"/>
    <mergeCell ref="L117:M117"/>
    <mergeCell ref="R117:T117"/>
    <mergeCell ref="U117:V117"/>
    <mergeCell ref="C97:C98"/>
    <mergeCell ref="A111:C111"/>
    <mergeCell ref="I115:K115"/>
    <mergeCell ref="L115:M115"/>
    <mergeCell ref="R115:T115"/>
    <mergeCell ref="U115:V115"/>
    <mergeCell ref="B97:B98"/>
    <mergeCell ref="A97:A98"/>
    <mergeCell ref="C99:C100"/>
    <mergeCell ref="B99:B100"/>
    <mergeCell ref="A99:A100"/>
    <mergeCell ref="C101:C102"/>
    <mergeCell ref="B101:B102"/>
    <mergeCell ref="A101:A102"/>
    <mergeCell ref="C103:C104"/>
    <mergeCell ref="B103:B104"/>
  </mergeCells>
  <pageMargins left="0.51181102362204722" right="0.31496062992125984" top="0.74803149606299213" bottom="0.74803149606299213" header="0.31496062992125984" footer="0.31496062992125984"/>
  <pageSetup paperSize="9" scale="52" orientation="landscape" r:id="rId1"/>
  <headerFooter>
    <oddHeader>&amp;C2023. évi költségvetés&amp;RDunaharaszti Szivárvány Óvoda előirányzat-módosítása</oddHeader>
    <oddFooter>&amp;C&amp;P/&amp;N</oddFooter>
  </headerFooter>
  <rowBreaks count="4" manualBreakCount="4">
    <brk id="28" max="23" man="1"/>
    <brk id="59" max="23" man="1"/>
    <brk id="87" max="23" man="1"/>
    <brk id="117" max="2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X141"/>
  <sheetViews>
    <sheetView view="pageBreakPreview" topLeftCell="A85" zoomScale="90" zoomScaleNormal="100" zoomScaleSheetLayoutView="90" workbookViewId="0">
      <selection activeCell="I20" sqref="I20:K20"/>
    </sheetView>
  </sheetViews>
  <sheetFormatPr defaultRowHeight="12.75" x14ac:dyDescent="0.2"/>
  <cols>
    <col min="1" max="1" width="4.42578125" customWidth="1"/>
    <col min="2" max="2" width="4.28515625" customWidth="1"/>
    <col min="3" max="3" width="33.28515625" customWidth="1"/>
    <col min="4" max="4" width="6.28515625" customWidth="1"/>
    <col min="5" max="5" width="7.140625" customWidth="1"/>
    <col min="6" max="6" width="5.7109375" customWidth="1"/>
    <col min="7" max="7" width="5" customWidth="1"/>
    <col min="8" max="8" width="12.28515625" customWidth="1"/>
    <col min="9" max="9" width="12.140625" customWidth="1"/>
    <col min="10" max="10" width="12.85546875" customWidth="1"/>
    <col min="11" max="11" width="11" customWidth="1"/>
    <col min="12" max="13" width="11.85546875" customWidth="1"/>
    <col min="14" max="14" width="10.7109375" customWidth="1"/>
    <col min="15" max="15" width="12" customWidth="1"/>
    <col min="16" max="16" width="11.5703125" customWidth="1"/>
    <col min="17" max="17" width="13.5703125" customWidth="1"/>
    <col min="18" max="18" width="14.28515625" customWidth="1"/>
    <col min="19" max="19" width="11.28515625" customWidth="1"/>
    <col min="20" max="20" width="12.7109375" customWidth="1"/>
    <col min="21" max="21" width="10.85546875" customWidth="1"/>
    <col min="22" max="22" width="11.42578125" customWidth="1"/>
    <col min="23" max="23" width="11.5703125" customWidth="1"/>
    <col min="24" max="24" width="13" customWidth="1"/>
  </cols>
  <sheetData>
    <row r="1" spans="1:24" ht="15.75" x14ac:dyDescent="0.25">
      <c r="A1" s="2069" t="s">
        <v>2024</v>
      </c>
      <c r="B1" s="2069"/>
      <c r="C1" s="2069"/>
      <c r="D1" s="2069"/>
      <c r="E1" s="2069"/>
      <c r="F1" s="2069"/>
      <c r="G1" s="2069"/>
      <c r="H1" s="2069"/>
      <c r="I1" s="2069"/>
      <c r="J1" s="2069"/>
      <c r="K1" s="2069"/>
      <c r="L1" s="2069"/>
      <c r="M1" s="2069"/>
      <c r="N1" s="2069"/>
      <c r="O1" s="2069"/>
      <c r="P1" s="2069"/>
      <c r="Q1" s="2069"/>
      <c r="R1" s="2069"/>
      <c r="S1" s="2069"/>
      <c r="T1" s="2069"/>
      <c r="U1" s="2069"/>
      <c r="V1" s="2069"/>
      <c r="W1" s="2069"/>
      <c r="X1" s="2069"/>
    </row>
    <row r="2" spans="1:24" ht="15" x14ac:dyDescent="0.25">
      <c r="A2" s="1298"/>
      <c r="B2" s="1298"/>
      <c r="C2" s="1299"/>
      <c r="D2" s="1300"/>
      <c r="E2" s="1300"/>
      <c r="F2" s="1300"/>
      <c r="G2" s="1300"/>
      <c r="H2" s="1300"/>
      <c r="I2" s="1300"/>
      <c r="J2" s="1300"/>
      <c r="K2" s="1300"/>
      <c r="L2" s="1300"/>
      <c r="M2" s="1300"/>
      <c r="N2" s="1300"/>
      <c r="O2" s="1300"/>
      <c r="P2" s="1300"/>
      <c r="Q2" s="1300"/>
      <c r="R2" s="1300"/>
      <c r="S2" s="1300"/>
      <c r="T2" s="1300"/>
      <c r="U2" s="1300"/>
      <c r="V2" s="1300"/>
      <c r="W2" s="1300"/>
      <c r="X2" s="1300"/>
    </row>
    <row r="3" spans="1:24" ht="15" x14ac:dyDescent="0.25">
      <c r="A3" s="2188" t="s">
        <v>1802</v>
      </c>
      <c r="B3" s="2188"/>
      <c r="C3" s="2188"/>
      <c r="D3" s="2188"/>
      <c r="E3" s="2188"/>
      <c r="F3" s="2188"/>
      <c r="G3" s="2188"/>
      <c r="H3" s="2188"/>
      <c r="I3" s="2188"/>
      <c r="J3" s="2188"/>
      <c r="K3" s="2188"/>
      <c r="L3" s="2188"/>
      <c r="M3" s="2188"/>
      <c r="N3" s="2188"/>
      <c r="O3" s="2188"/>
      <c r="P3" s="2188"/>
      <c r="Q3" s="2188"/>
      <c r="R3" s="2188"/>
      <c r="S3" s="2188"/>
      <c r="T3" s="2188"/>
      <c r="U3" s="2188"/>
      <c r="V3" s="2188"/>
      <c r="W3" s="2188"/>
      <c r="X3" s="2188"/>
    </row>
    <row r="4" spans="1:24" ht="15" x14ac:dyDescent="0.25">
      <c r="A4" s="1190"/>
      <c r="B4" s="1190"/>
      <c r="C4" s="1191"/>
      <c r="D4" s="1192"/>
      <c r="E4" s="1192"/>
      <c r="F4" s="1192"/>
      <c r="G4" s="1192"/>
      <c r="H4" s="1192"/>
      <c r="I4" s="1192"/>
      <c r="J4" s="1192"/>
      <c r="K4" s="1192"/>
      <c r="L4" s="1192"/>
      <c r="M4" s="1192"/>
      <c r="N4" s="1192"/>
      <c r="O4" s="1192"/>
      <c r="P4" s="1192"/>
      <c r="Q4" s="1301"/>
      <c r="R4" s="1192"/>
      <c r="S4" s="1192"/>
      <c r="T4" s="1192"/>
      <c r="U4" s="1192"/>
      <c r="V4" s="1192"/>
      <c r="W4" s="1192"/>
      <c r="X4" s="1192"/>
    </row>
    <row r="5" spans="1:24" ht="15" x14ac:dyDescent="0.25">
      <c r="A5" s="2070" t="s">
        <v>37</v>
      </c>
      <c r="B5" s="2093" t="s">
        <v>1726</v>
      </c>
      <c r="C5" s="2074" t="s">
        <v>2</v>
      </c>
      <c r="D5" s="2076" t="s">
        <v>1727</v>
      </c>
      <c r="E5" s="2076" t="s">
        <v>117</v>
      </c>
      <c r="F5" s="2076" t="s">
        <v>1728</v>
      </c>
      <c r="G5" s="2076" t="s">
        <v>1729</v>
      </c>
      <c r="H5" s="2078" t="s">
        <v>1730</v>
      </c>
      <c r="I5" s="2078"/>
      <c r="J5" s="2078"/>
      <c r="K5" s="2078"/>
      <c r="L5" s="2078"/>
      <c r="M5" s="2078"/>
      <c r="N5" s="2078"/>
      <c r="O5" s="2079"/>
      <c r="P5" s="1153"/>
      <c r="Q5" s="2095" t="s">
        <v>1731</v>
      </c>
      <c r="R5" s="2078"/>
      <c r="S5" s="2078"/>
      <c r="T5" s="2078"/>
      <c r="U5" s="2078"/>
      <c r="V5" s="2078"/>
      <c r="W5" s="2078"/>
      <c r="X5" s="2081"/>
    </row>
    <row r="6" spans="1:24" ht="87.75" customHeight="1" x14ac:dyDescent="0.2">
      <c r="A6" s="2071"/>
      <c r="B6" s="2094"/>
      <c r="C6" s="2075"/>
      <c r="D6" s="2077"/>
      <c r="E6" s="2077"/>
      <c r="F6" s="2077"/>
      <c r="G6" s="2077"/>
      <c r="H6" s="1154" t="s">
        <v>2382</v>
      </c>
      <c r="I6" s="1155" t="s">
        <v>1733</v>
      </c>
      <c r="J6" s="1154" t="s">
        <v>1797</v>
      </c>
      <c r="K6" s="1154" t="s">
        <v>1735</v>
      </c>
      <c r="L6" s="1154" t="s">
        <v>1736</v>
      </c>
      <c r="M6" s="1154" t="s">
        <v>1737</v>
      </c>
      <c r="N6" s="1154" t="s">
        <v>1738</v>
      </c>
      <c r="O6" s="1156" t="s">
        <v>1739</v>
      </c>
      <c r="P6" s="1157" t="s">
        <v>1740</v>
      </c>
      <c r="Q6" s="1158" t="s">
        <v>1741</v>
      </c>
      <c r="R6" s="1155" t="s">
        <v>1742</v>
      </c>
      <c r="S6" s="1154" t="s">
        <v>1743</v>
      </c>
      <c r="T6" s="1154" t="s">
        <v>1744</v>
      </c>
      <c r="U6" s="1155" t="s">
        <v>1745</v>
      </c>
      <c r="V6" s="1155" t="s">
        <v>1746</v>
      </c>
      <c r="W6" s="1155" t="s">
        <v>1747</v>
      </c>
      <c r="X6" s="1159" t="s">
        <v>1748</v>
      </c>
    </row>
    <row r="7" spans="1:24" ht="19.5" customHeight="1" x14ac:dyDescent="0.2">
      <c r="A7" s="2086" t="s">
        <v>188</v>
      </c>
      <c r="B7" s="2085" t="s">
        <v>194</v>
      </c>
      <c r="C7" s="2096" t="s">
        <v>1826</v>
      </c>
      <c r="D7" s="1206" t="s">
        <v>1827</v>
      </c>
      <c r="E7" s="1244" t="s">
        <v>559</v>
      </c>
      <c r="F7" s="1244" t="s">
        <v>152</v>
      </c>
      <c r="G7" s="1312" t="s">
        <v>1828</v>
      </c>
      <c r="H7" s="1363"/>
      <c r="I7" s="1363"/>
      <c r="J7" s="1363"/>
      <c r="K7" s="1363"/>
      <c r="L7" s="1363"/>
      <c r="M7" s="1363"/>
      <c r="N7" s="1363"/>
      <c r="O7" s="1363"/>
      <c r="P7" s="1364"/>
      <c r="Q7" s="1362"/>
      <c r="R7" s="1363"/>
      <c r="S7" s="1363"/>
      <c r="T7" s="1363">
        <f>-641200-3191-707</f>
        <v>-645098</v>
      </c>
      <c r="U7" s="1363"/>
      <c r="V7" s="1363"/>
      <c r="W7" s="1363"/>
      <c r="X7" s="1364"/>
    </row>
    <row r="8" spans="1:24" ht="19.5" customHeight="1" x14ac:dyDescent="0.2">
      <c r="A8" s="2061"/>
      <c r="B8" s="2060"/>
      <c r="C8" s="2065"/>
      <c r="D8" s="1206" t="s">
        <v>1827</v>
      </c>
      <c r="E8" s="1232" t="s">
        <v>559</v>
      </c>
      <c r="F8" s="1232" t="s">
        <v>91</v>
      </c>
      <c r="G8" s="1232" t="s">
        <v>1829</v>
      </c>
      <c r="H8" s="1363"/>
      <c r="I8" s="1363"/>
      <c r="J8" s="1363"/>
      <c r="K8" s="1363"/>
      <c r="L8" s="1363"/>
      <c r="M8" s="1363"/>
      <c r="N8" s="1363"/>
      <c r="O8" s="1363"/>
      <c r="P8" s="1364"/>
      <c r="Q8" s="1362"/>
      <c r="R8" s="1363"/>
      <c r="S8" s="1363"/>
      <c r="T8" s="1363">
        <v>95000</v>
      </c>
      <c r="U8" s="1363"/>
      <c r="V8" s="1363"/>
      <c r="W8" s="1363"/>
      <c r="X8" s="1364"/>
    </row>
    <row r="9" spans="1:24" ht="19.5" customHeight="1" x14ac:dyDescent="0.2">
      <c r="A9" s="2061"/>
      <c r="B9" s="2060"/>
      <c r="C9" s="2065"/>
      <c r="D9" s="1206" t="s">
        <v>1827</v>
      </c>
      <c r="E9" s="1244" t="s">
        <v>559</v>
      </c>
      <c r="F9" s="1244" t="s">
        <v>132</v>
      </c>
      <c r="G9" s="1312" t="s">
        <v>1829</v>
      </c>
      <c r="H9" s="1363"/>
      <c r="I9" s="1363"/>
      <c r="J9" s="1363"/>
      <c r="K9" s="1363"/>
      <c r="L9" s="1363"/>
      <c r="M9" s="1363"/>
      <c r="N9" s="1363"/>
      <c r="O9" s="1363"/>
      <c r="P9" s="1364"/>
      <c r="Q9" s="1362"/>
      <c r="R9" s="1363"/>
      <c r="S9" s="1363"/>
      <c r="T9" s="1363">
        <v>546200</v>
      </c>
      <c r="U9" s="1363"/>
      <c r="V9" s="1363"/>
      <c r="W9" s="1363"/>
      <c r="X9" s="1364"/>
    </row>
    <row r="10" spans="1:24" ht="19.5" customHeight="1" x14ac:dyDescent="0.2">
      <c r="A10" s="2053"/>
      <c r="B10" s="2055"/>
      <c r="C10" s="2057"/>
      <c r="D10" s="1206" t="s">
        <v>1827</v>
      </c>
      <c r="E10" s="1232" t="s">
        <v>559</v>
      </c>
      <c r="F10" s="1232" t="s">
        <v>830</v>
      </c>
      <c r="G10" s="1232" t="s">
        <v>1829</v>
      </c>
      <c r="H10" s="1363"/>
      <c r="I10" s="1363"/>
      <c r="J10" s="1363"/>
      <c r="K10" s="1363"/>
      <c r="L10" s="1363"/>
      <c r="M10" s="1363"/>
      <c r="N10" s="1363"/>
      <c r="O10" s="1363"/>
      <c r="P10" s="1364"/>
      <c r="Q10" s="1362"/>
      <c r="R10" s="1363"/>
      <c r="S10" s="1363"/>
      <c r="T10" s="1363">
        <f>3191+707</f>
        <v>3898</v>
      </c>
      <c r="U10" s="1363"/>
      <c r="V10" s="1363"/>
      <c r="W10" s="1363"/>
      <c r="X10" s="1364"/>
    </row>
    <row r="11" spans="1:24" ht="25.5" x14ac:dyDescent="0.2">
      <c r="A11" s="1494" t="s">
        <v>189</v>
      </c>
      <c r="B11" s="1313" t="s">
        <v>195</v>
      </c>
      <c r="C11" s="1169" t="s">
        <v>1836</v>
      </c>
      <c r="D11" s="1206" t="s">
        <v>1827</v>
      </c>
      <c r="E11" s="1232" t="s">
        <v>559</v>
      </c>
      <c r="F11" s="1232" t="s">
        <v>132</v>
      </c>
      <c r="G11" s="1232" t="s">
        <v>1837</v>
      </c>
      <c r="H11" s="1363">
        <f>-480000+480000</f>
        <v>0</v>
      </c>
      <c r="I11" s="1363"/>
      <c r="J11" s="1363"/>
      <c r="K11" s="1363"/>
      <c r="L11" s="1363"/>
      <c r="M11" s="1363"/>
      <c r="N11" s="1363"/>
      <c r="O11" s="1363"/>
      <c r="P11" s="1364"/>
      <c r="Q11" s="1362"/>
      <c r="R11" s="1363"/>
      <c r="S11" s="1363"/>
      <c r="T11" s="1363"/>
      <c r="U11" s="1363"/>
      <c r="V11" s="1363"/>
      <c r="W11" s="1363"/>
      <c r="X11" s="1364"/>
    </row>
    <row r="12" spans="1:24" ht="21.75" customHeight="1" x14ac:dyDescent="0.2">
      <c r="A12" s="2052" t="s">
        <v>190</v>
      </c>
      <c r="B12" s="2054" t="s">
        <v>196</v>
      </c>
      <c r="C12" s="2056" t="s">
        <v>1955</v>
      </c>
      <c r="D12" s="1206" t="s">
        <v>1827</v>
      </c>
      <c r="E12" s="1244" t="s">
        <v>559</v>
      </c>
      <c r="F12" s="1232" t="s">
        <v>91</v>
      </c>
      <c r="G12" s="1232" t="s">
        <v>1829</v>
      </c>
      <c r="H12" s="1363"/>
      <c r="I12" s="1363"/>
      <c r="J12" s="1363">
        <f>787402+212598</f>
        <v>1000000</v>
      </c>
      <c r="K12" s="1363"/>
      <c r="L12" s="1363"/>
      <c r="M12" s="1363"/>
      <c r="N12" s="1363"/>
      <c r="O12" s="1363"/>
      <c r="P12" s="1364"/>
      <c r="Q12" s="1362"/>
      <c r="R12" s="1363"/>
      <c r="S12" s="1363"/>
      <c r="T12" s="1363">
        <v>1000000</v>
      </c>
      <c r="U12" s="1363"/>
      <c r="V12" s="1363"/>
      <c r="W12" s="1363"/>
      <c r="X12" s="1364"/>
    </row>
    <row r="13" spans="1:24" ht="21.75" customHeight="1" x14ac:dyDescent="0.2">
      <c r="A13" s="2053"/>
      <c r="B13" s="2055"/>
      <c r="C13" s="2057"/>
      <c r="D13" s="1206" t="s">
        <v>1827</v>
      </c>
      <c r="E13" s="1244" t="s">
        <v>559</v>
      </c>
      <c r="F13" s="1232" t="s">
        <v>132</v>
      </c>
      <c r="G13" s="1232" t="s">
        <v>1829</v>
      </c>
      <c r="H13" s="1363"/>
      <c r="I13" s="1363"/>
      <c r="J13" s="1363">
        <f>1053543+600000+646457</f>
        <v>2300000</v>
      </c>
      <c r="K13" s="1363"/>
      <c r="L13" s="1363"/>
      <c r="M13" s="1363"/>
      <c r="N13" s="1363"/>
      <c r="O13" s="1363"/>
      <c r="P13" s="1364"/>
      <c r="Q13" s="1362"/>
      <c r="R13" s="1363"/>
      <c r="S13" s="1363"/>
      <c r="T13" s="1363">
        <f>200000+2100000</f>
        <v>2300000</v>
      </c>
      <c r="U13" s="1363"/>
      <c r="V13" s="1363"/>
      <c r="W13" s="1363"/>
      <c r="X13" s="1364"/>
    </row>
    <row r="14" spans="1:24" ht="37.5" customHeight="1" x14ac:dyDescent="0.2">
      <c r="A14" s="1494" t="s">
        <v>191</v>
      </c>
      <c r="B14" s="1313" t="s">
        <v>197</v>
      </c>
      <c r="C14" s="1492" t="s">
        <v>2211</v>
      </c>
      <c r="D14" s="1206" t="s">
        <v>1827</v>
      </c>
      <c r="E14" s="1244" t="s">
        <v>559</v>
      </c>
      <c r="F14" s="1232" t="s">
        <v>91</v>
      </c>
      <c r="G14" s="1232" t="s">
        <v>1837</v>
      </c>
      <c r="H14" s="1363"/>
      <c r="I14" s="1363"/>
      <c r="J14" s="1363">
        <f>-120000+120000</f>
        <v>0</v>
      </c>
      <c r="K14" s="1363"/>
      <c r="L14" s="1363"/>
      <c r="M14" s="1363"/>
      <c r="N14" s="1363"/>
      <c r="O14" s="1363"/>
      <c r="P14" s="1364"/>
      <c r="Q14" s="1362"/>
      <c r="R14" s="1363"/>
      <c r="S14" s="1363"/>
      <c r="T14" s="1363"/>
      <c r="U14" s="1363"/>
      <c r="V14" s="1363"/>
      <c r="W14" s="1363"/>
      <c r="X14" s="1364"/>
    </row>
    <row r="15" spans="1:24" ht="20.25" customHeight="1" x14ac:dyDescent="0.3">
      <c r="A15" s="2185" t="s">
        <v>1749</v>
      </c>
      <c r="B15" s="2186"/>
      <c r="C15" s="2187"/>
      <c r="D15" s="1179"/>
      <c r="E15" s="1179"/>
      <c r="F15" s="1179"/>
      <c r="G15" s="1179"/>
      <c r="H15" s="1180">
        <f t="shared" ref="H15:X15" si="0">SUM(H7:H14)</f>
        <v>0</v>
      </c>
      <c r="I15" s="1180">
        <f t="shared" si="0"/>
        <v>0</v>
      </c>
      <c r="J15" s="1180">
        <f t="shared" si="0"/>
        <v>3300000</v>
      </c>
      <c r="K15" s="1180">
        <f t="shared" si="0"/>
        <v>0</v>
      </c>
      <c r="L15" s="1180">
        <f t="shared" si="0"/>
        <v>0</v>
      </c>
      <c r="M15" s="1180">
        <f t="shared" si="0"/>
        <v>0</v>
      </c>
      <c r="N15" s="1180">
        <f t="shared" si="0"/>
        <v>0</v>
      </c>
      <c r="O15" s="1180">
        <f t="shared" si="0"/>
        <v>0</v>
      </c>
      <c r="P15" s="1181">
        <f t="shared" si="0"/>
        <v>0</v>
      </c>
      <c r="Q15" s="1182">
        <f t="shared" si="0"/>
        <v>0</v>
      </c>
      <c r="R15" s="1180">
        <f t="shared" si="0"/>
        <v>0</v>
      </c>
      <c r="S15" s="1180">
        <f t="shared" si="0"/>
        <v>0</v>
      </c>
      <c r="T15" s="1180">
        <f t="shared" si="0"/>
        <v>3300000</v>
      </c>
      <c r="U15" s="1180">
        <f t="shared" si="0"/>
        <v>0</v>
      </c>
      <c r="V15" s="1180">
        <f t="shared" si="0"/>
        <v>0</v>
      </c>
      <c r="W15" s="1180">
        <f t="shared" si="0"/>
        <v>0</v>
      </c>
      <c r="X15" s="1181">
        <f t="shared" si="0"/>
        <v>0</v>
      </c>
    </row>
    <row r="16" spans="1:24" ht="14.25" customHeight="1" x14ac:dyDescent="0.2">
      <c r="A16" s="1220"/>
      <c r="B16" s="1220"/>
      <c r="C16" s="1220"/>
      <c r="D16" s="1290"/>
      <c r="E16" s="1291"/>
      <c r="F16" s="1291"/>
      <c r="G16" s="1292"/>
      <c r="H16" s="1293"/>
      <c r="I16" s="1293"/>
      <c r="J16" s="1293"/>
      <c r="K16" s="1293"/>
      <c r="L16" s="1293"/>
      <c r="M16" s="1293"/>
      <c r="N16" s="1293"/>
      <c r="O16" s="1293"/>
      <c r="P16" s="1293"/>
      <c r="Q16" s="1293"/>
      <c r="R16" s="1293"/>
      <c r="S16" s="1293"/>
      <c r="T16" s="1293"/>
      <c r="U16" s="1293"/>
      <c r="V16" s="1293"/>
      <c r="W16" s="1293"/>
      <c r="X16" s="1293"/>
    </row>
    <row r="17" spans="1:24" ht="15.75" customHeight="1" x14ac:dyDescent="0.2">
      <c r="A17" s="1220"/>
      <c r="B17" s="1220"/>
      <c r="C17" s="1220"/>
      <c r="D17" s="1290"/>
      <c r="E17" s="1291"/>
      <c r="F17" s="1291"/>
      <c r="G17" s="1292"/>
      <c r="H17" s="1293"/>
      <c r="I17" s="1293"/>
      <c r="J17" s="1293"/>
      <c r="K17" s="1293"/>
      <c r="L17" s="1293"/>
      <c r="M17" s="1293"/>
      <c r="N17" s="1293"/>
      <c r="O17" s="1293"/>
      <c r="P17" s="1293"/>
      <c r="Q17" s="1293"/>
      <c r="R17" s="1293"/>
      <c r="S17" s="1293"/>
      <c r="T17" s="1293"/>
      <c r="U17" s="1293"/>
      <c r="V17" s="1293"/>
      <c r="W17" s="1293"/>
      <c r="X17" s="1293"/>
    </row>
    <row r="18" spans="1:24" ht="15" x14ac:dyDescent="0.25">
      <c r="A18" s="1197"/>
      <c r="B18" s="1197"/>
      <c r="C18" s="1197"/>
      <c r="D18" s="1197"/>
      <c r="E18" s="1197"/>
      <c r="F18" s="1197"/>
      <c r="G18" s="1197"/>
      <c r="H18" s="1197"/>
      <c r="I18" s="1197"/>
      <c r="J18" s="1197"/>
      <c r="K18" s="1197"/>
      <c r="L18" s="1197"/>
      <c r="M18" s="1197"/>
      <c r="N18" s="1197"/>
      <c r="O18" s="1197"/>
      <c r="P18" s="1197"/>
      <c r="Q18" s="1197"/>
      <c r="R18" s="1197"/>
      <c r="S18" s="1197"/>
      <c r="T18" s="1197"/>
      <c r="U18" s="1197"/>
      <c r="V18" s="1197"/>
      <c r="W18" s="1197"/>
      <c r="X18" s="1197"/>
    </row>
    <row r="19" spans="1:24" ht="21.75" customHeight="1" x14ac:dyDescent="0.25">
      <c r="A19" s="1197"/>
      <c r="B19" s="1197"/>
      <c r="C19" s="1197"/>
      <c r="D19" s="1197"/>
      <c r="E19" s="1197"/>
      <c r="F19" s="1197"/>
      <c r="G19" s="1197"/>
      <c r="H19" s="1224"/>
      <c r="I19" s="2108" t="s">
        <v>1750</v>
      </c>
      <c r="J19" s="2108"/>
      <c r="K19" s="2108"/>
      <c r="L19" s="2108">
        <v>161946676</v>
      </c>
      <c r="M19" s="2108"/>
      <c r="N19" s="1225"/>
      <c r="O19" s="1225"/>
      <c r="P19" s="1225"/>
      <c r="Q19" s="1225"/>
      <c r="R19" s="2108" t="s">
        <v>1751</v>
      </c>
      <c r="S19" s="2108"/>
      <c r="T19" s="2108"/>
      <c r="U19" s="2108">
        <v>161946676</v>
      </c>
      <c r="V19" s="2108"/>
      <c r="W19" s="1224"/>
      <c r="X19" s="1224"/>
    </row>
    <row r="20" spans="1:24" ht="21.75" customHeight="1" x14ac:dyDescent="0.25">
      <c r="A20" s="1197"/>
      <c r="B20" s="1197"/>
      <c r="C20" s="1197"/>
      <c r="D20" s="1197"/>
      <c r="E20" s="1197"/>
      <c r="F20" s="1197"/>
      <c r="G20" s="1197"/>
      <c r="H20" s="1224"/>
      <c r="I20" s="2066" t="s">
        <v>3474</v>
      </c>
      <c r="J20" s="2066"/>
      <c r="K20" s="2066"/>
      <c r="L20" s="2108">
        <f>SUM(H15:P15)</f>
        <v>3300000</v>
      </c>
      <c r="M20" s="2108"/>
      <c r="N20" s="1225"/>
      <c r="O20" s="1225"/>
      <c r="P20" s="1225"/>
      <c r="Q20" s="1225"/>
      <c r="R20" s="2066" t="s">
        <v>3474</v>
      </c>
      <c r="S20" s="2066"/>
      <c r="T20" s="2066"/>
      <c r="U20" s="2108">
        <f>SUM(Q15:X15)</f>
        <v>3300000</v>
      </c>
      <c r="V20" s="2108"/>
      <c r="W20" s="1224"/>
      <c r="X20" s="1224"/>
    </row>
    <row r="21" spans="1:24" ht="21.75" customHeight="1" x14ac:dyDescent="0.25">
      <c r="A21" s="1197"/>
      <c r="B21" s="1197"/>
      <c r="C21" s="1197"/>
      <c r="D21" s="1197"/>
      <c r="E21" s="1197"/>
      <c r="F21" s="1197"/>
      <c r="G21" s="1197"/>
      <c r="H21" s="1224"/>
      <c r="I21" s="2108" t="s">
        <v>1561</v>
      </c>
      <c r="J21" s="2108"/>
      <c r="K21" s="2108"/>
      <c r="L21" s="2108">
        <f>+L19+L20</f>
        <v>165246676</v>
      </c>
      <c r="M21" s="2108"/>
      <c r="N21" s="1225"/>
      <c r="O21" s="1225"/>
      <c r="P21" s="1225"/>
      <c r="Q21" s="1225"/>
      <c r="R21" s="2108" t="s">
        <v>1561</v>
      </c>
      <c r="S21" s="2108"/>
      <c r="T21" s="2108"/>
      <c r="U21" s="2108">
        <f>+U19+U20</f>
        <v>165246676</v>
      </c>
      <c r="V21" s="2108"/>
      <c r="W21" s="1224"/>
      <c r="X21" s="1224"/>
    </row>
    <row r="22" spans="1:24" ht="18.75" customHeight="1" x14ac:dyDescent="0.2">
      <c r="A22" s="348"/>
      <c r="B22" s="348"/>
      <c r="C22" s="348"/>
      <c r="D22" s="348"/>
      <c r="E22" s="348"/>
      <c r="F22" s="348"/>
      <c r="G22" s="348"/>
      <c r="H22" s="348"/>
      <c r="I22" s="348"/>
      <c r="J22" s="348"/>
      <c r="K22" s="348"/>
      <c r="L22" s="348"/>
      <c r="M22" s="348"/>
      <c r="N22" s="348"/>
      <c r="O22" s="348"/>
      <c r="P22" s="348"/>
      <c r="Q22" s="348"/>
      <c r="R22" s="348"/>
      <c r="S22" s="348"/>
      <c r="T22" s="348"/>
      <c r="U22" s="348"/>
      <c r="V22" s="348"/>
      <c r="W22" s="348"/>
      <c r="X22" s="348"/>
    </row>
    <row r="23" spans="1:24" x14ac:dyDescent="0.2">
      <c r="A23" s="348"/>
      <c r="B23" s="348"/>
      <c r="C23" s="348"/>
      <c r="D23" s="348"/>
      <c r="E23" s="348"/>
      <c r="F23" s="348"/>
      <c r="G23" s="348"/>
      <c r="H23" s="348"/>
      <c r="I23" s="348"/>
      <c r="J23" s="348"/>
      <c r="K23" s="348"/>
      <c r="L23" s="348"/>
      <c r="M23" s="348"/>
      <c r="N23" s="348"/>
      <c r="O23" s="348"/>
      <c r="P23" s="348"/>
      <c r="Q23" s="348"/>
      <c r="R23" s="348"/>
      <c r="S23" s="348"/>
      <c r="T23" s="348"/>
      <c r="U23" s="348"/>
      <c r="V23" s="348"/>
      <c r="W23" s="348"/>
      <c r="X23" s="348"/>
    </row>
    <row r="24" spans="1:24" ht="15.75" x14ac:dyDescent="0.25">
      <c r="A24" s="2069" t="s">
        <v>2641</v>
      </c>
      <c r="B24" s="2069"/>
      <c r="C24" s="2069"/>
      <c r="D24" s="2069"/>
      <c r="E24" s="2069"/>
      <c r="F24" s="2069"/>
      <c r="G24" s="2069"/>
      <c r="H24" s="2069"/>
      <c r="I24" s="2069"/>
      <c r="J24" s="2069"/>
      <c r="K24" s="2069"/>
      <c r="L24" s="2069"/>
      <c r="M24" s="2069"/>
      <c r="N24" s="2069"/>
      <c r="O24" s="2069"/>
      <c r="P24" s="2069"/>
      <c r="Q24" s="2069"/>
      <c r="R24" s="2069"/>
      <c r="S24" s="2069"/>
      <c r="T24" s="2069"/>
      <c r="U24" s="2069"/>
      <c r="V24" s="2069"/>
      <c r="W24" s="2069"/>
      <c r="X24" s="2069"/>
    </row>
    <row r="25" spans="1:24" ht="15" x14ac:dyDescent="0.25">
      <c r="A25" s="1298"/>
      <c r="B25" s="1298"/>
      <c r="C25" s="1299"/>
      <c r="D25" s="1300"/>
      <c r="E25" s="1300"/>
      <c r="F25" s="1300"/>
      <c r="G25" s="1300"/>
      <c r="H25" s="1300"/>
      <c r="I25" s="1300"/>
      <c r="J25" s="1300"/>
      <c r="K25" s="1300"/>
      <c r="L25" s="1300"/>
      <c r="M25" s="1300"/>
      <c r="N25" s="1300"/>
      <c r="O25" s="1300"/>
      <c r="P25" s="1300"/>
      <c r="Q25" s="1300"/>
      <c r="R25" s="1300"/>
      <c r="S25" s="1300"/>
      <c r="T25" s="1300"/>
      <c r="U25" s="1300"/>
      <c r="V25" s="1300"/>
      <c r="W25" s="1300"/>
      <c r="X25" s="1300"/>
    </row>
    <row r="26" spans="1:24" ht="15" x14ac:dyDescent="0.25">
      <c r="A26" s="2188" t="s">
        <v>1802</v>
      </c>
      <c r="B26" s="2188"/>
      <c r="C26" s="2188"/>
      <c r="D26" s="2188"/>
      <c r="E26" s="2188"/>
      <c r="F26" s="2188"/>
      <c r="G26" s="2188"/>
      <c r="H26" s="2188"/>
      <c r="I26" s="2188"/>
      <c r="J26" s="2188"/>
      <c r="K26" s="2188"/>
      <c r="L26" s="2188"/>
      <c r="M26" s="2188"/>
      <c r="N26" s="2188"/>
      <c r="O26" s="2188"/>
      <c r="P26" s="2188"/>
      <c r="Q26" s="2188"/>
      <c r="R26" s="2188"/>
      <c r="S26" s="2188"/>
      <c r="T26" s="2188"/>
      <c r="U26" s="2188"/>
      <c r="V26" s="2188"/>
      <c r="W26" s="2188"/>
      <c r="X26" s="2188"/>
    </row>
    <row r="27" spans="1:24" ht="15" x14ac:dyDescent="0.25">
      <c r="A27" s="1190"/>
      <c r="B27" s="1190"/>
      <c r="C27" s="1191"/>
      <c r="D27" s="1192"/>
      <c r="E27" s="1192"/>
      <c r="F27" s="1192"/>
      <c r="G27" s="1192"/>
      <c r="H27" s="1192"/>
      <c r="I27" s="1192"/>
      <c r="J27" s="1192"/>
      <c r="K27" s="1192"/>
      <c r="L27" s="1192"/>
      <c r="M27" s="1192"/>
      <c r="N27" s="1192"/>
      <c r="O27" s="1192"/>
      <c r="P27" s="1192"/>
      <c r="Q27" s="1301"/>
      <c r="R27" s="1192"/>
      <c r="S27" s="1192"/>
      <c r="T27" s="1192"/>
      <c r="U27" s="1192"/>
      <c r="V27" s="1192"/>
      <c r="W27" s="1192"/>
      <c r="X27" s="1192"/>
    </row>
    <row r="28" spans="1:24" ht="15" x14ac:dyDescent="0.25">
      <c r="A28" s="2070" t="s">
        <v>37</v>
      </c>
      <c r="B28" s="2093" t="s">
        <v>1726</v>
      </c>
      <c r="C28" s="2074" t="s">
        <v>2</v>
      </c>
      <c r="D28" s="2076" t="s">
        <v>1727</v>
      </c>
      <c r="E28" s="2076" t="s">
        <v>117</v>
      </c>
      <c r="F28" s="2076" t="s">
        <v>1728</v>
      </c>
      <c r="G28" s="2076" t="s">
        <v>1729</v>
      </c>
      <c r="H28" s="2078" t="s">
        <v>1730</v>
      </c>
      <c r="I28" s="2078"/>
      <c r="J28" s="2078"/>
      <c r="K28" s="2078"/>
      <c r="L28" s="2078"/>
      <c r="M28" s="2078"/>
      <c r="N28" s="2078"/>
      <c r="O28" s="2079"/>
      <c r="P28" s="1464"/>
      <c r="Q28" s="2080" t="s">
        <v>1731</v>
      </c>
      <c r="R28" s="2078"/>
      <c r="S28" s="2078"/>
      <c r="T28" s="2078"/>
      <c r="U28" s="2078"/>
      <c r="V28" s="2078"/>
      <c r="W28" s="2078"/>
      <c r="X28" s="2081"/>
    </row>
    <row r="29" spans="1:24" ht="78.75" customHeight="1" x14ac:dyDescent="0.2">
      <c r="A29" s="2071"/>
      <c r="B29" s="2094"/>
      <c r="C29" s="2075"/>
      <c r="D29" s="2077"/>
      <c r="E29" s="2077"/>
      <c r="F29" s="2077"/>
      <c r="G29" s="2077"/>
      <c r="H29" s="1154" t="s">
        <v>2382</v>
      </c>
      <c r="I29" s="1155" t="s">
        <v>1733</v>
      </c>
      <c r="J29" s="1154" t="s">
        <v>1797</v>
      </c>
      <c r="K29" s="1154" t="s">
        <v>1735</v>
      </c>
      <c r="L29" s="1154" t="s">
        <v>1736</v>
      </c>
      <c r="M29" s="1154" t="s">
        <v>1737</v>
      </c>
      <c r="N29" s="1154" t="s">
        <v>1738</v>
      </c>
      <c r="O29" s="1156" t="s">
        <v>1739</v>
      </c>
      <c r="P29" s="1159" t="s">
        <v>1740</v>
      </c>
      <c r="Q29" s="1227" t="s">
        <v>1741</v>
      </c>
      <c r="R29" s="1155" t="s">
        <v>1742</v>
      </c>
      <c r="S29" s="1154" t="s">
        <v>1743</v>
      </c>
      <c r="T29" s="1154" t="s">
        <v>1744</v>
      </c>
      <c r="U29" s="1155" t="s">
        <v>1745</v>
      </c>
      <c r="V29" s="1155" t="s">
        <v>1746</v>
      </c>
      <c r="W29" s="1155" t="s">
        <v>1747</v>
      </c>
      <c r="X29" s="1159" t="s">
        <v>1748</v>
      </c>
    </row>
    <row r="30" spans="1:24" ht="16.5" customHeight="1" x14ac:dyDescent="0.2">
      <c r="A30" s="2086" t="s">
        <v>192</v>
      </c>
      <c r="B30" s="2085" t="s">
        <v>198</v>
      </c>
      <c r="C30" s="2096" t="s">
        <v>2265</v>
      </c>
      <c r="D30" s="1206" t="s">
        <v>1827</v>
      </c>
      <c r="E30" s="1244" t="s">
        <v>1288</v>
      </c>
      <c r="F30" s="1244" t="s">
        <v>128</v>
      </c>
      <c r="G30" s="1312" t="s">
        <v>1829</v>
      </c>
      <c r="H30" s="1363"/>
      <c r="I30" s="1363"/>
      <c r="J30" s="1363"/>
      <c r="K30" s="1363"/>
      <c r="L30" s="1363"/>
      <c r="M30" s="1363"/>
      <c r="N30" s="1363"/>
      <c r="O30" s="1363"/>
      <c r="P30" s="1364"/>
      <c r="Q30" s="1362"/>
      <c r="R30" s="1363"/>
      <c r="S30" s="1363"/>
      <c r="T30" s="1363"/>
      <c r="U30" s="1363"/>
      <c r="V30" s="1363"/>
      <c r="W30" s="1363"/>
      <c r="X30" s="1364">
        <v>2034000</v>
      </c>
    </row>
    <row r="31" spans="1:24" ht="16.5" customHeight="1" x14ac:dyDescent="0.2">
      <c r="A31" s="2061"/>
      <c r="B31" s="2060"/>
      <c r="C31" s="2065"/>
      <c r="D31" s="1206" t="s">
        <v>1827</v>
      </c>
      <c r="E31" s="1232" t="s">
        <v>559</v>
      </c>
      <c r="F31" s="1232" t="s">
        <v>91</v>
      </c>
      <c r="G31" s="1232" t="s">
        <v>1829</v>
      </c>
      <c r="H31" s="1363">
        <v>750000</v>
      </c>
      <c r="I31" s="1363">
        <v>97500</v>
      </c>
      <c r="J31" s="1363"/>
      <c r="K31" s="1363"/>
      <c r="L31" s="1363"/>
      <c r="M31" s="1363"/>
      <c r="N31" s="1363"/>
      <c r="O31" s="1363"/>
      <c r="P31" s="1364"/>
      <c r="Q31" s="1362"/>
      <c r="R31" s="1363"/>
      <c r="S31" s="1363"/>
      <c r="T31" s="1363"/>
      <c r="U31" s="1363"/>
      <c r="V31" s="1363"/>
      <c r="W31" s="1363"/>
      <c r="X31" s="1364"/>
    </row>
    <row r="32" spans="1:24" ht="16.5" customHeight="1" x14ac:dyDescent="0.2">
      <c r="A32" s="2053"/>
      <c r="B32" s="2055"/>
      <c r="C32" s="2057"/>
      <c r="D32" s="1206" t="s">
        <v>1827</v>
      </c>
      <c r="E32" s="1244" t="s">
        <v>559</v>
      </c>
      <c r="F32" s="1244" t="s">
        <v>132</v>
      </c>
      <c r="G32" s="1312" t="s">
        <v>1829</v>
      </c>
      <c r="H32" s="1363">
        <v>1050000</v>
      </c>
      <c r="I32" s="1363">
        <v>136500</v>
      </c>
      <c r="J32" s="1363"/>
      <c r="K32" s="1363"/>
      <c r="L32" s="1363"/>
      <c r="M32" s="1363"/>
      <c r="N32" s="1363"/>
      <c r="O32" s="1363"/>
      <c r="P32" s="1364"/>
      <c r="Q32" s="1362"/>
      <c r="R32" s="1363"/>
      <c r="S32" s="1363"/>
      <c r="T32" s="1363"/>
      <c r="U32" s="1363"/>
      <c r="V32" s="1363"/>
      <c r="W32" s="1363"/>
      <c r="X32" s="1364"/>
    </row>
    <row r="33" spans="1:24" ht="30" customHeight="1" x14ac:dyDescent="0.2">
      <c r="A33" s="1491" t="s">
        <v>193</v>
      </c>
      <c r="B33" s="1490" t="s">
        <v>225</v>
      </c>
      <c r="C33" s="1631" t="s">
        <v>2256</v>
      </c>
      <c r="D33" s="1206" t="s">
        <v>1827</v>
      </c>
      <c r="E33" s="1244" t="s">
        <v>559</v>
      </c>
      <c r="F33" s="1244" t="s">
        <v>91</v>
      </c>
      <c r="G33" s="1312" t="s">
        <v>1837</v>
      </c>
      <c r="H33" s="1363">
        <f>-40091+40091</f>
        <v>0</v>
      </c>
      <c r="I33" s="1363"/>
      <c r="J33" s="1363"/>
      <c r="K33" s="1363"/>
      <c r="L33" s="1363"/>
      <c r="M33" s="1363"/>
      <c r="N33" s="1363"/>
      <c r="O33" s="1363"/>
      <c r="P33" s="1364"/>
      <c r="Q33" s="1362"/>
      <c r="R33" s="1363"/>
      <c r="S33" s="1363"/>
      <c r="T33" s="1363"/>
      <c r="U33" s="1363"/>
      <c r="V33" s="1363"/>
      <c r="W33" s="1363"/>
      <c r="X33" s="1364"/>
    </row>
    <row r="34" spans="1:24" ht="32.25" customHeight="1" x14ac:dyDescent="0.2">
      <c r="A34" s="1491" t="s">
        <v>194</v>
      </c>
      <c r="B34" s="1490" t="s">
        <v>226</v>
      </c>
      <c r="C34" s="1631" t="s">
        <v>2317</v>
      </c>
      <c r="D34" s="1206" t="s">
        <v>1827</v>
      </c>
      <c r="E34" s="1244" t="s">
        <v>1288</v>
      </c>
      <c r="F34" s="1244" t="s">
        <v>128</v>
      </c>
      <c r="G34" s="1312" t="s">
        <v>1829</v>
      </c>
      <c r="H34" s="1363"/>
      <c r="I34" s="1363"/>
      <c r="J34" s="1363"/>
      <c r="K34" s="1363"/>
      <c r="L34" s="1363">
        <v>7115209</v>
      </c>
      <c r="M34" s="1363"/>
      <c r="N34" s="1363"/>
      <c r="O34" s="1363"/>
      <c r="P34" s="1364"/>
      <c r="Q34" s="1362"/>
      <c r="R34" s="1363"/>
      <c r="S34" s="1363"/>
      <c r="T34" s="1363"/>
      <c r="U34" s="1363"/>
      <c r="V34" s="1363"/>
      <c r="W34" s="1363"/>
      <c r="X34" s="1364">
        <v>7115209</v>
      </c>
    </row>
    <row r="35" spans="1:24" ht="37.5" customHeight="1" x14ac:dyDescent="0.2">
      <c r="A35" s="1491" t="s">
        <v>195</v>
      </c>
      <c r="B35" s="1490" t="s">
        <v>227</v>
      </c>
      <c r="C35" s="1631" t="s">
        <v>2380</v>
      </c>
      <c r="D35" s="1206" t="s">
        <v>1827</v>
      </c>
      <c r="E35" s="1244" t="s">
        <v>559</v>
      </c>
      <c r="F35" s="1244" t="s">
        <v>91</v>
      </c>
      <c r="G35" s="1312" t="s">
        <v>1829</v>
      </c>
      <c r="H35" s="1363"/>
      <c r="I35" s="1363"/>
      <c r="J35" s="1363">
        <f>461755+124674</f>
        <v>586429</v>
      </c>
      <c r="K35" s="1363"/>
      <c r="L35" s="1363"/>
      <c r="M35" s="1363"/>
      <c r="N35" s="1363"/>
      <c r="O35" s="1363"/>
      <c r="P35" s="1364"/>
      <c r="Q35" s="1362"/>
      <c r="R35" s="1363"/>
      <c r="S35" s="1363"/>
      <c r="T35" s="1363">
        <v>586429</v>
      </c>
      <c r="U35" s="1363"/>
      <c r="V35" s="1363"/>
      <c r="W35" s="1363"/>
      <c r="X35" s="1364"/>
    </row>
    <row r="36" spans="1:24" ht="27.75" customHeight="1" x14ac:dyDescent="0.2">
      <c r="A36" s="1491" t="s">
        <v>196</v>
      </c>
      <c r="B36" s="1490" t="s">
        <v>228</v>
      </c>
      <c r="C36" s="1631" t="s">
        <v>2381</v>
      </c>
      <c r="D36" s="1206" t="s">
        <v>1827</v>
      </c>
      <c r="E36" s="1244" t="s">
        <v>559</v>
      </c>
      <c r="F36" s="1244" t="s">
        <v>132</v>
      </c>
      <c r="G36" s="1312" t="s">
        <v>1829</v>
      </c>
      <c r="H36" s="1363"/>
      <c r="I36" s="1363"/>
      <c r="J36" s="1363">
        <f>60710+16392</f>
        <v>77102</v>
      </c>
      <c r="K36" s="1363"/>
      <c r="L36" s="1363"/>
      <c r="M36" s="1363"/>
      <c r="N36" s="1363"/>
      <c r="O36" s="1363"/>
      <c r="P36" s="1364"/>
      <c r="Q36" s="1362"/>
      <c r="R36" s="1363"/>
      <c r="S36" s="1363"/>
      <c r="T36" s="1363">
        <v>77102</v>
      </c>
      <c r="U36" s="1363"/>
      <c r="V36" s="1363"/>
      <c r="W36" s="1363"/>
      <c r="X36" s="1364"/>
    </row>
    <row r="37" spans="1:24" ht="23.25" customHeight="1" x14ac:dyDescent="0.2">
      <c r="A37" s="2052" t="s">
        <v>197</v>
      </c>
      <c r="B37" s="2054" t="s">
        <v>229</v>
      </c>
      <c r="C37" s="2056" t="s">
        <v>2404</v>
      </c>
      <c r="D37" s="1206" t="s">
        <v>1827</v>
      </c>
      <c r="E37" s="1244" t="s">
        <v>559</v>
      </c>
      <c r="F37" s="1244" t="s">
        <v>91</v>
      </c>
      <c r="G37" s="1312" t="s">
        <v>1837</v>
      </c>
      <c r="H37" s="1363">
        <f>-220000+220000</f>
        <v>0</v>
      </c>
      <c r="I37" s="1363"/>
      <c r="J37" s="1363"/>
      <c r="K37" s="1363"/>
      <c r="L37" s="1363"/>
      <c r="M37" s="1363"/>
      <c r="N37" s="1363"/>
      <c r="O37" s="1363"/>
      <c r="P37" s="1364"/>
      <c r="Q37" s="1362"/>
      <c r="R37" s="1363"/>
      <c r="S37" s="1363"/>
      <c r="T37" s="1363"/>
      <c r="U37" s="1363"/>
      <c r="V37" s="1363"/>
      <c r="W37" s="1363"/>
      <c r="X37" s="1364"/>
    </row>
    <row r="38" spans="1:24" ht="23.25" customHeight="1" x14ac:dyDescent="0.2">
      <c r="A38" s="2053"/>
      <c r="B38" s="2055"/>
      <c r="C38" s="2057"/>
      <c r="D38" s="1206" t="s">
        <v>1827</v>
      </c>
      <c r="E38" s="1244" t="s">
        <v>559</v>
      </c>
      <c r="F38" s="1244" t="s">
        <v>132</v>
      </c>
      <c r="G38" s="1312" t="s">
        <v>1837</v>
      </c>
      <c r="H38" s="1363">
        <f>-876115+876115</f>
        <v>0</v>
      </c>
      <c r="I38" s="1363"/>
      <c r="J38" s="1363"/>
      <c r="K38" s="1363"/>
      <c r="L38" s="1363"/>
      <c r="M38" s="1363"/>
      <c r="N38" s="1363"/>
      <c r="O38" s="1363"/>
      <c r="P38" s="1364"/>
      <c r="Q38" s="1362"/>
      <c r="R38" s="1363"/>
      <c r="S38" s="1363"/>
      <c r="T38" s="1363"/>
      <c r="U38" s="1363"/>
      <c r="V38" s="1363"/>
      <c r="W38" s="1363"/>
      <c r="X38" s="1364"/>
    </row>
    <row r="39" spans="1:24" ht="21.75" customHeight="1" x14ac:dyDescent="0.2">
      <c r="A39" s="2052" t="s">
        <v>198</v>
      </c>
      <c r="B39" s="2054" t="s">
        <v>230</v>
      </c>
      <c r="C39" s="2056" t="s">
        <v>2526</v>
      </c>
      <c r="D39" s="1206" t="s">
        <v>1827</v>
      </c>
      <c r="E39" s="1244" t="s">
        <v>559</v>
      </c>
      <c r="F39" s="1244" t="s">
        <v>91</v>
      </c>
      <c r="G39" s="1312" t="s">
        <v>1837</v>
      </c>
      <c r="H39" s="1363">
        <f>-556600+556600</f>
        <v>0</v>
      </c>
      <c r="I39" s="1363"/>
      <c r="J39" s="1363"/>
      <c r="K39" s="1363"/>
      <c r="L39" s="1363"/>
      <c r="M39" s="1363"/>
      <c r="N39" s="1363"/>
      <c r="O39" s="1363"/>
      <c r="P39" s="1364"/>
      <c r="Q39" s="1362"/>
      <c r="R39" s="1363"/>
      <c r="S39" s="1363"/>
      <c r="T39" s="1363"/>
      <c r="U39" s="1363"/>
      <c r="V39" s="1363"/>
      <c r="W39" s="1363"/>
      <c r="X39" s="1364"/>
    </row>
    <row r="40" spans="1:24" ht="21.75" customHeight="1" x14ac:dyDescent="0.2">
      <c r="A40" s="2053"/>
      <c r="B40" s="2055"/>
      <c r="C40" s="2057"/>
      <c r="D40" s="1206" t="s">
        <v>1827</v>
      </c>
      <c r="E40" s="1244" t="s">
        <v>559</v>
      </c>
      <c r="F40" s="1244" t="s">
        <v>132</v>
      </c>
      <c r="G40" s="1312" t="s">
        <v>1837</v>
      </c>
      <c r="H40" s="1363">
        <f>-164400+164400</f>
        <v>0</v>
      </c>
      <c r="I40" s="1363"/>
      <c r="J40" s="1363"/>
      <c r="K40" s="1363"/>
      <c r="L40" s="1363"/>
      <c r="M40" s="1363"/>
      <c r="N40" s="1363"/>
      <c r="O40" s="1363"/>
      <c r="P40" s="1364"/>
      <c r="Q40" s="1362"/>
      <c r="R40" s="1363"/>
      <c r="S40" s="1363"/>
      <c r="T40" s="1363"/>
      <c r="U40" s="1363"/>
      <c r="V40" s="1363"/>
      <c r="W40" s="1363"/>
      <c r="X40" s="1364"/>
    </row>
    <row r="41" spans="1:24" ht="18.75" x14ac:dyDescent="0.3">
      <c r="A41" s="2185" t="s">
        <v>1749</v>
      </c>
      <c r="B41" s="2186"/>
      <c r="C41" s="2187"/>
      <c r="D41" s="1179"/>
      <c r="E41" s="1179"/>
      <c r="F41" s="1179"/>
      <c r="G41" s="1179"/>
      <c r="H41" s="1180">
        <f t="shared" ref="H41:X41" si="1">SUM(H30:H40)+H15</f>
        <v>1800000</v>
      </c>
      <c r="I41" s="1180">
        <f t="shared" si="1"/>
        <v>234000</v>
      </c>
      <c r="J41" s="1180">
        <f t="shared" si="1"/>
        <v>3963531</v>
      </c>
      <c r="K41" s="1180">
        <f t="shared" si="1"/>
        <v>0</v>
      </c>
      <c r="L41" s="1180">
        <f t="shared" si="1"/>
        <v>7115209</v>
      </c>
      <c r="M41" s="1180">
        <f t="shared" si="1"/>
        <v>0</v>
      </c>
      <c r="N41" s="1180">
        <f t="shared" si="1"/>
        <v>0</v>
      </c>
      <c r="O41" s="1180">
        <f t="shared" si="1"/>
        <v>0</v>
      </c>
      <c r="P41" s="1181">
        <f t="shared" si="1"/>
        <v>0</v>
      </c>
      <c r="Q41" s="1182">
        <f t="shared" si="1"/>
        <v>0</v>
      </c>
      <c r="R41" s="1180">
        <f t="shared" si="1"/>
        <v>0</v>
      </c>
      <c r="S41" s="1180">
        <f t="shared" si="1"/>
        <v>0</v>
      </c>
      <c r="T41" s="1180">
        <f t="shared" si="1"/>
        <v>3963531</v>
      </c>
      <c r="U41" s="1180">
        <f t="shared" si="1"/>
        <v>0</v>
      </c>
      <c r="V41" s="1180">
        <f t="shared" si="1"/>
        <v>0</v>
      </c>
      <c r="W41" s="1180">
        <f t="shared" si="1"/>
        <v>0</v>
      </c>
      <c r="X41" s="1181">
        <f t="shared" si="1"/>
        <v>9149209</v>
      </c>
    </row>
    <row r="42" spans="1:24" ht="15.75" customHeight="1" x14ac:dyDescent="0.2">
      <c r="A42" s="1220"/>
      <c r="B42" s="1220"/>
      <c r="C42" s="1220"/>
      <c r="D42" s="1290"/>
      <c r="E42" s="1291"/>
      <c r="F42" s="1291"/>
      <c r="G42" s="1292"/>
      <c r="H42" s="1293"/>
      <c r="I42" s="1293"/>
      <c r="J42" s="1293"/>
      <c r="K42" s="1293"/>
      <c r="L42" s="1293"/>
      <c r="M42" s="1293"/>
      <c r="N42" s="1293"/>
      <c r="O42" s="1293"/>
      <c r="P42" s="1293"/>
      <c r="Q42" s="1293"/>
      <c r="R42" s="1293"/>
      <c r="S42" s="1293"/>
      <c r="T42" s="1293"/>
      <c r="U42" s="1293"/>
      <c r="V42" s="1293"/>
      <c r="W42" s="1293"/>
      <c r="X42" s="1293"/>
    </row>
    <row r="43" spans="1:24" ht="17.25" customHeight="1" x14ac:dyDescent="0.2">
      <c r="A43" s="1220"/>
      <c r="B43" s="1220"/>
      <c r="C43" s="1220"/>
      <c r="D43" s="1290"/>
      <c r="E43" s="1291"/>
      <c r="F43" s="1291"/>
      <c r="G43" s="1292"/>
      <c r="H43" s="1293"/>
      <c r="I43" s="1293"/>
      <c r="J43" s="1293"/>
      <c r="K43" s="1293"/>
      <c r="L43" s="1293"/>
      <c r="M43" s="1293"/>
      <c r="N43" s="1293"/>
      <c r="O43" s="1293"/>
      <c r="P43" s="1293"/>
      <c r="Q43" s="1293"/>
      <c r="R43" s="1293"/>
      <c r="S43" s="1293"/>
      <c r="T43" s="1293"/>
      <c r="U43" s="1293"/>
      <c r="V43" s="1293"/>
      <c r="W43" s="1293"/>
      <c r="X43" s="1293"/>
    </row>
    <row r="44" spans="1:24" ht="15" x14ac:dyDescent="0.25">
      <c r="A44" s="1197"/>
      <c r="B44" s="1197"/>
      <c r="C44" s="1197"/>
      <c r="D44" s="1197"/>
      <c r="E44" s="1197"/>
      <c r="F44" s="1197"/>
      <c r="G44" s="1197"/>
      <c r="H44" s="1197"/>
      <c r="I44" s="1197"/>
      <c r="J44" s="1197"/>
      <c r="K44" s="1197"/>
      <c r="L44" s="1197"/>
      <c r="M44" s="1197"/>
      <c r="N44" s="1197"/>
      <c r="O44" s="1197"/>
      <c r="P44" s="1197"/>
      <c r="Q44" s="1197"/>
      <c r="R44" s="1197"/>
      <c r="S44" s="1197"/>
      <c r="T44" s="1197"/>
      <c r="U44" s="1197"/>
      <c r="V44" s="1197"/>
      <c r="W44" s="1197"/>
      <c r="X44" s="1197"/>
    </row>
    <row r="45" spans="1:24" ht="21" customHeight="1" x14ac:dyDescent="0.25">
      <c r="A45" s="1197"/>
      <c r="B45" s="1197"/>
      <c r="C45" s="1197"/>
      <c r="D45" s="1197"/>
      <c r="E45" s="1197"/>
      <c r="F45" s="1197"/>
      <c r="G45" s="1197"/>
      <c r="H45" s="1224"/>
      <c r="I45" s="2108" t="s">
        <v>1750</v>
      </c>
      <c r="J45" s="2108"/>
      <c r="K45" s="2108"/>
      <c r="L45" s="2108">
        <v>161946676</v>
      </c>
      <c r="M45" s="2108"/>
      <c r="N45" s="1225"/>
      <c r="O45" s="1225"/>
      <c r="P45" s="1225"/>
      <c r="Q45" s="1225"/>
      <c r="R45" s="2108" t="s">
        <v>1751</v>
      </c>
      <c r="S45" s="2108"/>
      <c r="T45" s="2108"/>
      <c r="U45" s="2108">
        <v>161946676</v>
      </c>
      <c r="V45" s="2108"/>
      <c r="W45" s="1224"/>
      <c r="X45" s="1224"/>
    </row>
    <row r="46" spans="1:24" ht="21" customHeight="1" x14ac:dyDescent="0.25">
      <c r="A46" s="1197"/>
      <c r="B46" s="1197"/>
      <c r="C46" s="1197"/>
      <c r="D46" s="1197"/>
      <c r="E46" s="1197"/>
      <c r="F46" s="1197"/>
      <c r="G46" s="1197"/>
      <c r="H46" s="1224"/>
      <c r="I46" s="2066" t="s">
        <v>3474</v>
      </c>
      <c r="J46" s="2066"/>
      <c r="K46" s="2066"/>
      <c r="L46" s="2108">
        <f>SUM(H41:P41)</f>
        <v>13112740</v>
      </c>
      <c r="M46" s="2108"/>
      <c r="N46" s="1225"/>
      <c r="O46" s="1225"/>
      <c r="P46" s="1225"/>
      <c r="Q46" s="1225"/>
      <c r="R46" s="2066" t="s">
        <v>3474</v>
      </c>
      <c r="S46" s="2066"/>
      <c r="T46" s="2066"/>
      <c r="U46" s="2108">
        <f>SUM(Q41:X41)</f>
        <v>13112740</v>
      </c>
      <c r="V46" s="2108"/>
      <c r="W46" s="1224"/>
      <c r="X46" s="1224"/>
    </row>
    <row r="47" spans="1:24" ht="22.5" customHeight="1" x14ac:dyDescent="0.25">
      <c r="A47" s="1197"/>
      <c r="B47" s="1197"/>
      <c r="C47" s="1197"/>
      <c r="D47" s="1197"/>
      <c r="E47" s="1197"/>
      <c r="F47" s="1197"/>
      <c r="G47" s="1197"/>
      <c r="H47" s="1224"/>
      <c r="I47" s="2108" t="s">
        <v>1561</v>
      </c>
      <c r="J47" s="2108"/>
      <c r="K47" s="2108"/>
      <c r="L47" s="2108">
        <f>+L45+L46</f>
        <v>175059416</v>
      </c>
      <c r="M47" s="2108"/>
      <c r="N47" s="1225"/>
      <c r="O47" s="1225"/>
      <c r="P47" s="1225"/>
      <c r="Q47" s="1225"/>
      <c r="R47" s="2108" t="s">
        <v>1561</v>
      </c>
      <c r="S47" s="2108"/>
      <c r="T47" s="2108"/>
      <c r="U47" s="2108">
        <f>+U45+U46</f>
        <v>175059416</v>
      </c>
      <c r="V47" s="2108"/>
      <c r="W47" s="1224"/>
      <c r="X47" s="1224"/>
    </row>
    <row r="48" spans="1:24" x14ac:dyDescent="0.2">
      <c r="A48" s="348"/>
      <c r="B48" s="348"/>
      <c r="C48" s="348"/>
      <c r="D48" s="348"/>
      <c r="E48" s="348"/>
      <c r="F48" s="348"/>
      <c r="G48" s="348"/>
      <c r="H48" s="348"/>
      <c r="I48" s="348"/>
      <c r="J48" s="348"/>
      <c r="K48" s="348"/>
      <c r="L48" s="348"/>
      <c r="M48" s="348"/>
      <c r="N48" s="348"/>
      <c r="O48" s="348"/>
      <c r="P48" s="348"/>
      <c r="Q48" s="348"/>
      <c r="R48" s="348"/>
      <c r="S48" s="348"/>
      <c r="T48" s="348"/>
      <c r="U48" s="348"/>
      <c r="V48" s="348"/>
      <c r="W48" s="348"/>
      <c r="X48" s="348"/>
    </row>
    <row r="49" spans="1:24" x14ac:dyDescent="0.2">
      <c r="A49" s="348"/>
      <c r="B49" s="348"/>
      <c r="C49" s="348"/>
      <c r="D49" s="348"/>
      <c r="E49" s="348"/>
      <c r="F49" s="348"/>
      <c r="G49" s="348"/>
      <c r="H49" s="348"/>
      <c r="I49" s="348"/>
      <c r="J49" s="348"/>
      <c r="K49" s="348"/>
      <c r="L49" s="348"/>
      <c r="M49" s="348"/>
      <c r="N49" s="348"/>
      <c r="O49" s="348"/>
      <c r="P49" s="348"/>
      <c r="Q49" s="348"/>
      <c r="R49" s="348"/>
      <c r="S49" s="348"/>
      <c r="T49" s="348"/>
      <c r="U49" s="348"/>
      <c r="V49" s="348"/>
      <c r="W49" s="348"/>
      <c r="X49" s="348"/>
    </row>
    <row r="50" spans="1:24" x14ac:dyDescent="0.2">
      <c r="A50" s="348"/>
      <c r="B50" s="348"/>
      <c r="C50" s="348"/>
      <c r="D50" s="348"/>
      <c r="E50" s="348"/>
      <c r="F50" s="348"/>
      <c r="G50" s="348"/>
      <c r="H50" s="348"/>
      <c r="I50" s="348"/>
      <c r="J50" s="348"/>
      <c r="K50" s="348"/>
      <c r="L50" s="348"/>
      <c r="M50" s="348"/>
      <c r="N50" s="348"/>
      <c r="O50" s="348"/>
      <c r="P50" s="348"/>
      <c r="Q50" s="348"/>
      <c r="R50" s="348"/>
      <c r="S50" s="348"/>
      <c r="T50" s="348"/>
      <c r="U50" s="348"/>
      <c r="V50" s="348"/>
      <c r="W50" s="348"/>
      <c r="X50" s="348"/>
    </row>
    <row r="51" spans="1:24" x14ac:dyDescent="0.2">
      <c r="A51" s="348"/>
      <c r="B51" s="348"/>
      <c r="C51" s="348"/>
      <c r="D51" s="348"/>
      <c r="E51" s="348"/>
      <c r="F51" s="348"/>
      <c r="G51" s="348"/>
      <c r="H51" s="348"/>
      <c r="I51" s="348"/>
      <c r="J51" s="348"/>
      <c r="K51" s="348"/>
      <c r="L51" s="348"/>
      <c r="M51" s="348"/>
      <c r="N51" s="348"/>
      <c r="O51" s="348"/>
      <c r="P51" s="348"/>
      <c r="Q51" s="348"/>
      <c r="R51" s="348"/>
      <c r="S51" s="348"/>
      <c r="T51" s="348"/>
      <c r="U51" s="348"/>
      <c r="V51" s="348"/>
      <c r="W51" s="348"/>
      <c r="X51" s="348"/>
    </row>
    <row r="52" spans="1:24" x14ac:dyDescent="0.2">
      <c r="A52" s="348"/>
      <c r="B52" s="348"/>
      <c r="C52" s="348"/>
      <c r="D52" s="348"/>
      <c r="E52" s="348"/>
      <c r="F52" s="348"/>
      <c r="G52" s="348"/>
      <c r="H52" s="348"/>
      <c r="I52" s="348"/>
      <c r="J52" s="348"/>
      <c r="K52" s="348"/>
      <c r="L52" s="348"/>
      <c r="M52" s="348"/>
      <c r="N52" s="348"/>
      <c r="O52" s="348"/>
      <c r="P52" s="348"/>
      <c r="Q52" s="348"/>
      <c r="R52" s="348"/>
      <c r="S52" s="348"/>
      <c r="T52" s="348"/>
      <c r="U52" s="348"/>
      <c r="V52" s="348"/>
      <c r="W52" s="348"/>
      <c r="X52" s="348"/>
    </row>
    <row r="53" spans="1:24" ht="15.75" x14ac:dyDescent="0.25">
      <c r="A53" s="2069" t="s">
        <v>2824</v>
      </c>
      <c r="B53" s="2069"/>
      <c r="C53" s="2069"/>
      <c r="D53" s="2069"/>
      <c r="E53" s="2069"/>
      <c r="F53" s="2069"/>
      <c r="G53" s="2069"/>
      <c r="H53" s="2069"/>
      <c r="I53" s="2069"/>
      <c r="J53" s="2069"/>
      <c r="K53" s="2069"/>
      <c r="L53" s="2069"/>
      <c r="M53" s="2069"/>
      <c r="N53" s="2069"/>
      <c r="O53" s="2069"/>
      <c r="P53" s="2069"/>
      <c r="Q53" s="2069"/>
      <c r="R53" s="2069"/>
      <c r="S53" s="2069"/>
      <c r="T53" s="2069"/>
      <c r="U53" s="2069"/>
      <c r="V53" s="2069"/>
      <c r="W53" s="2069"/>
      <c r="X53" s="2069"/>
    </row>
    <row r="54" spans="1:24" ht="15" x14ac:dyDescent="0.25">
      <c r="A54" s="1298"/>
      <c r="B54" s="1298"/>
      <c r="C54" s="1299"/>
      <c r="D54" s="1300"/>
      <c r="E54" s="1300"/>
      <c r="F54" s="1300"/>
      <c r="G54" s="1300"/>
      <c r="H54" s="1300"/>
      <c r="I54" s="1300"/>
      <c r="J54" s="1300"/>
      <c r="K54" s="1300"/>
      <c r="L54" s="1300"/>
      <c r="M54" s="1300"/>
      <c r="N54" s="1300"/>
      <c r="O54" s="1300"/>
      <c r="P54" s="1300"/>
      <c r="Q54" s="1300"/>
      <c r="R54" s="1300"/>
      <c r="S54" s="1300"/>
      <c r="T54" s="1300"/>
      <c r="U54" s="1300"/>
      <c r="V54" s="1300"/>
      <c r="W54" s="1300"/>
      <c r="X54" s="1300"/>
    </row>
    <row r="55" spans="1:24" ht="15" x14ac:dyDescent="0.25">
      <c r="A55" s="2188" t="s">
        <v>1802</v>
      </c>
      <c r="B55" s="2188"/>
      <c r="C55" s="2188"/>
      <c r="D55" s="2188"/>
      <c r="E55" s="2188"/>
      <c r="F55" s="2188"/>
      <c r="G55" s="2188"/>
      <c r="H55" s="2188"/>
      <c r="I55" s="2188"/>
      <c r="J55" s="2188"/>
      <c r="K55" s="2188"/>
      <c r="L55" s="2188"/>
      <c r="M55" s="2188"/>
      <c r="N55" s="2188"/>
      <c r="O55" s="2188"/>
      <c r="P55" s="2188"/>
      <c r="Q55" s="2188"/>
      <c r="R55" s="2188"/>
      <c r="S55" s="2188"/>
      <c r="T55" s="2188"/>
      <c r="U55" s="2188"/>
      <c r="V55" s="2188"/>
      <c r="W55" s="2188"/>
      <c r="X55" s="2188"/>
    </row>
    <row r="56" spans="1:24" ht="15" x14ac:dyDescent="0.25">
      <c r="A56" s="1190"/>
      <c r="B56" s="1190"/>
      <c r="C56" s="1191"/>
      <c r="D56" s="1192"/>
      <c r="E56" s="1192"/>
      <c r="F56" s="1192"/>
      <c r="G56" s="1192"/>
      <c r="H56" s="1192"/>
      <c r="I56" s="1192"/>
      <c r="J56" s="1192"/>
      <c r="K56" s="1192"/>
      <c r="L56" s="1192"/>
      <c r="M56" s="1192"/>
      <c r="N56" s="1192"/>
      <c r="O56" s="1192"/>
      <c r="P56" s="1192"/>
      <c r="Q56" s="1301"/>
      <c r="R56" s="1192"/>
      <c r="S56" s="1192"/>
      <c r="T56" s="1192"/>
      <c r="U56" s="1192"/>
      <c r="V56" s="1192"/>
      <c r="W56" s="1192"/>
      <c r="X56" s="1192"/>
    </row>
    <row r="57" spans="1:24" ht="15" customHeight="1" x14ac:dyDescent="0.25">
      <c r="A57" s="2070" t="s">
        <v>37</v>
      </c>
      <c r="B57" s="2093" t="s">
        <v>1726</v>
      </c>
      <c r="C57" s="2074" t="s">
        <v>2</v>
      </c>
      <c r="D57" s="2076" t="s">
        <v>1727</v>
      </c>
      <c r="E57" s="2076" t="s">
        <v>117</v>
      </c>
      <c r="F57" s="2076" t="s">
        <v>1728</v>
      </c>
      <c r="G57" s="2076" t="s">
        <v>1729</v>
      </c>
      <c r="H57" s="2078" t="s">
        <v>1730</v>
      </c>
      <c r="I57" s="2078"/>
      <c r="J57" s="2078"/>
      <c r="K57" s="2078"/>
      <c r="L57" s="2078"/>
      <c r="M57" s="2078"/>
      <c r="N57" s="2078"/>
      <c r="O57" s="2079"/>
      <c r="P57" s="1464"/>
      <c r="Q57" s="2080" t="s">
        <v>1731</v>
      </c>
      <c r="R57" s="2078"/>
      <c r="S57" s="2078"/>
      <c r="T57" s="2078"/>
      <c r="U57" s="2078"/>
      <c r="V57" s="2078"/>
      <c r="W57" s="2078"/>
      <c r="X57" s="2081"/>
    </row>
    <row r="58" spans="1:24" ht="90" customHeight="1" x14ac:dyDescent="0.2">
      <c r="A58" s="2071"/>
      <c r="B58" s="2094"/>
      <c r="C58" s="2075"/>
      <c r="D58" s="2077"/>
      <c r="E58" s="2077"/>
      <c r="F58" s="2077"/>
      <c r="G58" s="2077"/>
      <c r="H58" s="1154" t="s">
        <v>2382</v>
      </c>
      <c r="I58" s="1155" t="s">
        <v>1733</v>
      </c>
      <c r="J58" s="1154" t="s">
        <v>1797</v>
      </c>
      <c r="K58" s="1154" t="s">
        <v>1735</v>
      </c>
      <c r="L58" s="1154" t="s">
        <v>1736</v>
      </c>
      <c r="M58" s="1154" t="s">
        <v>1737</v>
      </c>
      <c r="N58" s="1154" t="s">
        <v>1738</v>
      </c>
      <c r="O58" s="1156" t="s">
        <v>1739</v>
      </c>
      <c r="P58" s="1159" t="s">
        <v>1740</v>
      </c>
      <c r="Q58" s="1227" t="s">
        <v>1741</v>
      </c>
      <c r="R58" s="1155" t="s">
        <v>1742</v>
      </c>
      <c r="S58" s="1154" t="s">
        <v>1743</v>
      </c>
      <c r="T58" s="1154" t="s">
        <v>1744</v>
      </c>
      <c r="U58" s="1155" t="s">
        <v>1745</v>
      </c>
      <c r="V58" s="1155" t="s">
        <v>1746</v>
      </c>
      <c r="W58" s="1155" t="s">
        <v>1747</v>
      </c>
      <c r="X58" s="1159" t="s">
        <v>1748</v>
      </c>
    </row>
    <row r="59" spans="1:24" ht="28.5" customHeight="1" x14ac:dyDescent="0.2">
      <c r="A59" s="1495" t="s">
        <v>225</v>
      </c>
      <c r="B59" s="1636" t="s">
        <v>231</v>
      </c>
      <c r="C59" s="1161" t="s">
        <v>2690</v>
      </c>
      <c r="D59" s="1206" t="s">
        <v>1827</v>
      </c>
      <c r="E59" s="1244" t="s">
        <v>559</v>
      </c>
      <c r="F59" s="1244" t="s">
        <v>132</v>
      </c>
      <c r="G59" s="1312" t="s">
        <v>1837</v>
      </c>
      <c r="H59" s="1363">
        <f>-60000+60000</f>
        <v>0</v>
      </c>
      <c r="I59" s="1363"/>
      <c r="J59" s="1363"/>
      <c r="K59" s="1363"/>
      <c r="L59" s="1363"/>
      <c r="M59" s="1363"/>
      <c r="N59" s="1363"/>
      <c r="O59" s="1363"/>
      <c r="P59" s="1364"/>
      <c r="Q59" s="1362"/>
      <c r="R59" s="1363"/>
      <c r="S59" s="1363"/>
      <c r="T59" s="1363"/>
      <c r="U59" s="1363"/>
      <c r="V59" s="1363"/>
      <c r="W59" s="1363"/>
      <c r="X59" s="1364"/>
    </row>
    <row r="60" spans="1:24" ht="30.75" customHeight="1" x14ac:dyDescent="0.2">
      <c r="A60" s="1494" t="s">
        <v>226</v>
      </c>
      <c r="B60" s="1493" t="s">
        <v>232</v>
      </c>
      <c r="C60" s="1169" t="s">
        <v>2731</v>
      </c>
      <c r="D60" s="1206" t="s">
        <v>1827</v>
      </c>
      <c r="E60" s="1232" t="s">
        <v>559</v>
      </c>
      <c r="F60" s="1232" t="s">
        <v>132</v>
      </c>
      <c r="G60" s="1232" t="s">
        <v>1837</v>
      </c>
      <c r="H60" s="1363"/>
      <c r="I60" s="1363"/>
      <c r="J60" s="1363"/>
      <c r="K60" s="1363"/>
      <c r="L60" s="1363"/>
      <c r="M60" s="1363">
        <f>-300000+300000</f>
        <v>0</v>
      </c>
      <c r="N60" s="1363"/>
      <c r="O60" s="1363"/>
      <c r="P60" s="1364"/>
      <c r="Q60" s="1362"/>
      <c r="R60" s="1363"/>
      <c r="S60" s="1363"/>
      <c r="T60" s="1363"/>
      <c r="U60" s="1363"/>
      <c r="V60" s="1363"/>
      <c r="W60" s="1363"/>
      <c r="X60" s="1364"/>
    </row>
    <row r="61" spans="1:24" ht="17.25" customHeight="1" x14ac:dyDescent="0.2">
      <c r="A61" s="2052" t="s">
        <v>227</v>
      </c>
      <c r="B61" s="2054" t="s">
        <v>233</v>
      </c>
      <c r="C61" s="2056" t="s">
        <v>2776</v>
      </c>
      <c r="D61" s="1206" t="s">
        <v>1827</v>
      </c>
      <c r="E61" s="1244" t="s">
        <v>1288</v>
      </c>
      <c r="F61" s="1244" t="s">
        <v>128</v>
      </c>
      <c r="G61" s="1312" t="s">
        <v>1829</v>
      </c>
      <c r="H61" s="1363"/>
      <c r="I61" s="1363"/>
      <c r="J61" s="1363"/>
      <c r="K61" s="1363"/>
      <c r="L61" s="1363"/>
      <c r="M61" s="1363"/>
      <c r="N61" s="1363"/>
      <c r="O61" s="1363"/>
      <c r="P61" s="1364"/>
      <c r="Q61" s="1362"/>
      <c r="R61" s="1363"/>
      <c r="S61" s="1363"/>
      <c r="T61" s="1363"/>
      <c r="U61" s="1363"/>
      <c r="V61" s="1363"/>
      <c r="W61" s="1363"/>
      <c r="X61" s="1364">
        <v>1408000</v>
      </c>
    </row>
    <row r="62" spans="1:24" ht="17.25" customHeight="1" x14ac:dyDescent="0.2">
      <c r="A62" s="2061"/>
      <c r="B62" s="2060"/>
      <c r="C62" s="2065"/>
      <c r="D62" s="1206" t="s">
        <v>1827</v>
      </c>
      <c r="E62" s="1244" t="s">
        <v>559</v>
      </c>
      <c r="F62" s="1244" t="s">
        <v>91</v>
      </c>
      <c r="G62" s="1312" t="s">
        <v>1829</v>
      </c>
      <c r="H62" s="1363">
        <v>400000</v>
      </c>
      <c r="I62" s="1363">
        <v>112000</v>
      </c>
      <c r="J62" s="1363"/>
      <c r="K62" s="1363"/>
      <c r="L62" s="1363"/>
      <c r="M62" s="1363"/>
      <c r="N62" s="1363"/>
      <c r="O62" s="1363"/>
      <c r="P62" s="1364"/>
      <c r="Q62" s="1362"/>
      <c r="R62" s="1363"/>
      <c r="S62" s="1363"/>
      <c r="T62" s="1363"/>
      <c r="U62" s="1363"/>
      <c r="V62" s="1363"/>
      <c r="W62" s="1363"/>
      <c r="X62" s="1364"/>
    </row>
    <row r="63" spans="1:24" ht="17.25" customHeight="1" x14ac:dyDescent="0.2">
      <c r="A63" s="2053"/>
      <c r="B63" s="2055"/>
      <c r="C63" s="2057"/>
      <c r="D63" s="1206" t="s">
        <v>1827</v>
      </c>
      <c r="E63" s="1244" t="s">
        <v>559</v>
      </c>
      <c r="F63" s="1244" t="s">
        <v>132</v>
      </c>
      <c r="G63" s="1312" t="s">
        <v>1829</v>
      </c>
      <c r="H63" s="1363">
        <v>700000</v>
      </c>
      <c r="I63" s="1363">
        <v>196000</v>
      </c>
      <c r="J63" s="1363"/>
      <c r="K63" s="1363"/>
      <c r="L63" s="1363"/>
      <c r="M63" s="1363"/>
      <c r="N63" s="1363"/>
      <c r="O63" s="1363"/>
      <c r="P63" s="1364"/>
      <c r="Q63" s="1362"/>
      <c r="R63" s="1363"/>
      <c r="S63" s="1363"/>
      <c r="T63" s="1363"/>
      <c r="U63" s="1363"/>
      <c r="V63" s="1363"/>
      <c r="W63" s="1363"/>
      <c r="X63" s="1364"/>
    </row>
    <row r="64" spans="1:24" ht="24" customHeight="1" x14ac:dyDescent="0.2">
      <c r="A64" s="2052" t="s">
        <v>228</v>
      </c>
      <c r="B64" s="2054" t="s">
        <v>260</v>
      </c>
      <c r="C64" s="2056" t="s">
        <v>2789</v>
      </c>
      <c r="D64" s="1206" t="s">
        <v>1827</v>
      </c>
      <c r="E64" s="1244" t="s">
        <v>559</v>
      </c>
      <c r="F64" s="1244" t="s">
        <v>91</v>
      </c>
      <c r="G64" s="1312" t="s">
        <v>1829</v>
      </c>
      <c r="H64" s="1363"/>
      <c r="I64" s="1363"/>
      <c r="J64" s="1363">
        <f>787402+212598</f>
        <v>1000000</v>
      </c>
      <c r="K64" s="1363"/>
      <c r="L64" s="1363"/>
      <c r="M64" s="1363"/>
      <c r="N64" s="1363"/>
      <c r="O64" s="1363"/>
      <c r="P64" s="1364"/>
      <c r="Q64" s="1362"/>
      <c r="R64" s="1363"/>
      <c r="S64" s="1363"/>
      <c r="T64" s="1363">
        <v>1000000</v>
      </c>
      <c r="U64" s="1363"/>
      <c r="V64" s="1363"/>
      <c r="W64" s="1363"/>
      <c r="X64" s="1364"/>
    </row>
    <row r="65" spans="1:24" ht="24" customHeight="1" x14ac:dyDescent="0.2">
      <c r="A65" s="2053"/>
      <c r="B65" s="2055"/>
      <c r="C65" s="2057"/>
      <c r="D65" s="1206" t="s">
        <v>1827</v>
      </c>
      <c r="E65" s="1244" t="s">
        <v>559</v>
      </c>
      <c r="F65" s="1244" t="s">
        <v>132</v>
      </c>
      <c r="G65" s="1312" t="s">
        <v>1829</v>
      </c>
      <c r="H65" s="1363"/>
      <c r="I65" s="1363"/>
      <c r="J65" s="1363">
        <f>787402+212598</f>
        <v>1000000</v>
      </c>
      <c r="K65" s="1363"/>
      <c r="L65" s="1363"/>
      <c r="M65" s="1363"/>
      <c r="N65" s="1363"/>
      <c r="O65" s="1363"/>
      <c r="P65" s="1364"/>
      <c r="Q65" s="1362"/>
      <c r="R65" s="1363"/>
      <c r="S65" s="1363"/>
      <c r="T65" s="1363">
        <v>1000000</v>
      </c>
      <c r="U65" s="1363"/>
      <c r="V65" s="1363"/>
      <c r="W65" s="1363"/>
      <c r="X65" s="1364"/>
    </row>
    <row r="66" spans="1:24" ht="27" customHeight="1" x14ac:dyDescent="0.2">
      <c r="A66" s="2052" t="s">
        <v>229</v>
      </c>
      <c r="B66" s="2054" t="s">
        <v>2850</v>
      </c>
      <c r="C66" s="2056" t="s">
        <v>2827</v>
      </c>
      <c r="D66" s="1206" t="s">
        <v>1827</v>
      </c>
      <c r="E66" s="1244" t="s">
        <v>1288</v>
      </c>
      <c r="F66" s="1244" t="s">
        <v>128</v>
      </c>
      <c r="G66" s="1312" t="s">
        <v>1829</v>
      </c>
      <c r="H66" s="1363"/>
      <c r="I66" s="1363"/>
      <c r="J66" s="1363"/>
      <c r="K66" s="1363"/>
      <c r="L66" s="1363"/>
      <c r="M66" s="1363"/>
      <c r="N66" s="1363"/>
      <c r="O66" s="1363"/>
      <c r="P66" s="1364"/>
      <c r="Q66" s="1362"/>
      <c r="R66" s="1363"/>
      <c r="S66" s="1363"/>
      <c r="T66" s="1363"/>
      <c r="U66" s="1363"/>
      <c r="V66" s="1363"/>
      <c r="W66" s="1363"/>
      <c r="X66" s="1364">
        <v>1017000</v>
      </c>
    </row>
    <row r="67" spans="1:24" ht="27" customHeight="1" x14ac:dyDescent="0.2">
      <c r="A67" s="2053"/>
      <c r="B67" s="2055"/>
      <c r="C67" s="2057"/>
      <c r="D67" s="1206" t="s">
        <v>1827</v>
      </c>
      <c r="E67" s="1244" t="s">
        <v>559</v>
      </c>
      <c r="F67" s="1244" t="s">
        <v>132</v>
      </c>
      <c r="G67" s="1312" t="s">
        <v>1829</v>
      </c>
      <c r="H67" s="1363">
        <v>900000</v>
      </c>
      <c r="I67" s="1363">
        <v>117000</v>
      </c>
      <c r="J67" s="1363"/>
      <c r="K67" s="1363"/>
      <c r="L67" s="1363"/>
      <c r="M67" s="1363"/>
      <c r="N67" s="1363"/>
      <c r="O67" s="1363"/>
      <c r="P67" s="1364"/>
      <c r="Q67" s="1362"/>
      <c r="R67" s="1363"/>
      <c r="S67" s="1363"/>
      <c r="T67" s="1363"/>
      <c r="U67" s="1363"/>
      <c r="V67" s="1363"/>
      <c r="W67" s="1363"/>
      <c r="X67" s="1364"/>
    </row>
    <row r="68" spans="1:24" ht="28.5" customHeight="1" x14ac:dyDescent="0.2">
      <c r="A68" s="1491" t="s">
        <v>230</v>
      </c>
      <c r="B68" s="1490" t="s">
        <v>263</v>
      </c>
      <c r="C68" s="1631" t="s">
        <v>2856</v>
      </c>
      <c r="D68" s="1206" t="s">
        <v>1827</v>
      </c>
      <c r="E68" s="1244" t="s">
        <v>559</v>
      </c>
      <c r="F68" s="1244" t="s">
        <v>132</v>
      </c>
      <c r="G68" s="1312" t="s">
        <v>1837</v>
      </c>
      <c r="H68" s="1363">
        <f>-170449+170449</f>
        <v>0</v>
      </c>
      <c r="I68" s="1363"/>
      <c r="J68" s="1363"/>
      <c r="K68" s="1363"/>
      <c r="L68" s="1363"/>
      <c r="M68" s="1363"/>
      <c r="N68" s="1363"/>
      <c r="O68" s="1363"/>
      <c r="P68" s="1364"/>
      <c r="Q68" s="1362"/>
      <c r="R68" s="1363"/>
      <c r="S68" s="1363"/>
      <c r="T68" s="1363"/>
      <c r="U68" s="1363"/>
      <c r="V68" s="1363"/>
      <c r="W68" s="1363"/>
      <c r="X68" s="1364"/>
    </row>
    <row r="69" spans="1:24" ht="23.25" customHeight="1" x14ac:dyDescent="0.2">
      <c r="A69" s="2052" t="s">
        <v>231</v>
      </c>
      <c r="B69" s="2054" t="s">
        <v>264</v>
      </c>
      <c r="C69" s="2056" t="s">
        <v>2955</v>
      </c>
      <c r="D69" s="1206" t="s">
        <v>1827</v>
      </c>
      <c r="E69" s="1244" t="s">
        <v>559</v>
      </c>
      <c r="F69" s="1244" t="s">
        <v>132</v>
      </c>
      <c r="G69" s="1312" t="s">
        <v>1828</v>
      </c>
      <c r="H69" s="1363"/>
      <c r="I69" s="1363"/>
      <c r="J69" s="1363">
        <v>-500000</v>
      </c>
      <c r="K69" s="1363"/>
      <c r="L69" s="1363"/>
      <c r="M69" s="1363"/>
      <c r="N69" s="1363"/>
      <c r="O69" s="1363"/>
      <c r="P69" s="1364"/>
      <c r="Q69" s="1362"/>
      <c r="R69" s="1363"/>
      <c r="S69" s="1363"/>
      <c r="T69" s="1363"/>
      <c r="U69" s="1363"/>
      <c r="V69" s="1363"/>
      <c r="W69" s="1363"/>
      <c r="X69" s="1364"/>
    </row>
    <row r="70" spans="1:24" ht="23.25" customHeight="1" x14ac:dyDescent="0.2">
      <c r="A70" s="2053"/>
      <c r="B70" s="2055"/>
      <c r="C70" s="2057"/>
      <c r="D70" s="1206" t="s">
        <v>1827</v>
      </c>
      <c r="E70" s="1244" t="s">
        <v>559</v>
      </c>
      <c r="F70" s="1244" t="s">
        <v>91</v>
      </c>
      <c r="G70" s="1312" t="s">
        <v>1829</v>
      </c>
      <c r="H70" s="1363"/>
      <c r="I70" s="1363"/>
      <c r="J70" s="1363"/>
      <c r="K70" s="1363"/>
      <c r="L70" s="1363"/>
      <c r="M70" s="1363">
        <f>393701+106299</f>
        <v>500000</v>
      </c>
      <c r="N70" s="1363"/>
      <c r="O70" s="1363"/>
      <c r="P70" s="1364"/>
      <c r="Q70" s="1362"/>
      <c r="R70" s="1363"/>
      <c r="S70" s="1363"/>
      <c r="T70" s="1363"/>
      <c r="U70" s="1363"/>
      <c r="V70" s="1363"/>
      <c r="W70" s="1363"/>
      <c r="X70" s="1364"/>
    </row>
    <row r="71" spans="1:24" ht="42" customHeight="1" x14ac:dyDescent="0.2">
      <c r="A71" s="1491" t="s">
        <v>232</v>
      </c>
      <c r="B71" s="1490" t="s">
        <v>265</v>
      </c>
      <c r="C71" s="1631" t="s">
        <v>2988</v>
      </c>
      <c r="D71" s="1206" t="s">
        <v>1827</v>
      </c>
      <c r="E71" s="1244" t="s">
        <v>559</v>
      </c>
      <c r="F71" s="1244" t="s">
        <v>91</v>
      </c>
      <c r="G71" s="1312" t="s">
        <v>1837</v>
      </c>
      <c r="H71" s="1363"/>
      <c r="I71" s="1363"/>
      <c r="J71" s="1363">
        <f>-20000-5400</f>
        <v>-25400</v>
      </c>
      <c r="K71" s="1363"/>
      <c r="L71" s="1363"/>
      <c r="M71" s="1363">
        <f>20000+5400</f>
        <v>25400</v>
      </c>
      <c r="N71" s="1363"/>
      <c r="O71" s="1363"/>
      <c r="P71" s="1364"/>
      <c r="Q71" s="1362"/>
      <c r="R71" s="1363"/>
      <c r="S71" s="1363"/>
      <c r="T71" s="1363"/>
      <c r="U71" s="1363"/>
      <c r="V71" s="1363"/>
      <c r="W71" s="1363"/>
      <c r="X71" s="1364"/>
    </row>
    <row r="72" spans="1:24" ht="27.75" customHeight="1" x14ac:dyDescent="0.2">
      <c r="A72" s="1491"/>
      <c r="B72" s="1490"/>
      <c r="C72" s="1631"/>
      <c r="D72" s="1206"/>
      <c r="E72" s="1244"/>
      <c r="F72" s="1244"/>
      <c r="G72" s="1312"/>
      <c r="H72" s="1363"/>
      <c r="I72" s="1363"/>
      <c r="J72" s="1363"/>
      <c r="K72" s="1363"/>
      <c r="L72" s="1363"/>
      <c r="M72" s="1363"/>
      <c r="N72" s="1363"/>
      <c r="O72" s="1363"/>
      <c r="P72" s="1364"/>
      <c r="Q72" s="1362"/>
      <c r="R72" s="1363"/>
      <c r="S72" s="1363"/>
      <c r="T72" s="1363"/>
      <c r="U72" s="1363"/>
      <c r="V72" s="1363"/>
      <c r="W72" s="1363"/>
      <c r="X72" s="1364"/>
    </row>
    <row r="73" spans="1:24" ht="18.75" x14ac:dyDescent="0.3">
      <c r="A73" s="2185" t="s">
        <v>1749</v>
      </c>
      <c r="B73" s="2186"/>
      <c r="C73" s="2187"/>
      <c r="D73" s="1179"/>
      <c r="E73" s="1179"/>
      <c r="F73" s="1179"/>
      <c r="G73" s="1179"/>
      <c r="H73" s="1180">
        <f t="shared" ref="H73:X73" si="2">SUM(H59:H72)+H41</f>
        <v>3800000</v>
      </c>
      <c r="I73" s="1180">
        <f t="shared" si="2"/>
        <v>659000</v>
      </c>
      <c r="J73" s="1180">
        <f t="shared" si="2"/>
        <v>5438131</v>
      </c>
      <c r="K73" s="1180">
        <f t="shared" si="2"/>
        <v>0</v>
      </c>
      <c r="L73" s="1180">
        <f t="shared" si="2"/>
        <v>7115209</v>
      </c>
      <c r="M73" s="1180">
        <f t="shared" si="2"/>
        <v>525400</v>
      </c>
      <c r="N73" s="1180">
        <f t="shared" si="2"/>
        <v>0</v>
      </c>
      <c r="O73" s="1180">
        <f t="shared" si="2"/>
        <v>0</v>
      </c>
      <c r="P73" s="1181">
        <f t="shared" si="2"/>
        <v>0</v>
      </c>
      <c r="Q73" s="1182">
        <f t="shared" si="2"/>
        <v>0</v>
      </c>
      <c r="R73" s="1180">
        <f t="shared" si="2"/>
        <v>0</v>
      </c>
      <c r="S73" s="1180">
        <f t="shared" si="2"/>
        <v>0</v>
      </c>
      <c r="T73" s="1180">
        <f t="shared" si="2"/>
        <v>5963531</v>
      </c>
      <c r="U73" s="1180">
        <f t="shared" si="2"/>
        <v>0</v>
      </c>
      <c r="V73" s="1180">
        <f t="shared" si="2"/>
        <v>0</v>
      </c>
      <c r="W73" s="1180">
        <f t="shared" si="2"/>
        <v>0</v>
      </c>
      <c r="X73" s="1181">
        <f t="shared" si="2"/>
        <v>11574209</v>
      </c>
    </row>
    <row r="74" spans="1:24" ht="18" customHeight="1" x14ac:dyDescent="0.2">
      <c r="A74" s="1220"/>
      <c r="B74" s="1220"/>
      <c r="C74" s="1220"/>
      <c r="D74" s="1290"/>
      <c r="E74" s="1291"/>
      <c r="F74" s="1291"/>
      <c r="G74" s="1292"/>
      <c r="H74" s="1293"/>
      <c r="I74" s="1293"/>
      <c r="J74" s="1293"/>
      <c r="K74" s="1293"/>
      <c r="L74" s="1293"/>
      <c r="M74" s="1293"/>
      <c r="N74" s="1293"/>
      <c r="O74" s="1293"/>
      <c r="P74" s="1293"/>
      <c r="Q74" s="1293"/>
      <c r="R74" s="1293"/>
      <c r="S74" s="1293"/>
      <c r="T74" s="1293"/>
      <c r="U74" s="1293"/>
      <c r="V74" s="1293"/>
      <c r="W74" s="1293"/>
      <c r="X74" s="1293"/>
    </row>
    <row r="75" spans="1:24" ht="15.75" customHeight="1" x14ac:dyDescent="0.2">
      <c r="A75" s="1220"/>
      <c r="B75" s="1220"/>
      <c r="C75" s="1220"/>
      <c r="D75" s="1290"/>
      <c r="E75" s="1291"/>
      <c r="F75" s="1291"/>
      <c r="G75" s="1292"/>
      <c r="H75" s="1293"/>
      <c r="I75" s="1293"/>
      <c r="J75" s="1293"/>
      <c r="K75" s="1293"/>
      <c r="L75" s="1293"/>
      <c r="M75" s="1293"/>
      <c r="N75" s="1293"/>
      <c r="O75" s="1293"/>
      <c r="P75" s="1293"/>
      <c r="Q75" s="1293"/>
      <c r="R75" s="1293"/>
      <c r="S75" s="1293"/>
      <c r="T75" s="1293"/>
      <c r="U75" s="1293"/>
      <c r="V75" s="1293"/>
      <c r="W75" s="1293"/>
      <c r="X75" s="1293"/>
    </row>
    <row r="76" spans="1:24" ht="17.25" customHeight="1" x14ac:dyDescent="0.25">
      <c r="A76" s="1197"/>
      <c r="B76" s="1197"/>
      <c r="C76" s="1197"/>
      <c r="D76" s="1197"/>
      <c r="E76" s="1197"/>
      <c r="F76" s="1197"/>
      <c r="G76" s="1197"/>
      <c r="H76" s="1197"/>
      <c r="I76" s="1197"/>
      <c r="J76" s="1197"/>
      <c r="K76" s="1197"/>
      <c r="L76" s="1197"/>
      <c r="M76" s="1197"/>
      <c r="N76" s="1197"/>
      <c r="O76" s="1197"/>
      <c r="P76" s="1197"/>
      <c r="Q76" s="1197"/>
      <c r="R76" s="1197"/>
      <c r="S76" s="1197"/>
      <c r="T76" s="1197"/>
      <c r="U76" s="1197"/>
      <c r="V76" s="1197"/>
      <c r="W76" s="1197"/>
      <c r="X76" s="1197"/>
    </row>
    <row r="77" spans="1:24" ht="22.5" customHeight="1" x14ac:dyDescent="0.25">
      <c r="A77" s="1197"/>
      <c r="B77" s="1197"/>
      <c r="C77" s="1197"/>
      <c r="D77" s="1197"/>
      <c r="E77" s="1197"/>
      <c r="F77" s="1197"/>
      <c r="G77" s="1197"/>
      <c r="H77" s="1224"/>
      <c r="I77" s="2108" t="s">
        <v>1750</v>
      </c>
      <c r="J77" s="2108"/>
      <c r="K77" s="2108"/>
      <c r="L77" s="2108">
        <v>161946676</v>
      </c>
      <c r="M77" s="2108"/>
      <c r="N77" s="1225"/>
      <c r="O77" s="1225"/>
      <c r="P77" s="1225"/>
      <c r="Q77" s="1225"/>
      <c r="R77" s="2108" t="s">
        <v>1751</v>
      </c>
      <c r="S77" s="2108"/>
      <c r="T77" s="2108"/>
      <c r="U77" s="2108">
        <v>161946676</v>
      </c>
      <c r="V77" s="2108"/>
      <c r="W77" s="1224"/>
      <c r="X77" s="1224"/>
    </row>
    <row r="78" spans="1:24" ht="21.75" customHeight="1" x14ac:dyDescent="0.25">
      <c r="A78" s="1197"/>
      <c r="B78" s="1197"/>
      <c r="C78" s="1197"/>
      <c r="D78" s="1197"/>
      <c r="E78" s="1197"/>
      <c r="F78" s="1197"/>
      <c r="G78" s="1197"/>
      <c r="H78" s="1224"/>
      <c r="I78" s="2066" t="s">
        <v>3474</v>
      </c>
      <c r="J78" s="2066"/>
      <c r="K78" s="2066"/>
      <c r="L78" s="2108">
        <f>SUM(H73:P73)</f>
        <v>17537740</v>
      </c>
      <c r="M78" s="2108"/>
      <c r="N78" s="1225"/>
      <c r="O78" s="1225"/>
      <c r="P78" s="1225"/>
      <c r="Q78" s="1225"/>
      <c r="R78" s="2066" t="s">
        <v>3474</v>
      </c>
      <c r="S78" s="2066"/>
      <c r="T78" s="2066"/>
      <c r="U78" s="2108">
        <f>SUM(Q73:X73)</f>
        <v>17537740</v>
      </c>
      <c r="V78" s="2108"/>
      <c r="W78" s="1224"/>
      <c r="X78" s="1224"/>
    </row>
    <row r="79" spans="1:24" ht="21.75" customHeight="1" x14ac:dyDescent="0.25">
      <c r="A79" s="1197"/>
      <c r="B79" s="1197"/>
      <c r="C79" s="1197"/>
      <c r="D79" s="1197"/>
      <c r="E79" s="1197"/>
      <c r="F79" s="1197"/>
      <c r="G79" s="1197"/>
      <c r="H79" s="1224"/>
      <c r="I79" s="2108" t="s">
        <v>1561</v>
      </c>
      <c r="J79" s="2108"/>
      <c r="K79" s="2108"/>
      <c r="L79" s="2108">
        <f>+L77+L78</f>
        <v>179484416</v>
      </c>
      <c r="M79" s="2108"/>
      <c r="N79" s="1225"/>
      <c r="O79" s="1225"/>
      <c r="P79" s="1225"/>
      <c r="Q79" s="1225"/>
      <c r="R79" s="2108" t="s">
        <v>1561</v>
      </c>
      <c r="S79" s="2108"/>
      <c r="T79" s="2108"/>
      <c r="U79" s="2108">
        <f>+U77+U78</f>
        <v>179484416</v>
      </c>
      <c r="V79" s="2108"/>
      <c r="W79" s="1224"/>
      <c r="X79" s="1224"/>
    </row>
    <row r="80" spans="1:24" x14ac:dyDescent="0.2">
      <c r="A80" s="348"/>
      <c r="B80" s="348"/>
      <c r="C80" s="348"/>
      <c r="D80" s="348"/>
      <c r="E80" s="348"/>
      <c r="F80" s="348"/>
      <c r="G80" s="348"/>
      <c r="H80" s="348"/>
      <c r="I80" s="348"/>
      <c r="J80" s="348"/>
      <c r="K80" s="348"/>
      <c r="L80" s="348"/>
      <c r="M80" s="348"/>
      <c r="N80" s="348"/>
      <c r="O80" s="348"/>
      <c r="P80" s="348"/>
      <c r="Q80" s="348"/>
      <c r="R80" s="348"/>
      <c r="S80" s="348"/>
      <c r="T80" s="348"/>
      <c r="U80" s="348"/>
      <c r="V80" s="348"/>
      <c r="W80" s="348"/>
      <c r="X80" s="348"/>
    </row>
    <row r="81" spans="1:24" x14ac:dyDescent="0.2">
      <c r="A81" s="348"/>
      <c r="B81" s="348"/>
      <c r="C81" s="348"/>
      <c r="D81" s="348"/>
      <c r="E81" s="348"/>
      <c r="F81" s="348"/>
      <c r="G81" s="348"/>
      <c r="H81" s="348"/>
      <c r="I81" s="348"/>
      <c r="J81" s="348"/>
      <c r="K81" s="348"/>
      <c r="L81" s="348"/>
      <c r="M81" s="348"/>
      <c r="N81" s="348"/>
      <c r="O81" s="348"/>
      <c r="P81" s="348"/>
      <c r="Q81" s="348"/>
      <c r="R81" s="348"/>
      <c r="S81" s="348"/>
      <c r="T81" s="348"/>
      <c r="U81" s="348"/>
      <c r="V81" s="348"/>
      <c r="W81" s="348"/>
      <c r="X81" s="348"/>
    </row>
    <row r="82" spans="1:24" x14ac:dyDescent="0.2">
      <c r="A82" s="348"/>
      <c r="B82" s="348"/>
      <c r="C82" s="348"/>
      <c r="D82" s="348"/>
      <c r="E82" s="348"/>
      <c r="F82" s="348"/>
      <c r="G82" s="348"/>
      <c r="H82" s="348"/>
      <c r="I82" s="348"/>
      <c r="J82" s="348"/>
      <c r="K82" s="348"/>
      <c r="L82" s="348"/>
      <c r="M82" s="348"/>
      <c r="N82" s="348"/>
      <c r="O82" s="348"/>
      <c r="P82" s="348"/>
      <c r="Q82" s="348"/>
      <c r="R82" s="348"/>
      <c r="S82" s="348"/>
      <c r="T82" s="348"/>
      <c r="U82" s="348"/>
      <c r="V82" s="348"/>
      <c r="W82" s="348"/>
      <c r="X82" s="348"/>
    </row>
    <row r="83" spans="1:24" ht="15.75" x14ac:dyDescent="0.25">
      <c r="A83" s="2069" t="s">
        <v>3354</v>
      </c>
      <c r="B83" s="2069"/>
      <c r="C83" s="2069"/>
      <c r="D83" s="2069"/>
      <c r="E83" s="2069"/>
      <c r="F83" s="2069"/>
      <c r="G83" s="2069"/>
      <c r="H83" s="2069"/>
      <c r="I83" s="2069"/>
      <c r="J83" s="2069"/>
      <c r="K83" s="2069"/>
      <c r="L83" s="2069"/>
      <c r="M83" s="2069"/>
      <c r="N83" s="2069"/>
      <c r="O83" s="2069"/>
      <c r="P83" s="2069"/>
      <c r="Q83" s="2069"/>
      <c r="R83" s="2069"/>
      <c r="S83" s="2069"/>
      <c r="T83" s="2069"/>
      <c r="U83" s="2069"/>
      <c r="V83" s="2069"/>
      <c r="W83" s="2069"/>
      <c r="X83" s="2069"/>
    </row>
    <row r="84" spans="1:24" ht="15" x14ac:dyDescent="0.25">
      <c r="A84" s="1298"/>
      <c r="B84" s="1298"/>
      <c r="C84" s="1299"/>
      <c r="D84" s="1300"/>
      <c r="E84" s="1300"/>
      <c r="F84" s="1300"/>
      <c r="G84" s="1300"/>
      <c r="H84" s="1300"/>
      <c r="I84" s="1300"/>
      <c r="J84" s="1300"/>
      <c r="K84" s="1300"/>
      <c r="L84" s="1300"/>
      <c r="M84" s="1300"/>
      <c r="N84" s="1300"/>
      <c r="O84" s="1300"/>
      <c r="P84" s="1300"/>
      <c r="Q84" s="1300"/>
      <c r="R84" s="1300"/>
      <c r="S84" s="1300"/>
      <c r="T84" s="1300"/>
      <c r="U84" s="1300"/>
      <c r="V84" s="1300"/>
      <c r="W84" s="1300"/>
      <c r="X84" s="1300"/>
    </row>
    <row r="85" spans="1:24" ht="15" x14ac:dyDescent="0.25">
      <c r="A85" s="2188" t="s">
        <v>1802</v>
      </c>
      <c r="B85" s="2188"/>
      <c r="C85" s="2188"/>
      <c r="D85" s="2188"/>
      <c r="E85" s="2188"/>
      <c r="F85" s="2188"/>
      <c r="G85" s="2188"/>
      <c r="H85" s="2188"/>
      <c r="I85" s="2188"/>
      <c r="J85" s="2188"/>
      <c r="K85" s="2188"/>
      <c r="L85" s="2188"/>
      <c r="M85" s="2188"/>
      <c r="N85" s="2188"/>
      <c r="O85" s="2188"/>
      <c r="P85" s="2188"/>
      <c r="Q85" s="2188"/>
      <c r="R85" s="2188"/>
      <c r="S85" s="2188"/>
      <c r="T85" s="2188"/>
      <c r="U85" s="2188"/>
      <c r="V85" s="2188"/>
      <c r="W85" s="2188"/>
      <c r="X85" s="2188"/>
    </row>
    <row r="86" spans="1:24" ht="15" x14ac:dyDescent="0.25">
      <c r="A86" s="1190"/>
      <c r="B86" s="1190"/>
      <c r="C86" s="1191"/>
      <c r="D86" s="1192"/>
      <c r="E86" s="1192"/>
      <c r="F86" s="1192"/>
      <c r="G86" s="1192"/>
      <c r="H86" s="1192"/>
      <c r="I86" s="1192"/>
      <c r="J86" s="1192"/>
      <c r="K86" s="1192"/>
      <c r="L86" s="1192"/>
      <c r="M86" s="1192"/>
      <c r="N86" s="1192"/>
      <c r="O86" s="1192"/>
      <c r="P86" s="1192"/>
      <c r="Q86" s="1301"/>
      <c r="R86" s="1192"/>
      <c r="S86" s="1192"/>
      <c r="T86" s="1192"/>
      <c r="U86" s="1192"/>
      <c r="V86" s="1192"/>
      <c r="W86" s="1192"/>
      <c r="X86" s="1192"/>
    </row>
    <row r="87" spans="1:24" ht="15" x14ac:dyDescent="0.25">
      <c r="A87" s="2070" t="s">
        <v>37</v>
      </c>
      <c r="B87" s="2093" t="s">
        <v>1726</v>
      </c>
      <c r="C87" s="2074" t="s">
        <v>2</v>
      </c>
      <c r="D87" s="2076" t="s">
        <v>1727</v>
      </c>
      <c r="E87" s="2076" t="s">
        <v>117</v>
      </c>
      <c r="F87" s="2076" t="s">
        <v>1728</v>
      </c>
      <c r="G87" s="2076" t="s">
        <v>1729</v>
      </c>
      <c r="H87" s="2078" t="s">
        <v>1730</v>
      </c>
      <c r="I87" s="2078"/>
      <c r="J87" s="2078"/>
      <c r="K87" s="2078"/>
      <c r="L87" s="2078"/>
      <c r="M87" s="2078"/>
      <c r="N87" s="2078"/>
      <c r="O87" s="2079"/>
      <c r="P87" s="1464"/>
      <c r="Q87" s="2080" t="s">
        <v>1731</v>
      </c>
      <c r="R87" s="2078"/>
      <c r="S87" s="2078"/>
      <c r="T87" s="2078"/>
      <c r="U87" s="2078"/>
      <c r="V87" s="2078"/>
      <c r="W87" s="2078"/>
      <c r="X87" s="2081"/>
    </row>
    <row r="88" spans="1:24" ht="94.5" customHeight="1" x14ac:dyDescent="0.2">
      <c r="A88" s="2071"/>
      <c r="B88" s="2094"/>
      <c r="C88" s="2075"/>
      <c r="D88" s="2077"/>
      <c r="E88" s="2077"/>
      <c r="F88" s="2077"/>
      <c r="G88" s="2077"/>
      <c r="H88" s="1154" t="s">
        <v>2382</v>
      </c>
      <c r="I88" s="1155" t="s">
        <v>1733</v>
      </c>
      <c r="J88" s="1154" t="s">
        <v>1797</v>
      </c>
      <c r="K88" s="1154" t="s">
        <v>1735</v>
      </c>
      <c r="L88" s="1154" t="s">
        <v>1736</v>
      </c>
      <c r="M88" s="1154" t="s">
        <v>1737</v>
      </c>
      <c r="N88" s="1154" t="s">
        <v>1738</v>
      </c>
      <c r="O88" s="1156" t="s">
        <v>1739</v>
      </c>
      <c r="P88" s="1159" t="s">
        <v>1740</v>
      </c>
      <c r="Q88" s="1227" t="s">
        <v>1741</v>
      </c>
      <c r="R88" s="1155" t="s">
        <v>1742</v>
      </c>
      <c r="S88" s="1154" t="s">
        <v>1743</v>
      </c>
      <c r="T88" s="1154" t="s">
        <v>1744</v>
      </c>
      <c r="U88" s="1155" t="s">
        <v>1745</v>
      </c>
      <c r="V88" s="1155" t="s">
        <v>1746</v>
      </c>
      <c r="W88" s="1155" t="s">
        <v>1747</v>
      </c>
      <c r="X88" s="1159" t="s">
        <v>1748</v>
      </c>
    </row>
    <row r="89" spans="1:24" ht="24" customHeight="1" x14ac:dyDescent="0.2">
      <c r="A89" s="2086" t="s">
        <v>233</v>
      </c>
      <c r="B89" s="2085" t="s">
        <v>266</v>
      </c>
      <c r="C89" s="2096" t="s">
        <v>3030</v>
      </c>
      <c r="D89" s="1206" t="s">
        <v>1827</v>
      </c>
      <c r="E89" s="1244" t="s">
        <v>559</v>
      </c>
      <c r="F89" s="1244" t="s">
        <v>91</v>
      </c>
      <c r="G89" s="1312" t="s">
        <v>1837</v>
      </c>
      <c r="H89" s="1363">
        <f>-490000+490000</f>
        <v>0</v>
      </c>
      <c r="I89" s="1363"/>
      <c r="J89" s="1363"/>
      <c r="K89" s="1363"/>
      <c r="L89" s="1363"/>
      <c r="M89" s="1363"/>
      <c r="N89" s="1363"/>
      <c r="O89" s="1363"/>
      <c r="P89" s="1364"/>
      <c r="Q89" s="1362"/>
      <c r="R89" s="1363"/>
      <c r="S89" s="1363"/>
      <c r="T89" s="1363"/>
      <c r="U89" s="1363"/>
      <c r="V89" s="1363"/>
      <c r="W89" s="1363"/>
      <c r="X89" s="1364"/>
    </row>
    <row r="90" spans="1:24" ht="24" customHeight="1" x14ac:dyDescent="0.2">
      <c r="A90" s="2053"/>
      <c r="B90" s="2055"/>
      <c r="C90" s="2057"/>
      <c r="D90" s="1206" t="s">
        <v>1827</v>
      </c>
      <c r="E90" s="1244" t="s">
        <v>559</v>
      </c>
      <c r="F90" s="1244" t="s">
        <v>132</v>
      </c>
      <c r="G90" s="1312" t="s">
        <v>1837</v>
      </c>
      <c r="H90" s="1363">
        <f>-60000+60000</f>
        <v>0</v>
      </c>
      <c r="I90" s="1363"/>
      <c r="J90" s="1363"/>
      <c r="K90" s="1363"/>
      <c r="L90" s="1363"/>
      <c r="M90" s="1363"/>
      <c r="N90" s="1363"/>
      <c r="O90" s="1363"/>
      <c r="P90" s="1364"/>
      <c r="Q90" s="1362"/>
      <c r="R90" s="1363"/>
      <c r="S90" s="1363"/>
      <c r="T90" s="1363"/>
      <c r="U90" s="1363"/>
      <c r="V90" s="1363"/>
      <c r="W90" s="1363"/>
      <c r="X90" s="1364"/>
    </row>
    <row r="91" spans="1:24" ht="42.75" customHeight="1" x14ac:dyDescent="0.2">
      <c r="A91" s="1491" t="s">
        <v>260</v>
      </c>
      <c r="B91" s="1490" t="s">
        <v>267</v>
      </c>
      <c r="C91" s="1631" t="s">
        <v>3146</v>
      </c>
      <c r="D91" s="1206" t="s">
        <v>1827</v>
      </c>
      <c r="E91" s="1244" t="s">
        <v>559</v>
      </c>
      <c r="F91" s="1244" t="s">
        <v>132</v>
      </c>
      <c r="G91" s="1312" t="s">
        <v>1837</v>
      </c>
      <c r="H91" s="1363">
        <f>-100000+100000</f>
        <v>0</v>
      </c>
      <c r="I91" s="1363"/>
      <c r="J91" s="1363"/>
      <c r="K91" s="1363"/>
      <c r="L91" s="1363"/>
      <c r="M91" s="1363"/>
      <c r="N91" s="1363"/>
      <c r="O91" s="1363"/>
      <c r="P91" s="1364"/>
      <c r="Q91" s="1362"/>
      <c r="R91" s="1363"/>
      <c r="S91" s="1363"/>
      <c r="T91" s="1363"/>
      <c r="U91" s="1363"/>
      <c r="V91" s="1363"/>
      <c r="W91" s="1363"/>
      <c r="X91" s="1364"/>
    </row>
    <row r="92" spans="1:24" ht="39.75" customHeight="1" x14ac:dyDescent="0.2">
      <c r="A92" s="1491" t="s">
        <v>261</v>
      </c>
      <c r="B92" s="1490" t="s">
        <v>268</v>
      </c>
      <c r="C92" s="1631" t="s">
        <v>3147</v>
      </c>
      <c r="D92" s="1206" t="s">
        <v>1827</v>
      </c>
      <c r="E92" s="1244" t="s">
        <v>559</v>
      </c>
      <c r="F92" s="1244" t="s">
        <v>91</v>
      </c>
      <c r="G92" s="1312" t="s">
        <v>1837</v>
      </c>
      <c r="H92" s="1363"/>
      <c r="I92" s="1363"/>
      <c r="J92" s="1363">
        <f>-200000+200000</f>
        <v>0</v>
      </c>
      <c r="K92" s="1363"/>
      <c r="L92" s="1363"/>
      <c r="M92" s="1363"/>
      <c r="N92" s="1363"/>
      <c r="O92" s="1363"/>
      <c r="P92" s="1364"/>
      <c r="Q92" s="1362"/>
      <c r="R92" s="1363"/>
      <c r="S92" s="1363"/>
      <c r="T92" s="1363"/>
      <c r="U92" s="1363"/>
      <c r="V92" s="1363"/>
      <c r="W92" s="1363"/>
      <c r="X92" s="1364"/>
    </row>
    <row r="93" spans="1:24" ht="53.25" customHeight="1" x14ac:dyDescent="0.2">
      <c r="A93" s="1491" t="s">
        <v>262</v>
      </c>
      <c r="B93" s="1490" t="s">
        <v>269</v>
      </c>
      <c r="C93" s="1631" t="s">
        <v>3148</v>
      </c>
      <c r="D93" s="1206" t="s">
        <v>1827</v>
      </c>
      <c r="E93" s="1244" t="s">
        <v>559</v>
      </c>
      <c r="F93" s="1244" t="s">
        <v>132</v>
      </c>
      <c r="G93" s="1312" t="s">
        <v>1829</v>
      </c>
      <c r="H93" s="1363"/>
      <c r="I93" s="1363"/>
      <c r="J93" s="1363">
        <f>2761809+500000</f>
        <v>3261809</v>
      </c>
      <c r="K93" s="1363"/>
      <c r="L93" s="1363"/>
      <c r="M93" s="1363"/>
      <c r="N93" s="1363"/>
      <c r="O93" s="1363"/>
      <c r="P93" s="1364"/>
      <c r="Q93" s="1362"/>
      <c r="R93" s="1363"/>
      <c r="S93" s="1363"/>
      <c r="T93" s="1363">
        <f>800000+500000+1961809</f>
        <v>3261809</v>
      </c>
      <c r="U93" s="1363"/>
      <c r="V93" s="1363"/>
      <c r="W93" s="1363"/>
      <c r="X93" s="1364"/>
    </row>
    <row r="94" spans="1:24" ht="24" customHeight="1" x14ac:dyDescent="0.2">
      <c r="A94" s="2052" t="s">
        <v>263</v>
      </c>
      <c r="B94" s="2054" t="s">
        <v>270</v>
      </c>
      <c r="C94" s="2056" t="s">
        <v>3181</v>
      </c>
      <c r="D94" s="1206" t="s">
        <v>1827</v>
      </c>
      <c r="E94" s="1244" t="s">
        <v>559</v>
      </c>
      <c r="F94" s="1244" t="s">
        <v>91</v>
      </c>
      <c r="G94" s="1312" t="s">
        <v>1837</v>
      </c>
      <c r="H94" s="1363">
        <f>-92223+487378+2250000+247845+637000</f>
        <v>3530000</v>
      </c>
      <c r="I94" s="1363"/>
      <c r="J94" s="1363"/>
      <c r="K94" s="1363"/>
      <c r="L94" s="1363"/>
      <c r="M94" s="1363"/>
      <c r="N94" s="1363"/>
      <c r="O94" s="1363"/>
      <c r="P94" s="1364"/>
      <c r="Q94" s="1362"/>
      <c r="R94" s="1363"/>
      <c r="S94" s="1363"/>
      <c r="T94" s="1363"/>
      <c r="U94" s="1363"/>
      <c r="V94" s="1363"/>
      <c r="W94" s="1363"/>
      <c r="X94" s="1364"/>
    </row>
    <row r="95" spans="1:24" ht="24" customHeight="1" x14ac:dyDescent="0.2">
      <c r="A95" s="2053"/>
      <c r="B95" s="2055"/>
      <c r="C95" s="2057"/>
      <c r="D95" s="1206" t="s">
        <v>1827</v>
      </c>
      <c r="E95" s="1244" t="s">
        <v>559</v>
      </c>
      <c r="F95" s="1244" t="s">
        <v>132</v>
      </c>
      <c r="G95" s="1312" t="s">
        <v>1837</v>
      </c>
      <c r="H95" s="1363">
        <f>-1900000-1630000-3878034+3625000+253034</f>
        <v>-3530000</v>
      </c>
      <c r="I95" s="1363"/>
      <c r="J95" s="1363"/>
      <c r="K95" s="1363"/>
      <c r="L95" s="1363"/>
      <c r="M95" s="1363"/>
      <c r="N95" s="1363"/>
      <c r="O95" s="1363"/>
      <c r="P95" s="1364"/>
      <c r="Q95" s="1362"/>
      <c r="R95" s="1363"/>
      <c r="S95" s="1363"/>
      <c r="T95" s="1363"/>
      <c r="U95" s="1363"/>
      <c r="V95" s="1363"/>
      <c r="W95" s="1363"/>
      <c r="X95" s="1364"/>
    </row>
    <row r="96" spans="1:24" ht="27" customHeight="1" x14ac:dyDescent="0.2">
      <c r="A96" s="2052" t="s">
        <v>264</v>
      </c>
      <c r="B96" s="2054" t="s">
        <v>271</v>
      </c>
      <c r="C96" s="2056" t="s">
        <v>3199</v>
      </c>
      <c r="D96" s="1206" t="s">
        <v>1827</v>
      </c>
      <c r="E96" s="1244" t="s">
        <v>1288</v>
      </c>
      <c r="F96" s="1244" t="s">
        <v>128</v>
      </c>
      <c r="G96" s="1312" t="s">
        <v>1829</v>
      </c>
      <c r="H96" s="1363"/>
      <c r="I96" s="1363"/>
      <c r="J96" s="1363"/>
      <c r="K96" s="1363"/>
      <c r="L96" s="1363"/>
      <c r="M96" s="1363"/>
      <c r="N96" s="1363"/>
      <c r="O96" s="1363"/>
      <c r="P96" s="1364"/>
      <c r="Q96" s="1362"/>
      <c r="R96" s="1363"/>
      <c r="S96" s="1363"/>
      <c r="T96" s="1363"/>
      <c r="U96" s="1363"/>
      <c r="V96" s="1363"/>
      <c r="W96" s="1363"/>
      <c r="X96" s="1364">
        <v>100000</v>
      </c>
    </row>
    <row r="97" spans="1:24" ht="27" customHeight="1" x14ac:dyDescent="0.2">
      <c r="A97" s="2053"/>
      <c r="B97" s="2055"/>
      <c r="C97" s="2057"/>
      <c r="D97" s="1206" t="s">
        <v>1827</v>
      </c>
      <c r="E97" s="1244" t="s">
        <v>559</v>
      </c>
      <c r="F97" s="1244" t="s">
        <v>91</v>
      </c>
      <c r="G97" s="1312" t="s">
        <v>1829</v>
      </c>
      <c r="H97" s="1363"/>
      <c r="I97" s="1363"/>
      <c r="J97" s="1363">
        <v>100000</v>
      </c>
      <c r="K97" s="1363"/>
      <c r="L97" s="1363"/>
      <c r="M97" s="1363"/>
      <c r="N97" s="1363"/>
      <c r="O97" s="1363"/>
      <c r="P97" s="1364"/>
      <c r="Q97" s="1362"/>
      <c r="R97" s="1363"/>
      <c r="S97" s="1363"/>
      <c r="T97" s="1363"/>
      <c r="U97" s="1363"/>
      <c r="V97" s="1363"/>
      <c r="W97" s="1363"/>
      <c r="X97" s="1364"/>
    </row>
    <row r="98" spans="1:24" ht="33.75" customHeight="1" x14ac:dyDescent="0.2">
      <c r="A98" s="1491" t="s">
        <v>265</v>
      </c>
      <c r="B98" s="1490" t="s">
        <v>272</v>
      </c>
      <c r="C98" s="1631" t="s">
        <v>3181</v>
      </c>
      <c r="D98" s="1206" t="s">
        <v>1827</v>
      </c>
      <c r="E98" s="1244" t="s">
        <v>559</v>
      </c>
      <c r="F98" s="1244" t="s">
        <v>132</v>
      </c>
      <c r="G98" s="1312" t="s">
        <v>1837</v>
      </c>
      <c r="H98" s="1363">
        <f>-65000+65000</f>
        <v>0</v>
      </c>
      <c r="I98" s="1363"/>
      <c r="J98" s="1363"/>
      <c r="K98" s="1363"/>
      <c r="L98" s="1363"/>
      <c r="M98" s="1363"/>
      <c r="N98" s="1363"/>
      <c r="O98" s="1363"/>
      <c r="P98" s="1364"/>
      <c r="Q98" s="1362"/>
      <c r="R98" s="1363"/>
      <c r="S98" s="1363"/>
      <c r="T98" s="1363"/>
      <c r="U98" s="1363"/>
      <c r="V98" s="1363"/>
      <c r="W98" s="1363"/>
      <c r="X98" s="1364"/>
    </row>
    <row r="99" spans="1:24" ht="51.75" customHeight="1" x14ac:dyDescent="0.2">
      <c r="A99" s="1491" t="s">
        <v>266</v>
      </c>
      <c r="B99" s="1490" t="s">
        <v>276</v>
      </c>
      <c r="C99" s="1631" t="s">
        <v>3333</v>
      </c>
      <c r="D99" s="1206" t="s">
        <v>1827</v>
      </c>
      <c r="E99" s="1244" t="s">
        <v>559</v>
      </c>
      <c r="F99" s="1244" t="s">
        <v>132</v>
      </c>
      <c r="G99" s="1312" t="s">
        <v>1837</v>
      </c>
      <c r="H99" s="1363"/>
      <c r="I99" s="1363"/>
      <c r="J99" s="1363">
        <f>-1000000-135000+500000</f>
        <v>-635000</v>
      </c>
      <c r="K99" s="1363"/>
      <c r="L99" s="1363"/>
      <c r="M99" s="1363">
        <f>500000+135000</f>
        <v>635000</v>
      </c>
      <c r="N99" s="1363"/>
      <c r="O99" s="1363"/>
      <c r="P99" s="1364"/>
      <c r="Q99" s="1362"/>
      <c r="R99" s="1363"/>
      <c r="S99" s="1363"/>
      <c r="T99" s="1363"/>
      <c r="U99" s="1363"/>
      <c r="V99" s="1363"/>
      <c r="W99" s="1363"/>
      <c r="X99" s="1364"/>
    </row>
    <row r="100" spans="1:24" ht="44.25" customHeight="1" x14ac:dyDescent="0.2">
      <c r="A100" s="1491" t="s">
        <v>267</v>
      </c>
      <c r="B100" s="1490" t="s">
        <v>277</v>
      </c>
      <c r="C100" s="1631" t="s">
        <v>3342</v>
      </c>
      <c r="D100" s="1206" t="s">
        <v>1827</v>
      </c>
      <c r="E100" s="1244" t="s">
        <v>559</v>
      </c>
      <c r="F100" s="1244" t="s">
        <v>91</v>
      </c>
      <c r="G100" s="1312" t="s">
        <v>1837</v>
      </c>
      <c r="H100" s="1363"/>
      <c r="I100" s="1363"/>
      <c r="J100" s="1363">
        <f>-1000000+1000000</f>
        <v>0</v>
      </c>
      <c r="K100" s="1363"/>
      <c r="L100" s="1363"/>
      <c r="M100" s="1363"/>
      <c r="N100" s="1363"/>
      <c r="O100" s="1363"/>
      <c r="P100" s="1364"/>
      <c r="Q100" s="1362"/>
      <c r="R100" s="1363"/>
      <c r="S100" s="1363"/>
      <c r="T100" s="1363"/>
      <c r="U100" s="1363"/>
      <c r="V100" s="1363"/>
      <c r="W100" s="1363"/>
      <c r="X100" s="1364"/>
    </row>
    <row r="101" spans="1:24" ht="22.5" customHeight="1" x14ac:dyDescent="0.2">
      <c r="A101" s="2052" t="s">
        <v>268</v>
      </c>
      <c r="B101" s="2054" t="s">
        <v>278</v>
      </c>
      <c r="C101" s="2056" t="s">
        <v>3343</v>
      </c>
      <c r="D101" s="1206" t="s">
        <v>1827</v>
      </c>
      <c r="E101" s="1244" t="s">
        <v>559</v>
      </c>
      <c r="F101" s="1244" t="s">
        <v>91</v>
      </c>
      <c r="G101" s="1312" t="s">
        <v>1829</v>
      </c>
      <c r="H101" s="1363"/>
      <c r="I101" s="1363"/>
      <c r="J101" s="1363">
        <v>700000</v>
      </c>
      <c r="K101" s="1363"/>
      <c r="L101" s="1363"/>
      <c r="M101" s="1363"/>
      <c r="N101" s="1363"/>
      <c r="O101" s="1363"/>
      <c r="P101" s="1364"/>
      <c r="Q101" s="1362"/>
      <c r="R101" s="1363"/>
      <c r="S101" s="1363"/>
      <c r="T101" s="1363">
        <v>700000</v>
      </c>
      <c r="U101" s="1363"/>
      <c r="V101" s="1363"/>
      <c r="W101" s="1363"/>
      <c r="X101" s="1364"/>
    </row>
    <row r="102" spans="1:24" ht="22.5" customHeight="1" x14ac:dyDescent="0.2">
      <c r="A102" s="2053"/>
      <c r="B102" s="2055"/>
      <c r="C102" s="2057"/>
      <c r="D102" s="1206" t="s">
        <v>1827</v>
      </c>
      <c r="E102" s="1244" t="s">
        <v>559</v>
      </c>
      <c r="F102" s="1244" t="s">
        <v>132</v>
      </c>
      <c r="G102" s="1312" t="s">
        <v>1829</v>
      </c>
      <c r="H102" s="1363"/>
      <c r="I102" s="1363"/>
      <c r="J102" s="1363">
        <v>700000</v>
      </c>
      <c r="K102" s="1363"/>
      <c r="L102" s="1363"/>
      <c r="M102" s="1363"/>
      <c r="N102" s="1363"/>
      <c r="O102" s="1363"/>
      <c r="P102" s="1364"/>
      <c r="Q102" s="1362"/>
      <c r="R102" s="1363"/>
      <c r="S102" s="1363"/>
      <c r="T102" s="1363">
        <v>700000</v>
      </c>
      <c r="U102" s="1363"/>
      <c r="V102" s="1363"/>
      <c r="W102" s="1363"/>
      <c r="X102" s="1364"/>
    </row>
    <row r="103" spans="1:24" ht="22.5" customHeight="1" x14ac:dyDescent="0.2">
      <c r="A103" s="2052" t="s">
        <v>269</v>
      </c>
      <c r="B103" s="2054" t="s">
        <v>188</v>
      </c>
      <c r="C103" s="2056" t="s">
        <v>3373</v>
      </c>
      <c r="D103" s="1206" t="s">
        <v>1827</v>
      </c>
      <c r="E103" s="1244" t="s">
        <v>559</v>
      </c>
      <c r="F103" s="1244" t="s">
        <v>91</v>
      </c>
      <c r="G103" s="1312" t="s">
        <v>1837</v>
      </c>
      <c r="H103" s="1363">
        <f>-686501-50001-150000-80654+967156</f>
        <v>0</v>
      </c>
      <c r="I103" s="1363"/>
      <c r="J103" s="1363"/>
      <c r="K103" s="1363"/>
      <c r="L103" s="1363"/>
      <c r="M103" s="1363"/>
      <c r="N103" s="1363"/>
      <c r="O103" s="1363"/>
      <c r="P103" s="1364"/>
      <c r="Q103" s="1362"/>
      <c r="R103" s="1363"/>
      <c r="S103" s="1363"/>
      <c r="T103" s="1363"/>
      <c r="U103" s="1363"/>
      <c r="V103" s="1363"/>
      <c r="W103" s="1363"/>
      <c r="X103" s="1364"/>
    </row>
    <row r="104" spans="1:24" ht="22.5" customHeight="1" x14ac:dyDescent="0.2">
      <c r="A104" s="2053"/>
      <c r="B104" s="2055"/>
      <c r="C104" s="2057"/>
      <c r="D104" s="1206" t="s">
        <v>1827</v>
      </c>
      <c r="E104" s="1244" t="s">
        <v>559</v>
      </c>
      <c r="F104" s="1244" t="s">
        <v>132</v>
      </c>
      <c r="G104" s="1312" t="s">
        <v>1837</v>
      </c>
      <c r="H104" s="1363">
        <f>-676873-41378+718251</f>
        <v>0</v>
      </c>
      <c r="I104" s="1363"/>
      <c r="J104" s="1363"/>
      <c r="K104" s="1363"/>
      <c r="L104" s="1363"/>
      <c r="M104" s="1363"/>
      <c r="N104" s="1363"/>
      <c r="O104" s="1363"/>
      <c r="P104" s="1364"/>
      <c r="Q104" s="1362"/>
      <c r="R104" s="1363"/>
      <c r="S104" s="1363"/>
      <c r="T104" s="1363"/>
      <c r="U104" s="1363"/>
      <c r="V104" s="1363"/>
      <c r="W104" s="1363"/>
      <c r="X104" s="1364"/>
    </row>
    <row r="105" spans="1:24" ht="23.25" customHeight="1" x14ac:dyDescent="0.2">
      <c r="A105" s="2052" t="s">
        <v>270</v>
      </c>
      <c r="B105" s="2054" t="s">
        <v>189</v>
      </c>
      <c r="C105" s="2056" t="s">
        <v>3376</v>
      </c>
      <c r="D105" s="1206" t="s">
        <v>1827</v>
      </c>
      <c r="E105" s="1244" t="s">
        <v>1288</v>
      </c>
      <c r="F105" s="1244" t="s">
        <v>128</v>
      </c>
      <c r="G105" s="1312" t="s">
        <v>1829</v>
      </c>
      <c r="H105" s="1363"/>
      <c r="I105" s="1363"/>
      <c r="J105" s="1363"/>
      <c r="K105" s="1363"/>
      <c r="L105" s="1363"/>
      <c r="M105" s="1363"/>
      <c r="N105" s="1363"/>
      <c r="O105" s="1363"/>
      <c r="P105" s="1364"/>
      <c r="Q105" s="1362"/>
      <c r="R105" s="1363"/>
      <c r="S105" s="1363"/>
      <c r="T105" s="1363"/>
      <c r="U105" s="1363"/>
      <c r="V105" s="1363"/>
      <c r="W105" s="1363"/>
      <c r="X105" s="1364">
        <v>4448858</v>
      </c>
    </row>
    <row r="106" spans="1:24" ht="23.25" customHeight="1" x14ac:dyDescent="0.2">
      <c r="A106" s="2061"/>
      <c r="B106" s="2060"/>
      <c r="C106" s="2065"/>
      <c r="D106" s="1206" t="s">
        <v>1827</v>
      </c>
      <c r="E106" s="1244" t="s">
        <v>559</v>
      </c>
      <c r="F106" s="1244" t="s">
        <v>91</v>
      </c>
      <c r="G106" s="1312" t="s">
        <v>1829</v>
      </c>
      <c r="H106" s="1363">
        <f>1204244+262358+610000</f>
        <v>2076602</v>
      </c>
      <c r="I106" s="1363"/>
      <c r="J106" s="1363"/>
      <c r="K106" s="1363"/>
      <c r="L106" s="1363"/>
      <c r="M106" s="1363"/>
      <c r="N106" s="1363"/>
      <c r="O106" s="1363"/>
      <c r="P106" s="1364"/>
      <c r="Q106" s="1362"/>
      <c r="R106" s="1363"/>
      <c r="S106" s="1363"/>
      <c r="T106" s="1363"/>
      <c r="U106" s="1363"/>
      <c r="V106" s="1363"/>
      <c r="W106" s="1363"/>
      <c r="X106" s="1364"/>
    </row>
    <row r="107" spans="1:24" ht="23.25" customHeight="1" x14ac:dyDescent="0.2">
      <c r="A107" s="2053"/>
      <c r="B107" s="2055"/>
      <c r="C107" s="2057"/>
      <c r="D107" s="1206" t="s">
        <v>1827</v>
      </c>
      <c r="E107" s="1244" t="s">
        <v>559</v>
      </c>
      <c r="F107" s="1244" t="s">
        <v>132</v>
      </c>
      <c r="G107" s="1312" t="s">
        <v>1829</v>
      </c>
      <c r="H107" s="1363">
        <f>2217256+90000+65000</f>
        <v>2372256</v>
      </c>
      <c r="I107" s="1363"/>
      <c r="J107" s="1363"/>
      <c r="K107" s="1363"/>
      <c r="L107" s="1363"/>
      <c r="M107" s="1363"/>
      <c r="N107" s="1363"/>
      <c r="O107" s="1363"/>
      <c r="P107" s="1364"/>
      <c r="Q107" s="1362"/>
      <c r="R107" s="1363"/>
      <c r="S107" s="1363"/>
      <c r="T107" s="1363"/>
      <c r="U107" s="1363"/>
      <c r="V107" s="1363"/>
      <c r="W107" s="1363"/>
      <c r="X107" s="1364"/>
    </row>
    <row r="108" spans="1:24" ht="30" customHeight="1" x14ac:dyDescent="0.2">
      <c r="A108" s="2052" t="s">
        <v>271</v>
      </c>
      <c r="B108" s="2054" t="s">
        <v>190</v>
      </c>
      <c r="C108" s="2056" t="s">
        <v>3404</v>
      </c>
      <c r="D108" s="1206" t="s">
        <v>1827</v>
      </c>
      <c r="E108" s="1244" t="s">
        <v>559</v>
      </c>
      <c r="F108" s="1244" t="s">
        <v>91</v>
      </c>
      <c r="G108" s="1312" t="s">
        <v>1837</v>
      </c>
      <c r="H108" s="1363"/>
      <c r="I108" s="1363"/>
      <c r="J108" s="1363">
        <f>-1000000+1000000</f>
        <v>0</v>
      </c>
      <c r="K108" s="1363"/>
      <c r="L108" s="1363"/>
      <c r="M108" s="1363"/>
      <c r="N108" s="1363"/>
      <c r="O108" s="1363"/>
      <c r="P108" s="1364"/>
      <c r="Q108" s="1362"/>
      <c r="R108" s="1363"/>
      <c r="S108" s="1363"/>
      <c r="T108" s="1363"/>
      <c r="U108" s="1363"/>
      <c r="V108" s="1363"/>
      <c r="W108" s="1363"/>
      <c r="X108" s="1364"/>
    </row>
    <row r="109" spans="1:24" ht="30" customHeight="1" x14ac:dyDescent="0.2">
      <c r="A109" s="2053"/>
      <c r="B109" s="2055"/>
      <c r="C109" s="2057"/>
      <c r="D109" s="1206" t="s">
        <v>1827</v>
      </c>
      <c r="E109" s="1244" t="s">
        <v>559</v>
      </c>
      <c r="F109" s="1244" t="s">
        <v>132</v>
      </c>
      <c r="G109" s="1312" t="s">
        <v>1837</v>
      </c>
      <c r="H109" s="1363"/>
      <c r="I109" s="1363"/>
      <c r="J109" s="1363">
        <f>-200000+200000</f>
        <v>0</v>
      </c>
      <c r="K109" s="1363"/>
      <c r="L109" s="1363"/>
      <c r="M109" s="1363"/>
      <c r="N109" s="1363"/>
      <c r="O109" s="1363"/>
      <c r="P109" s="1364"/>
      <c r="Q109" s="1362"/>
      <c r="R109" s="1363"/>
      <c r="S109" s="1363"/>
      <c r="T109" s="1363"/>
      <c r="U109" s="1363"/>
      <c r="V109" s="1363"/>
      <c r="W109" s="1363"/>
      <c r="X109" s="1364"/>
    </row>
    <row r="110" spans="1:24" ht="49.5" customHeight="1" x14ac:dyDescent="0.2">
      <c r="A110" s="1491" t="s">
        <v>272</v>
      </c>
      <c r="B110" s="1490" t="s">
        <v>191</v>
      </c>
      <c r="C110" s="1631" t="s">
        <v>3443</v>
      </c>
      <c r="D110" s="1206" t="s">
        <v>1827</v>
      </c>
      <c r="E110" s="1244" t="s">
        <v>559</v>
      </c>
      <c r="F110" s="1244" t="s">
        <v>91</v>
      </c>
      <c r="G110" s="1312" t="s">
        <v>1837</v>
      </c>
      <c r="H110" s="1363"/>
      <c r="I110" s="1363"/>
      <c r="J110" s="1363">
        <f>-500000+500000</f>
        <v>0</v>
      </c>
      <c r="K110" s="1363"/>
      <c r="L110" s="1363"/>
      <c r="M110" s="1363">
        <f>-31000+31000</f>
        <v>0</v>
      </c>
      <c r="N110" s="1363"/>
      <c r="O110" s="1363"/>
      <c r="P110" s="1364"/>
      <c r="Q110" s="1362"/>
      <c r="R110" s="1363"/>
      <c r="S110" s="1363"/>
      <c r="T110" s="1363"/>
      <c r="U110" s="1363"/>
      <c r="V110" s="1363"/>
      <c r="W110" s="1363"/>
      <c r="X110" s="1364"/>
    </row>
    <row r="111" spans="1:24" ht="31.5" customHeight="1" x14ac:dyDescent="0.2">
      <c r="A111" s="1491" t="s">
        <v>276</v>
      </c>
      <c r="B111" s="1490" t="s">
        <v>192</v>
      </c>
      <c r="C111" s="1631" t="s">
        <v>3444</v>
      </c>
      <c r="D111" s="1206" t="s">
        <v>1827</v>
      </c>
      <c r="E111" s="1244" t="s">
        <v>559</v>
      </c>
      <c r="F111" s="1244" t="s">
        <v>132</v>
      </c>
      <c r="G111" s="1312" t="s">
        <v>1829</v>
      </c>
      <c r="H111" s="1363"/>
      <c r="I111" s="1363"/>
      <c r="J111" s="1363">
        <v>900000</v>
      </c>
      <c r="K111" s="1363"/>
      <c r="L111" s="1363"/>
      <c r="M111" s="1363"/>
      <c r="N111" s="1363"/>
      <c r="O111" s="1363"/>
      <c r="P111" s="1364"/>
      <c r="Q111" s="1362"/>
      <c r="R111" s="1363"/>
      <c r="S111" s="1363"/>
      <c r="T111" s="1363">
        <v>900000</v>
      </c>
      <c r="U111" s="1363"/>
      <c r="V111" s="1363"/>
      <c r="W111" s="1363"/>
      <c r="X111" s="1364"/>
    </row>
    <row r="112" spans="1:24" ht="24" customHeight="1" x14ac:dyDescent="0.2">
      <c r="A112" s="2052" t="s">
        <v>277</v>
      </c>
      <c r="B112" s="2054" t="s">
        <v>193</v>
      </c>
      <c r="C112" s="2056" t="s">
        <v>3468</v>
      </c>
      <c r="D112" s="1206" t="s">
        <v>1827</v>
      </c>
      <c r="E112" s="1244" t="s">
        <v>559</v>
      </c>
      <c r="F112" s="1244" t="s">
        <v>91</v>
      </c>
      <c r="G112" s="1312" t="s">
        <v>1828</v>
      </c>
      <c r="H112" s="1363"/>
      <c r="I112" s="1363"/>
      <c r="J112" s="1363">
        <v>-535147</v>
      </c>
      <c r="K112" s="1363"/>
      <c r="L112" s="1363"/>
      <c r="M112" s="1363"/>
      <c r="N112" s="1363"/>
      <c r="O112" s="1363"/>
      <c r="P112" s="1364"/>
      <c r="Q112" s="1362"/>
      <c r="R112" s="1363"/>
      <c r="S112" s="1363"/>
      <c r="T112" s="1363">
        <f>-316278-149562-69307</f>
        <v>-535147</v>
      </c>
      <c r="U112" s="1363"/>
      <c r="V112" s="1363"/>
      <c r="W112" s="1363"/>
      <c r="X112" s="1364"/>
    </row>
    <row r="113" spans="1:24" ht="24" customHeight="1" x14ac:dyDescent="0.2">
      <c r="A113" s="2061"/>
      <c r="B113" s="2060"/>
      <c r="C113" s="2065"/>
      <c r="D113" s="1206" t="s">
        <v>1827</v>
      </c>
      <c r="E113" s="1244" t="s">
        <v>559</v>
      </c>
      <c r="F113" s="1244" t="s">
        <v>132</v>
      </c>
      <c r="G113" s="1312" t="s">
        <v>1828</v>
      </c>
      <c r="H113" s="1363"/>
      <c r="I113" s="1363"/>
      <c r="J113" s="1363">
        <f>-113350-184321</f>
        <v>-297671</v>
      </c>
      <c r="K113" s="1363"/>
      <c r="L113" s="1363"/>
      <c r="M113" s="1363"/>
      <c r="N113" s="1363"/>
      <c r="O113" s="1363"/>
      <c r="P113" s="1364"/>
      <c r="Q113" s="1362"/>
      <c r="R113" s="1363"/>
      <c r="S113" s="1363"/>
      <c r="T113" s="1363">
        <f>-113167-184321</f>
        <v>-297488</v>
      </c>
      <c r="U113" s="1363"/>
      <c r="V113" s="1363"/>
      <c r="W113" s="1363"/>
      <c r="X113" s="1364"/>
    </row>
    <row r="114" spans="1:24" ht="24" customHeight="1" x14ac:dyDescent="0.2">
      <c r="A114" s="2053"/>
      <c r="B114" s="2055"/>
      <c r="C114" s="2057"/>
      <c r="D114" s="1206" t="s">
        <v>1827</v>
      </c>
      <c r="E114" s="1244" t="s">
        <v>559</v>
      </c>
      <c r="F114" s="1244" t="s">
        <v>830</v>
      </c>
      <c r="G114" s="1312" t="s">
        <v>1828</v>
      </c>
      <c r="H114" s="1363"/>
      <c r="I114" s="1363"/>
      <c r="J114" s="1363">
        <f>-82989-23402</f>
        <v>-106391</v>
      </c>
      <c r="K114" s="1363"/>
      <c r="L114" s="1363"/>
      <c r="M114" s="1363"/>
      <c r="N114" s="1363"/>
      <c r="O114" s="1363"/>
      <c r="P114" s="1364"/>
      <c r="Q114" s="1362"/>
      <c r="R114" s="1363"/>
      <c r="S114" s="1363"/>
      <c r="T114" s="1363">
        <f>-83140-23434</f>
        <v>-106574</v>
      </c>
      <c r="U114" s="1363"/>
      <c r="V114" s="1363"/>
      <c r="W114" s="1363"/>
      <c r="X114" s="1364"/>
    </row>
    <row r="115" spans="1:24" ht="27" customHeight="1" x14ac:dyDescent="0.2">
      <c r="A115" s="1494"/>
      <c r="B115" s="1493"/>
      <c r="C115" s="1169"/>
      <c r="D115" s="1206"/>
      <c r="E115" s="1232"/>
      <c r="F115" s="1232"/>
      <c r="G115" s="1232"/>
      <c r="H115" s="1363"/>
      <c r="I115" s="1363"/>
      <c r="J115" s="1363"/>
      <c r="K115" s="1363"/>
      <c r="L115" s="1363"/>
      <c r="M115" s="1363"/>
      <c r="N115" s="1363"/>
      <c r="O115" s="1363"/>
      <c r="P115" s="1364"/>
      <c r="Q115" s="1362"/>
      <c r="R115" s="1363"/>
      <c r="S115" s="1363"/>
      <c r="T115" s="1363"/>
      <c r="U115" s="1363"/>
      <c r="V115" s="1363"/>
      <c r="W115" s="1363"/>
      <c r="X115" s="1364"/>
    </row>
    <row r="116" spans="1:24" ht="18.75" x14ac:dyDescent="0.3">
      <c r="A116" s="2185" t="s">
        <v>1749</v>
      </c>
      <c r="B116" s="2186"/>
      <c r="C116" s="2187"/>
      <c r="D116" s="1179"/>
      <c r="E116" s="1179"/>
      <c r="F116" s="1179"/>
      <c r="G116" s="1179"/>
      <c r="H116" s="1180">
        <f t="shared" ref="H116:X116" si="3">SUM(H89:H115)+H73</f>
        <v>8248858</v>
      </c>
      <c r="I116" s="1180">
        <f t="shared" si="3"/>
        <v>659000</v>
      </c>
      <c r="J116" s="1180">
        <f t="shared" si="3"/>
        <v>9525731</v>
      </c>
      <c r="K116" s="1180">
        <f t="shared" si="3"/>
        <v>0</v>
      </c>
      <c r="L116" s="1180">
        <f t="shared" si="3"/>
        <v>7115209</v>
      </c>
      <c r="M116" s="1180">
        <f t="shared" si="3"/>
        <v>1160400</v>
      </c>
      <c r="N116" s="1180">
        <f t="shared" si="3"/>
        <v>0</v>
      </c>
      <c r="O116" s="1180">
        <f t="shared" si="3"/>
        <v>0</v>
      </c>
      <c r="P116" s="1181">
        <f t="shared" si="3"/>
        <v>0</v>
      </c>
      <c r="Q116" s="1182">
        <f t="shared" si="3"/>
        <v>0</v>
      </c>
      <c r="R116" s="1180">
        <f t="shared" si="3"/>
        <v>0</v>
      </c>
      <c r="S116" s="1180">
        <f t="shared" si="3"/>
        <v>0</v>
      </c>
      <c r="T116" s="1180">
        <f t="shared" si="3"/>
        <v>10586131</v>
      </c>
      <c r="U116" s="1180">
        <f t="shared" si="3"/>
        <v>0</v>
      </c>
      <c r="V116" s="1180">
        <f t="shared" si="3"/>
        <v>0</v>
      </c>
      <c r="W116" s="1180">
        <f t="shared" si="3"/>
        <v>0</v>
      </c>
      <c r="X116" s="1181">
        <f t="shared" si="3"/>
        <v>16123067</v>
      </c>
    </row>
    <row r="117" spans="1:24" ht="15" customHeight="1" x14ac:dyDescent="0.2">
      <c r="A117" s="1220"/>
      <c r="B117" s="1220"/>
      <c r="C117" s="1220"/>
      <c r="D117" s="1290"/>
      <c r="E117" s="1291"/>
      <c r="F117" s="1291"/>
      <c r="G117" s="1292"/>
      <c r="H117" s="1293">
        <f>+'2.8. sz. Műv.Ház'!S9-'2.8. sz. Műv.Ház'!R9</f>
        <v>8248858</v>
      </c>
      <c r="I117" s="1293">
        <f>+'2.8. sz. Műv.Ház'!S10-'2.8. sz. Műv.Ház'!R10</f>
        <v>659000</v>
      </c>
      <c r="J117" s="1293">
        <f>+'2.8. sz. Műv.Ház'!S11-'2.8. sz. Műv.Ház'!R11</f>
        <v>9525731</v>
      </c>
      <c r="K117" s="1293">
        <f>+'2.8. sz. Műv.Ház'!S12-'2.8. sz. Műv.Ház'!R12</f>
        <v>0</v>
      </c>
      <c r="L117" s="1293">
        <f>+'2.8. sz. Műv.Ház'!S13-'2.8. sz. Műv.Ház'!R13</f>
        <v>7115209</v>
      </c>
      <c r="M117" s="1293">
        <f>+'2.8. sz. Műv.Ház'!S17-'2.8. sz. Műv.Ház'!R17</f>
        <v>1160400</v>
      </c>
      <c r="N117" s="1293">
        <f>+'2.8. sz. Műv.Ház'!S18-'2.8. sz. Műv.Ház'!R18</f>
        <v>0</v>
      </c>
      <c r="O117" s="1293">
        <f>+'2.8. sz. Műv.Ház'!S19-'2.8. sz. Műv.Ház'!R19</f>
        <v>0</v>
      </c>
      <c r="P117" s="1293">
        <f>+'2.8. sz. Műv.Ház'!S22-'2.8. sz. Műv.Ház'!R22</f>
        <v>0</v>
      </c>
      <c r="Q117" s="1293">
        <f>+'2.8. sz. Műv.Ház'!S31-'2.8. sz. Műv.Ház'!R31</f>
        <v>0</v>
      </c>
      <c r="R117" s="1293">
        <f>+'2.8. sz. Műv.Ház'!S32-'2.8. sz. Műv.Ház'!R32</f>
        <v>0</v>
      </c>
      <c r="S117" s="1293">
        <f>+'2.8. sz. Műv.Ház'!S33-'2.8. sz. Műv.Ház'!R33</f>
        <v>0</v>
      </c>
      <c r="T117" s="1293">
        <f>+'2.8. sz. Műv.Ház'!S34-'2.8. sz. Műv.Ház'!R34</f>
        <v>10586131</v>
      </c>
      <c r="U117" s="1293">
        <f>+'2.8. sz. Műv.Ház'!S35-'2.8. sz. Műv.Ház'!R35</f>
        <v>0</v>
      </c>
      <c r="V117" s="1293">
        <f>+'2.8. sz. Műv.Ház'!S36-'2.8. sz. Műv.Ház'!R36</f>
        <v>0</v>
      </c>
      <c r="W117" s="1293">
        <f>+'2.8. sz. Műv.Ház'!S37-'2.8. sz. Műv.Ház'!R37</f>
        <v>0</v>
      </c>
      <c r="X117" s="1293">
        <f>+'2.8. sz. Műv.Ház'!S39-'2.8. sz. Műv.Ház'!R39</f>
        <v>16123067</v>
      </c>
    </row>
    <row r="118" spans="1:24" ht="15.75" customHeight="1" x14ac:dyDescent="0.2">
      <c r="A118" s="1220"/>
      <c r="B118" s="1220"/>
      <c r="C118" s="1220"/>
      <c r="D118" s="1290"/>
      <c r="E118" s="1291"/>
      <c r="F118" s="1291"/>
      <c r="G118" s="1292"/>
      <c r="H118" s="1293">
        <f>+H117-H116</f>
        <v>0</v>
      </c>
      <c r="I118" s="1293">
        <f t="shared" ref="I118:X118" si="4">+I117-I116</f>
        <v>0</v>
      </c>
      <c r="J118" s="1293">
        <f t="shared" si="4"/>
        <v>0</v>
      </c>
      <c r="K118" s="1293">
        <f t="shared" si="4"/>
        <v>0</v>
      </c>
      <c r="L118" s="1293">
        <f t="shared" si="4"/>
        <v>0</v>
      </c>
      <c r="M118" s="1293">
        <f>+M117-M116</f>
        <v>0</v>
      </c>
      <c r="N118" s="1293">
        <f t="shared" si="4"/>
        <v>0</v>
      </c>
      <c r="O118" s="1293">
        <f t="shared" si="4"/>
        <v>0</v>
      </c>
      <c r="P118" s="1293">
        <f t="shared" si="4"/>
        <v>0</v>
      </c>
      <c r="Q118" s="1293">
        <f t="shared" si="4"/>
        <v>0</v>
      </c>
      <c r="R118" s="1293">
        <f t="shared" si="4"/>
        <v>0</v>
      </c>
      <c r="S118" s="1293">
        <f t="shared" si="4"/>
        <v>0</v>
      </c>
      <c r="T118" s="1293">
        <f t="shared" si="4"/>
        <v>0</v>
      </c>
      <c r="U118" s="1293">
        <f t="shared" si="4"/>
        <v>0</v>
      </c>
      <c r="V118" s="1293">
        <f t="shared" si="4"/>
        <v>0</v>
      </c>
      <c r="W118" s="1293">
        <f t="shared" si="4"/>
        <v>0</v>
      </c>
      <c r="X118" s="1293">
        <f t="shared" si="4"/>
        <v>0</v>
      </c>
    </row>
    <row r="119" spans="1:24" ht="15" x14ac:dyDescent="0.25">
      <c r="A119" s="1197"/>
      <c r="B119" s="1197"/>
      <c r="C119" s="1197"/>
      <c r="D119" s="1197"/>
      <c r="E119" s="1197"/>
      <c r="F119" s="1197"/>
      <c r="G119" s="1197"/>
      <c r="H119" s="1197"/>
      <c r="I119" s="1197"/>
      <c r="J119" s="1197"/>
      <c r="K119" s="1197"/>
      <c r="L119" s="1197"/>
      <c r="M119" s="1197"/>
      <c r="N119" s="1197"/>
      <c r="O119" s="1197"/>
      <c r="P119" s="1197"/>
      <c r="Q119" s="1197"/>
      <c r="R119" s="1197"/>
      <c r="S119" s="1197"/>
      <c r="T119" s="1197"/>
      <c r="U119" s="1197"/>
      <c r="V119" s="1197"/>
      <c r="W119" s="1197"/>
      <c r="X119" s="1197"/>
    </row>
    <row r="120" spans="1:24" ht="21" customHeight="1" x14ac:dyDescent="0.25">
      <c r="A120" s="1197"/>
      <c r="B120" s="1197"/>
      <c r="C120" s="1197"/>
      <c r="D120" s="1197"/>
      <c r="E120" s="1197"/>
      <c r="F120" s="1197"/>
      <c r="G120" s="1197"/>
      <c r="H120" s="1224"/>
      <c r="I120" s="2108" t="s">
        <v>1750</v>
      </c>
      <c r="J120" s="2108"/>
      <c r="K120" s="2108"/>
      <c r="L120" s="2108">
        <v>161946676</v>
      </c>
      <c r="M120" s="2108"/>
      <c r="N120" s="1225"/>
      <c r="O120" s="1225"/>
      <c r="P120" s="1225"/>
      <c r="Q120" s="1225"/>
      <c r="R120" s="2108" t="s">
        <v>1751</v>
      </c>
      <c r="S120" s="2108"/>
      <c r="T120" s="2108"/>
      <c r="U120" s="2108">
        <v>161946676</v>
      </c>
      <c r="V120" s="2108"/>
      <c r="W120" s="1224"/>
      <c r="X120" s="1224"/>
    </row>
    <row r="121" spans="1:24" ht="21" customHeight="1" x14ac:dyDescent="0.25">
      <c r="A121" s="1197"/>
      <c r="B121" s="1197"/>
      <c r="C121" s="1197"/>
      <c r="D121" s="1197"/>
      <c r="E121" s="1197"/>
      <c r="F121" s="1197"/>
      <c r="G121" s="1197"/>
      <c r="H121" s="1224"/>
      <c r="I121" s="2066" t="s">
        <v>3474</v>
      </c>
      <c r="J121" s="2066"/>
      <c r="K121" s="2066"/>
      <c r="L121" s="2108">
        <f>SUM(H116:P116)</f>
        <v>26709198</v>
      </c>
      <c r="M121" s="2108"/>
      <c r="N121" s="1225"/>
      <c r="O121" s="1225"/>
      <c r="P121" s="1225"/>
      <c r="Q121" s="1225"/>
      <c r="R121" s="2066" t="s">
        <v>3474</v>
      </c>
      <c r="S121" s="2066"/>
      <c r="T121" s="2066"/>
      <c r="U121" s="2108">
        <f>SUM(Q116:X116)</f>
        <v>26709198</v>
      </c>
      <c r="V121" s="2108"/>
      <c r="W121" s="1224"/>
      <c r="X121" s="1224"/>
    </row>
    <row r="122" spans="1:24" ht="22.5" customHeight="1" x14ac:dyDescent="0.25">
      <c r="A122" s="1197"/>
      <c r="B122" s="1197"/>
      <c r="C122" s="1197"/>
      <c r="D122" s="1197"/>
      <c r="E122" s="1197"/>
      <c r="F122" s="1197"/>
      <c r="G122" s="1197"/>
      <c r="H122" s="1224"/>
      <c r="I122" s="2108" t="s">
        <v>1561</v>
      </c>
      <c r="J122" s="2108"/>
      <c r="K122" s="2108"/>
      <c r="L122" s="2108">
        <f>+L120+L121</f>
        <v>188655874</v>
      </c>
      <c r="M122" s="2108"/>
      <c r="N122" s="1225"/>
      <c r="O122" s="1225"/>
      <c r="P122" s="1225"/>
      <c r="Q122" s="1225"/>
      <c r="R122" s="2108" t="s">
        <v>1561</v>
      </c>
      <c r="S122" s="2108"/>
      <c r="T122" s="2108"/>
      <c r="U122" s="2108">
        <f>+U120+U121</f>
        <v>188655874</v>
      </c>
      <c r="V122" s="2108"/>
      <c r="W122" s="1224"/>
      <c r="X122" s="1224"/>
    </row>
    <row r="123" spans="1:24" x14ac:dyDescent="0.2">
      <c r="A123" s="348"/>
      <c r="B123" s="348"/>
      <c r="C123" s="348"/>
      <c r="D123" s="348"/>
      <c r="E123" s="348"/>
      <c r="F123" s="348"/>
      <c r="G123" s="348"/>
      <c r="H123" s="348"/>
      <c r="I123" s="348"/>
      <c r="J123" s="348"/>
      <c r="K123" s="348"/>
      <c r="L123" s="348"/>
      <c r="M123" s="348"/>
      <c r="N123" s="348"/>
      <c r="O123" s="348"/>
      <c r="P123" s="348"/>
      <c r="Q123" s="348"/>
      <c r="R123" s="348"/>
      <c r="S123" s="348"/>
      <c r="T123" s="348"/>
      <c r="U123" s="348"/>
      <c r="V123" s="348"/>
      <c r="W123" s="348"/>
      <c r="X123" s="348"/>
    </row>
    <row r="124" spans="1:24" x14ac:dyDescent="0.2">
      <c r="A124" s="348"/>
      <c r="B124" s="348"/>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row>
    <row r="125" spans="1:24" x14ac:dyDescent="0.2">
      <c r="A125" s="348"/>
      <c r="B125" s="348"/>
      <c r="C125" s="348"/>
      <c r="D125" s="348"/>
      <c r="E125" s="348"/>
      <c r="F125" s="348"/>
      <c r="G125" s="348"/>
      <c r="H125" s="348"/>
      <c r="I125" s="348"/>
      <c r="J125" s="348"/>
      <c r="K125" s="348"/>
      <c r="L125" s="348"/>
      <c r="M125" s="348"/>
      <c r="N125" s="348"/>
      <c r="O125" s="348"/>
      <c r="P125" s="348"/>
      <c r="Q125" s="348"/>
      <c r="R125" s="348"/>
      <c r="S125" s="348"/>
      <c r="T125" s="348"/>
      <c r="U125" s="348"/>
      <c r="V125" s="348"/>
      <c r="W125" s="348"/>
      <c r="X125" s="348"/>
    </row>
    <row r="126" spans="1:24" x14ac:dyDescent="0.2">
      <c r="A126" s="348"/>
      <c r="B126" s="348"/>
      <c r="C126" s="348"/>
      <c r="D126" s="348"/>
      <c r="E126" s="348"/>
      <c r="F126" s="348"/>
      <c r="G126" s="348"/>
      <c r="H126" s="348"/>
      <c r="I126" s="348"/>
      <c r="J126" s="348"/>
      <c r="K126" s="348"/>
      <c r="L126" s="348"/>
      <c r="M126" s="348"/>
      <c r="N126" s="348"/>
      <c r="O126" s="348"/>
      <c r="P126" s="348"/>
      <c r="Q126" s="348"/>
      <c r="R126" s="348"/>
      <c r="S126" s="348"/>
      <c r="T126" s="348"/>
      <c r="U126" s="348"/>
      <c r="V126" s="348"/>
      <c r="W126" s="348"/>
      <c r="X126" s="348"/>
    </row>
    <row r="127" spans="1:24" x14ac:dyDescent="0.2">
      <c r="A127" s="348"/>
      <c r="B127" s="348"/>
      <c r="C127" s="348"/>
      <c r="D127" s="348"/>
      <c r="E127" s="348"/>
      <c r="F127" s="348"/>
      <c r="G127" s="348"/>
      <c r="H127" s="348"/>
      <c r="I127" s="348"/>
      <c r="J127" s="348"/>
      <c r="K127" s="348"/>
      <c r="L127" s="348"/>
      <c r="M127" s="348"/>
      <c r="N127" s="348"/>
      <c r="O127" s="348"/>
      <c r="P127" s="348"/>
      <c r="Q127" s="348"/>
      <c r="R127" s="348"/>
      <c r="S127" s="348"/>
      <c r="T127" s="348"/>
      <c r="U127" s="348"/>
      <c r="V127" s="348"/>
      <c r="W127" s="348"/>
      <c r="X127" s="348"/>
    </row>
    <row r="128" spans="1:24" x14ac:dyDescent="0.2">
      <c r="A128" s="348"/>
      <c r="B128" s="348"/>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row>
    <row r="129" spans="1:24" x14ac:dyDescent="0.2">
      <c r="A129" s="348"/>
      <c r="B129" s="348"/>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row>
    <row r="130" spans="1:24" x14ac:dyDescent="0.2">
      <c r="A130" s="348"/>
      <c r="B130" s="348"/>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row>
    <row r="131" spans="1:24" x14ac:dyDescent="0.2">
      <c r="A131" s="348"/>
      <c r="B131" s="348"/>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row>
    <row r="132" spans="1:24" x14ac:dyDescent="0.2">
      <c r="A132" s="348"/>
      <c r="B132" s="348"/>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row>
    <row r="133" spans="1:24" x14ac:dyDescent="0.2">
      <c r="A133" s="348"/>
      <c r="B133" s="348"/>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row>
    <row r="134" spans="1:24" x14ac:dyDescent="0.2">
      <c r="A134" s="348"/>
      <c r="B134" s="348"/>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row>
    <row r="135" spans="1:24" x14ac:dyDescent="0.2">
      <c r="A135" s="348"/>
      <c r="B135" s="348"/>
      <c r="C135" s="348"/>
      <c r="D135" s="348"/>
      <c r="E135" s="348"/>
      <c r="F135" s="348"/>
      <c r="G135" s="348"/>
      <c r="H135" s="348"/>
      <c r="I135" s="348"/>
      <c r="J135" s="348"/>
      <c r="K135" s="348"/>
      <c r="L135" s="348"/>
      <c r="M135" s="348"/>
      <c r="N135" s="348"/>
      <c r="O135" s="348"/>
      <c r="P135" s="348"/>
      <c r="Q135" s="348"/>
      <c r="R135" s="348"/>
      <c r="S135" s="348"/>
      <c r="T135" s="348"/>
      <c r="U135" s="348"/>
      <c r="V135" s="348"/>
      <c r="W135" s="348"/>
      <c r="X135" s="348"/>
    </row>
    <row r="136" spans="1:24" x14ac:dyDescent="0.2">
      <c r="A136" s="348"/>
      <c r="B136" s="348"/>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row>
    <row r="137" spans="1:24" x14ac:dyDescent="0.2">
      <c r="A137" s="348"/>
      <c r="B137" s="348"/>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row>
    <row r="138" spans="1:24" x14ac:dyDescent="0.2">
      <c r="A138" s="348"/>
      <c r="B138" s="348"/>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row>
    <row r="139" spans="1:24" x14ac:dyDescent="0.2">
      <c r="A139" s="348"/>
      <c r="B139" s="348"/>
      <c r="C139" s="348"/>
      <c r="D139" s="348"/>
      <c r="E139" s="348"/>
      <c r="F139" s="348"/>
      <c r="G139" s="348"/>
      <c r="H139" s="348"/>
      <c r="I139" s="348"/>
      <c r="J139" s="348"/>
      <c r="K139" s="348"/>
      <c r="L139" s="348"/>
      <c r="M139" s="348"/>
      <c r="N139" s="348"/>
      <c r="O139" s="348"/>
      <c r="P139" s="348"/>
      <c r="Q139" s="348"/>
      <c r="R139" s="348"/>
      <c r="S139" s="348"/>
      <c r="T139" s="348"/>
      <c r="U139" s="348"/>
      <c r="V139" s="348"/>
      <c r="W139" s="348"/>
      <c r="X139" s="348"/>
    </row>
    <row r="140" spans="1:24" x14ac:dyDescent="0.2">
      <c r="A140" s="348"/>
      <c r="B140" s="348"/>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row>
    <row r="141" spans="1:24" x14ac:dyDescent="0.2">
      <c r="A141" s="348"/>
      <c r="B141" s="348"/>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row>
  </sheetData>
  <mergeCells count="147">
    <mergeCell ref="C101:C102"/>
    <mergeCell ref="B101:B102"/>
    <mergeCell ref="A101:A102"/>
    <mergeCell ref="C103:C104"/>
    <mergeCell ref="B103:B104"/>
    <mergeCell ref="A103:A104"/>
    <mergeCell ref="C105:C107"/>
    <mergeCell ref="C94:C95"/>
    <mergeCell ref="B94:B95"/>
    <mergeCell ref="A94:A95"/>
    <mergeCell ref="C96:C97"/>
    <mergeCell ref="B96:B97"/>
    <mergeCell ref="A96:A97"/>
    <mergeCell ref="B105:B107"/>
    <mergeCell ref="A105:A107"/>
    <mergeCell ref="A85:X85"/>
    <mergeCell ref="A87:A88"/>
    <mergeCell ref="B87:B88"/>
    <mergeCell ref="C87:C88"/>
    <mergeCell ref="D87:D88"/>
    <mergeCell ref="E87:E88"/>
    <mergeCell ref="F87:F88"/>
    <mergeCell ref="G87:G88"/>
    <mergeCell ref="H87:O87"/>
    <mergeCell ref="Q87:X87"/>
    <mergeCell ref="R77:T77"/>
    <mergeCell ref="U77:V77"/>
    <mergeCell ref="D57:D58"/>
    <mergeCell ref="E57:E58"/>
    <mergeCell ref="F57:F58"/>
    <mergeCell ref="I79:K79"/>
    <mergeCell ref="L79:M79"/>
    <mergeCell ref="R79:T79"/>
    <mergeCell ref="U79:V79"/>
    <mergeCell ref="L78:M78"/>
    <mergeCell ref="R78:T78"/>
    <mergeCell ref="U78:V78"/>
    <mergeCell ref="Q57:X57"/>
    <mergeCell ref="I78:K78"/>
    <mergeCell ref="I19:K19"/>
    <mergeCell ref="A41:C41"/>
    <mergeCell ref="I45:K45"/>
    <mergeCell ref="A24:X24"/>
    <mergeCell ref="A26:X26"/>
    <mergeCell ref="A28:A29"/>
    <mergeCell ref="B28:B29"/>
    <mergeCell ref="C28:C29"/>
    <mergeCell ref="D28:D29"/>
    <mergeCell ref="E28:E29"/>
    <mergeCell ref="F28:F29"/>
    <mergeCell ref="G28:G29"/>
    <mergeCell ref="Q28:X28"/>
    <mergeCell ref="L19:M19"/>
    <mergeCell ref="R20:T20"/>
    <mergeCell ref="U20:V20"/>
    <mergeCell ref="R19:T19"/>
    <mergeCell ref="U19:V19"/>
    <mergeCell ref="I21:K21"/>
    <mergeCell ref="L21:M21"/>
    <mergeCell ref="R21:T21"/>
    <mergeCell ref="U21:V21"/>
    <mergeCell ref="I20:K20"/>
    <mergeCell ref="L20:M20"/>
    <mergeCell ref="H28:O28"/>
    <mergeCell ref="C30:C32"/>
    <mergeCell ref="B30:B32"/>
    <mergeCell ref="C37:C38"/>
    <mergeCell ref="B37:B38"/>
    <mergeCell ref="A37:A38"/>
    <mergeCell ref="A53:X53"/>
    <mergeCell ref="A55:X55"/>
    <mergeCell ref="I47:K47"/>
    <mergeCell ref="L47:M47"/>
    <mergeCell ref="R47:T47"/>
    <mergeCell ref="U47:V47"/>
    <mergeCell ref="L45:M45"/>
    <mergeCell ref="R45:T45"/>
    <mergeCell ref="U45:V45"/>
    <mergeCell ref="I46:K46"/>
    <mergeCell ref="L46:M46"/>
    <mergeCell ref="R46:T46"/>
    <mergeCell ref="U46:V46"/>
    <mergeCell ref="A1:X1"/>
    <mergeCell ref="A3:X3"/>
    <mergeCell ref="A5:A6"/>
    <mergeCell ref="B5:B6"/>
    <mergeCell ref="C5:C6"/>
    <mergeCell ref="D5:D6"/>
    <mergeCell ref="E5:E6"/>
    <mergeCell ref="F5:F6"/>
    <mergeCell ref="G5:G6"/>
    <mergeCell ref="H5:O5"/>
    <mergeCell ref="Q5:X5"/>
    <mergeCell ref="C7:C10"/>
    <mergeCell ref="B7:B10"/>
    <mergeCell ref="A7:A10"/>
    <mergeCell ref="C12:C13"/>
    <mergeCell ref="B12:B13"/>
    <mergeCell ref="A12:A13"/>
    <mergeCell ref="A15:C15"/>
    <mergeCell ref="A30:A32"/>
    <mergeCell ref="B39:B40"/>
    <mergeCell ref="A39:A40"/>
    <mergeCell ref="C39:C40"/>
    <mergeCell ref="A61:A63"/>
    <mergeCell ref="A57:A58"/>
    <mergeCell ref="B57:B58"/>
    <mergeCell ref="C57:C58"/>
    <mergeCell ref="G57:G58"/>
    <mergeCell ref="A64:A65"/>
    <mergeCell ref="H57:O57"/>
    <mergeCell ref="C64:C65"/>
    <mergeCell ref="C89:C90"/>
    <mergeCell ref="B89:B90"/>
    <mergeCell ref="A89:A90"/>
    <mergeCell ref="B64:B65"/>
    <mergeCell ref="I77:K77"/>
    <mergeCell ref="L77:M77"/>
    <mergeCell ref="C61:C63"/>
    <mergeCell ref="B61:B63"/>
    <mergeCell ref="A73:C73"/>
    <mergeCell ref="C66:C67"/>
    <mergeCell ref="B66:B67"/>
    <mergeCell ref="A66:A67"/>
    <mergeCell ref="C69:C70"/>
    <mergeCell ref="B69:B70"/>
    <mergeCell ref="A69:A70"/>
    <mergeCell ref="A83:X83"/>
    <mergeCell ref="C108:C109"/>
    <mergeCell ref="B108:B109"/>
    <mergeCell ref="I121:K121"/>
    <mergeCell ref="L121:M121"/>
    <mergeCell ref="R121:T121"/>
    <mergeCell ref="U121:V121"/>
    <mergeCell ref="I122:K122"/>
    <mergeCell ref="L122:M122"/>
    <mergeCell ref="R122:T122"/>
    <mergeCell ref="U122:V122"/>
    <mergeCell ref="A116:C116"/>
    <mergeCell ref="I120:K120"/>
    <mergeCell ref="L120:M120"/>
    <mergeCell ref="R120:T120"/>
    <mergeCell ref="U120:V120"/>
    <mergeCell ref="A108:A109"/>
    <mergeCell ref="C112:C114"/>
    <mergeCell ref="B112:B114"/>
    <mergeCell ref="A112:A114"/>
  </mergeCells>
  <pageMargins left="0.51181102362204722" right="0.31496062992125984" top="0.74803149606299213" bottom="0.74803149606299213" header="0.31496062992125984" footer="0.31496062992125984"/>
  <pageSetup paperSize="9" scale="52" orientation="landscape" r:id="rId1"/>
  <headerFooter>
    <oddHeader>&amp;C2023. évi költségvetés&amp;RDunaharaszti József Attila Művelődési Ház előirányzat-módosítása</oddHeader>
    <oddFooter>&amp;C&amp;P/&amp;N</oddFooter>
  </headerFooter>
  <rowBreaks count="4" manualBreakCount="4">
    <brk id="38" max="23" man="1"/>
    <brk id="79" max="23" man="1"/>
    <brk id="107" max="23" man="1"/>
    <brk id="122" max="2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01"/>
  <sheetViews>
    <sheetView view="pageBreakPreview" topLeftCell="A77" zoomScale="90" zoomScaleNormal="100" zoomScaleSheetLayoutView="90" workbookViewId="0">
      <selection activeCell="L101" sqref="L101"/>
    </sheetView>
  </sheetViews>
  <sheetFormatPr defaultRowHeight="12.75" x14ac:dyDescent="0.2"/>
  <cols>
    <col min="1" max="1" width="5.28515625" customWidth="1"/>
    <col min="2" max="2" width="33" customWidth="1"/>
    <col min="3" max="3" width="12.140625" customWidth="1"/>
    <col min="4" max="4" width="15" customWidth="1"/>
    <col min="5" max="5" width="14" customWidth="1"/>
    <col min="6" max="6" width="12.85546875" customWidth="1"/>
    <col min="7" max="7" width="14" customWidth="1"/>
    <col min="8" max="8" width="13.28515625" customWidth="1"/>
    <col min="9" max="9" width="14" customWidth="1"/>
    <col min="10" max="10" width="13" customWidth="1"/>
    <col min="11" max="11" width="13.85546875" customWidth="1"/>
    <col min="12" max="12" width="15" customWidth="1"/>
    <col min="13" max="13" width="14" customWidth="1"/>
    <col min="14" max="14" width="14.5703125" customWidth="1"/>
    <col min="15" max="15" width="13.140625" customWidth="1"/>
    <col min="16" max="16" width="13.28515625" customWidth="1"/>
    <col min="17" max="17" width="13.140625" customWidth="1"/>
    <col min="18" max="18" width="13" customWidth="1"/>
    <col min="19" max="19" width="14.140625" customWidth="1"/>
    <col min="21" max="21" width="12.28515625" customWidth="1"/>
    <col min="22" max="23" width="11.85546875" customWidth="1"/>
    <col min="25" max="25" width="13.7109375" customWidth="1"/>
  </cols>
  <sheetData>
    <row r="1" spans="1:19" ht="15.75" x14ac:dyDescent="0.25">
      <c r="A1" s="2069" t="s">
        <v>2024</v>
      </c>
      <c r="B1" s="2069"/>
      <c r="C1" s="2069"/>
      <c r="D1" s="2069"/>
      <c r="E1" s="2069"/>
      <c r="F1" s="2069"/>
      <c r="G1" s="2069"/>
      <c r="H1" s="2069"/>
      <c r="I1" s="2069"/>
      <c r="J1" s="2069"/>
      <c r="K1" s="2069"/>
      <c r="L1" s="2069"/>
      <c r="M1" s="2069"/>
      <c r="N1" s="2069"/>
      <c r="O1" s="2069"/>
      <c r="P1" s="2069"/>
      <c r="Q1" s="2069"/>
      <c r="R1" s="2069"/>
      <c r="S1" s="2069"/>
    </row>
    <row r="2" spans="1:19" ht="15" x14ac:dyDescent="0.25">
      <c r="A2" s="1300"/>
      <c r="B2" s="1300"/>
      <c r="C2" s="1300"/>
      <c r="D2" s="1300"/>
      <c r="E2" s="1300"/>
      <c r="F2" s="1300"/>
      <c r="G2" s="1300"/>
      <c r="H2" s="1300"/>
      <c r="I2" s="1300"/>
      <c r="J2" s="1300"/>
      <c r="K2" s="1300"/>
      <c r="L2" s="1300"/>
      <c r="M2" s="1300"/>
      <c r="N2" s="1300"/>
      <c r="O2" s="1300"/>
      <c r="P2" s="1300"/>
      <c r="Q2" s="1300"/>
      <c r="R2" s="1300"/>
      <c r="S2" s="1300"/>
    </row>
    <row r="3" spans="1:19" ht="15" x14ac:dyDescent="0.25">
      <c r="A3" s="2191" t="s">
        <v>1803</v>
      </c>
      <c r="B3" s="2191"/>
      <c r="C3" s="2191"/>
      <c r="D3" s="2191"/>
      <c r="E3" s="2191"/>
      <c r="F3" s="2191"/>
      <c r="G3" s="2191"/>
      <c r="H3" s="2191"/>
      <c r="I3" s="2191"/>
      <c r="J3" s="2191"/>
      <c r="K3" s="2191"/>
      <c r="L3" s="2191"/>
      <c r="M3" s="2191"/>
      <c r="N3" s="2191"/>
      <c r="O3" s="2191"/>
      <c r="P3" s="2191"/>
      <c r="Q3" s="2191"/>
      <c r="R3" s="2191"/>
      <c r="S3" s="2191"/>
    </row>
    <row r="4" spans="1:19" ht="15" x14ac:dyDescent="0.25">
      <c r="A4" s="1192"/>
      <c r="B4" s="1192"/>
      <c r="C4" s="1192"/>
      <c r="D4" s="1192"/>
      <c r="E4" s="1192"/>
      <c r="F4" s="1192"/>
      <c r="G4" s="1192"/>
      <c r="H4" s="1192"/>
      <c r="I4" s="1192"/>
      <c r="J4" s="1192"/>
      <c r="K4" s="1192"/>
      <c r="L4" s="1301"/>
      <c r="M4" s="1192"/>
      <c r="N4" s="1192"/>
      <c r="O4" s="1192"/>
      <c r="P4" s="1192"/>
      <c r="Q4" s="1192"/>
      <c r="R4" s="1192"/>
      <c r="S4" s="1338" t="s">
        <v>431</v>
      </c>
    </row>
    <row r="5" spans="1:19" ht="15" x14ac:dyDescent="0.2">
      <c r="A5" s="2192" t="s">
        <v>37</v>
      </c>
      <c r="B5" s="2194" t="s">
        <v>137</v>
      </c>
      <c r="C5" s="2196" t="s">
        <v>1730</v>
      </c>
      <c r="D5" s="2196"/>
      <c r="E5" s="2196"/>
      <c r="F5" s="2196"/>
      <c r="G5" s="2196"/>
      <c r="H5" s="2196"/>
      <c r="I5" s="2196"/>
      <c r="J5" s="2197"/>
      <c r="K5" s="1341"/>
      <c r="L5" s="2198" t="s">
        <v>1731</v>
      </c>
      <c r="M5" s="2196"/>
      <c r="N5" s="2196"/>
      <c r="O5" s="2196"/>
      <c r="P5" s="2196"/>
      <c r="Q5" s="2196"/>
      <c r="R5" s="2196"/>
      <c r="S5" s="2199"/>
    </row>
    <row r="6" spans="1:19" ht="83.25" customHeight="1" x14ac:dyDescent="0.2">
      <c r="A6" s="2193"/>
      <c r="B6" s="2195"/>
      <c r="C6" s="1314" t="s">
        <v>2388</v>
      </c>
      <c r="D6" s="1314" t="s">
        <v>1804</v>
      </c>
      <c r="E6" s="1314" t="s">
        <v>1797</v>
      </c>
      <c r="F6" s="1314" t="s">
        <v>1805</v>
      </c>
      <c r="G6" s="1314" t="s">
        <v>1806</v>
      </c>
      <c r="H6" s="1315" t="s">
        <v>1756</v>
      </c>
      <c r="I6" s="1314" t="s">
        <v>1807</v>
      </c>
      <c r="J6" s="1316" t="s">
        <v>1739</v>
      </c>
      <c r="K6" s="1317" t="s">
        <v>1740</v>
      </c>
      <c r="L6" s="1339" t="s">
        <v>1741</v>
      </c>
      <c r="M6" s="1315" t="s">
        <v>1742</v>
      </c>
      <c r="N6" s="1314" t="s">
        <v>1800</v>
      </c>
      <c r="O6" s="1314" t="s">
        <v>1808</v>
      </c>
      <c r="P6" s="1315" t="s">
        <v>1745</v>
      </c>
      <c r="Q6" s="1315" t="s">
        <v>1746</v>
      </c>
      <c r="R6" s="1315" t="s">
        <v>1747</v>
      </c>
      <c r="S6" s="1317" t="s">
        <v>1809</v>
      </c>
    </row>
    <row r="7" spans="1:19" ht="25.5" customHeight="1" x14ac:dyDescent="0.2">
      <c r="A7" s="1675" t="s">
        <v>188</v>
      </c>
      <c r="B7" s="1676" t="s">
        <v>438</v>
      </c>
      <c r="C7" s="1318">
        <f>+'1.sz.függ.Önkormány bev-kiad'!H258</f>
        <v>1739280</v>
      </c>
      <c r="D7" s="1318">
        <f>+'1.sz.függ.Önkormány bev-kiad'!I258</f>
        <v>203496</v>
      </c>
      <c r="E7" s="1318">
        <f>+'1.sz.függ.Önkormány bev-kiad'!J258</f>
        <v>378667810</v>
      </c>
      <c r="F7" s="1318">
        <f>+'1.sz.függ.Önkormány bev-kiad'!K258</f>
        <v>0</v>
      </c>
      <c r="G7" s="1318">
        <f>+'1.sz.függ.Önkormány bev-kiad'!L258</f>
        <v>-124481945</v>
      </c>
      <c r="H7" s="1318">
        <f>+'1.sz.függ.Önkormány bev-kiad'!M258</f>
        <v>339584114</v>
      </c>
      <c r="I7" s="1318">
        <f>+'1.sz.függ.Önkormány bev-kiad'!N258</f>
        <v>-121327904</v>
      </c>
      <c r="J7" s="1318">
        <f>+'1.sz.függ.Önkormány bev-kiad'!O258</f>
        <v>968750</v>
      </c>
      <c r="K7" s="1342">
        <f>+'1.sz.függ.Önkormány bev-kiad'!P258</f>
        <v>143652101</v>
      </c>
      <c r="L7" s="1340">
        <f>+'1.sz.függ.Önkormány bev-kiad'!Q258</f>
        <v>164543481</v>
      </c>
      <c r="M7" s="1318">
        <f>+'1.sz.függ.Önkormány bev-kiad'!R258</f>
        <v>314960630</v>
      </c>
      <c r="N7" s="1318">
        <f>+'1.sz.függ.Önkormány bev-kiad'!S258</f>
        <v>1083679</v>
      </c>
      <c r="O7" s="1318">
        <f>+'1.sz.függ.Önkormány bev-kiad'!T258</f>
        <v>30753759</v>
      </c>
      <c r="P7" s="1318">
        <f>+'1.sz.függ.Önkormány bev-kiad'!U258</f>
        <v>100000</v>
      </c>
      <c r="Q7" s="1318">
        <f>+'1.sz.függ.Önkormány bev-kiad'!V258</f>
        <v>0</v>
      </c>
      <c r="R7" s="1318">
        <f>+'1.sz.függ.Önkormány bev-kiad'!W258</f>
        <v>968750</v>
      </c>
      <c r="S7" s="1342">
        <f>+'1.sz.függ.Önkormány bev-kiad'!X258</f>
        <v>106595403</v>
      </c>
    </row>
    <row r="8" spans="1:19" ht="26.25" customHeight="1" x14ac:dyDescent="0.2">
      <c r="A8" s="1319" t="s">
        <v>189</v>
      </c>
      <c r="B8" s="1320" t="s">
        <v>87</v>
      </c>
      <c r="C8" s="1318">
        <f>+'2.sz.függ.PMH bev-kiad'!H24</f>
        <v>-4897</v>
      </c>
      <c r="D8" s="1318">
        <f>+'2.sz.függ.PMH bev-kiad'!I24</f>
        <v>0</v>
      </c>
      <c r="E8" s="1318">
        <f>+'2.sz.függ.PMH bev-kiad'!J24</f>
        <v>-1444390</v>
      </c>
      <c r="F8" s="1318">
        <f>+'2.sz.függ.PMH bev-kiad'!K24</f>
        <v>0</v>
      </c>
      <c r="G8" s="1318">
        <f>+'2.sz.függ.PMH bev-kiad'!L24</f>
        <v>5109250</v>
      </c>
      <c r="H8" s="1318">
        <f>+'2.sz.függ.PMH bev-kiad'!M24</f>
        <v>10000</v>
      </c>
      <c r="I8" s="1318">
        <f>+'2.sz.függ.PMH bev-kiad'!N24</f>
        <v>0</v>
      </c>
      <c r="J8" s="1318">
        <f>+'2.sz.függ.PMH bev-kiad'!O24</f>
        <v>276800</v>
      </c>
      <c r="K8" s="1342">
        <f>+'2.sz.függ.PMH bev-kiad'!P24</f>
        <v>0</v>
      </c>
      <c r="L8" s="1340">
        <f>+'2.sz.függ.PMH bev-kiad'!Q24</f>
        <v>0</v>
      </c>
      <c r="M8" s="1318">
        <f>+'2.sz.függ.PMH bev-kiad'!R24</f>
        <v>0</v>
      </c>
      <c r="N8" s="1318">
        <f>+'2.sz.függ.PMH bev-kiad'!S24</f>
        <v>903037</v>
      </c>
      <c r="O8" s="1318">
        <f>+'2.sz.függ.PMH bev-kiad'!T24</f>
        <v>2756926</v>
      </c>
      <c r="P8" s="1318">
        <f>+'2.sz.függ.PMH bev-kiad'!U24</f>
        <v>10000</v>
      </c>
      <c r="Q8" s="1318">
        <f>+'2.sz.függ.PMH bev-kiad'!V24</f>
        <v>0</v>
      </c>
      <c r="R8" s="1318">
        <f>+'2.sz.függ.PMH bev-kiad'!W24</f>
        <v>276800</v>
      </c>
      <c r="S8" s="1342">
        <f>+'2.sz.függ.PMH bev-kiad'!X24</f>
        <v>0</v>
      </c>
    </row>
    <row r="9" spans="1:19" ht="24.75" customHeight="1" x14ac:dyDescent="0.2">
      <c r="A9" s="1319" t="s">
        <v>190</v>
      </c>
      <c r="B9" s="1320" t="s">
        <v>23</v>
      </c>
      <c r="C9" s="1318">
        <f>+'7.sz.függ.Bölcsőde'!H26</f>
        <v>0</v>
      </c>
      <c r="D9" s="1318">
        <f>+'7.sz.függ.Bölcsőde'!I26</f>
        <v>0</v>
      </c>
      <c r="E9" s="1318">
        <f>+'7.sz.függ.Bölcsőde'!J26</f>
        <v>588638</v>
      </c>
      <c r="F9" s="1318">
        <f>+'7.sz.függ.Bölcsőde'!K26</f>
        <v>0</v>
      </c>
      <c r="G9" s="1318">
        <f>+'7.sz.függ.Bölcsőde'!L26</f>
        <v>0</v>
      </c>
      <c r="H9" s="1318">
        <f>+'7.sz.függ.Bölcsőde'!M26</f>
        <v>0</v>
      </c>
      <c r="I9" s="1318">
        <f>+'7.sz.függ.Bölcsőde'!N26</f>
        <v>0</v>
      </c>
      <c r="J9" s="1318">
        <f>+'7.sz.függ.Bölcsőde'!O26</f>
        <v>0</v>
      </c>
      <c r="K9" s="1342">
        <f>+'7.sz.függ.Bölcsőde'!P26</f>
        <v>0</v>
      </c>
      <c r="L9" s="1340">
        <f>+'7.sz.függ.Bölcsőde'!Q26</f>
        <v>0</v>
      </c>
      <c r="M9" s="1318">
        <f>+'7.sz.függ.Bölcsőde'!R26</f>
        <v>0</v>
      </c>
      <c r="N9" s="1318">
        <f>+'7.sz.függ.Bölcsőde'!S26</f>
        <v>0</v>
      </c>
      <c r="O9" s="1318">
        <f>+'7.sz.függ.Bölcsőde'!T26</f>
        <v>361917</v>
      </c>
      <c r="P9" s="1318">
        <f>+'7.sz.függ.Bölcsőde'!U26</f>
        <v>0</v>
      </c>
      <c r="Q9" s="1318">
        <f>+'7.sz.függ.Bölcsőde'!V26</f>
        <v>0</v>
      </c>
      <c r="R9" s="1318">
        <f>+'7.sz.függ.Bölcsőde'!W26</f>
        <v>0</v>
      </c>
      <c r="S9" s="1342">
        <f>+'7.sz.függ.Bölcsőde'!X26</f>
        <v>226721</v>
      </c>
    </row>
    <row r="10" spans="1:19" ht="24.75" customHeight="1" x14ac:dyDescent="0.2">
      <c r="A10" s="1319" t="s">
        <v>191</v>
      </c>
      <c r="B10" s="1320" t="s">
        <v>88</v>
      </c>
      <c r="C10" s="1318">
        <f>+'6.sz.függ.Mese Ó.'!H36</f>
        <v>0</v>
      </c>
      <c r="D10" s="1318">
        <f>+'6.sz.függ.Mese Ó.'!I36</f>
        <v>0</v>
      </c>
      <c r="E10" s="1318">
        <f>+'6.sz.függ.Mese Ó.'!J36</f>
        <v>11181230</v>
      </c>
      <c r="F10" s="1318">
        <f>+'6.sz.függ.Mese Ó.'!K36</f>
        <v>0</v>
      </c>
      <c r="G10" s="1318">
        <f>+'6.sz.függ.Mese Ó.'!L36</f>
        <v>0</v>
      </c>
      <c r="H10" s="1318">
        <f>+'6.sz.függ.Mese Ó.'!M36</f>
        <v>317500</v>
      </c>
      <c r="I10" s="1318">
        <f>+'6.sz.függ.Mese Ó.'!N36</f>
        <v>0</v>
      </c>
      <c r="J10" s="1318">
        <f>+'6.sz.függ.Mese Ó.'!O36</f>
        <v>0</v>
      </c>
      <c r="K10" s="1342">
        <f>+'6.sz.függ.Mese Ó.'!P36</f>
        <v>0</v>
      </c>
      <c r="L10" s="1340">
        <f>+'6.sz.függ.Mese Ó.'!Q36</f>
        <v>350000</v>
      </c>
      <c r="M10" s="1318">
        <f>+'6.sz.függ.Mese Ó.'!R36</f>
        <v>0</v>
      </c>
      <c r="N10" s="1318">
        <f>+'6.sz.függ.Mese Ó.'!S36</f>
        <v>0</v>
      </c>
      <c r="O10" s="1318">
        <f>+'6.sz.függ.Mese Ó.'!T36</f>
        <v>305859</v>
      </c>
      <c r="P10" s="1318">
        <f>+'6.sz.függ.Mese Ó.'!U36</f>
        <v>0</v>
      </c>
      <c r="Q10" s="1318">
        <f>+'6.sz.függ.Mese Ó.'!V36</f>
        <v>0</v>
      </c>
      <c r="R10" s="1318">
        <f>+'6.sz.függ.Mese Ó.'!W36</f>
        <v>0</v>
      </c>
      <c r="S10" s="1342">
        <f>+'6.sz.függ.Mese Ó.'!X36</f>
        <v>10842871</v>
      </c>
    </row>
    <row r="11" spans="1:19" ht="27" customHeight="1" x14ac:dyDescent="0.2">
      <c r="A11" s="1319" t="s">
        <v>192</v>
      </c>
      <c r="B11" s="1320" t="s">
        <v>24</v>
      </c>
      <c r="C11" s="1318">
        <f>+'5.sz.függ.Hétszínvirág Ó.'!H22</f>
        <v>0</v>
      </c>
      <c r="D11" s="1318">
        <f>+'5.sz.függ.Hétszínvirág Ó.'!I22</f>
        <v>0</v>
      </c>
      <c r="E11" s="1318">
        <f>+'5.sz.függ.Hétszínvirág Ó.'!J22</f>
        <v>8184505</v>
      </c>
      <c r="F11" s="1318">
        <f>+'5.sz.függ.Hétszínvirág Ó.'!K22</f>
        <v>0</v>
      </c>
      <c r="G11" s="1318">
        <f>+'5.sz.függ.Hétszínvirág Ó.'!L22</f>
        <v>0</v>
      </c>
      <c r="H11" s="1318">
        <f>+'5.sz.függ.Hétszínvirág Ó.'!M22</f>
        <v>0</v>
      </c>
      <c r="I11" s="1318">
        <f>+'5.sz.függ.Hétszínvirág Ó.'!N22</f>
        <v>0</v>
      </c>
      <c r="J11" s="1318">
        <f>+'5.sz.függ.Hétszínvirág Ó.'!O22</f>
        <v>0</v>
      </c>
      <c r="K11" s="1342">
        <f>+'5.sz.függ.Hétszínvirág Ó.'!P22</f>
        <v>0</v>
      </c>
      <c r="L11" s="1340">
        <f>+'5.sz.függ.Hétszínvirág Ó.'!Q22</f>
        <v>350000</v>
      </c>
      <c r="M11" s="1318">
        <f>+'5.sz.függ.Hétszínvirág Ó.'!R22</f>
        <v>0</v>
      </c>
      <c r="N11" s="1318">
        <f>+'5.sz.függ.Hétszínvirág Ó.'!S22</f>
        <v>0</v>
      </c>
      <c r="O11" s="1318">
        <f>+'5.sz.függ.Hétszínvirág Ó.'!T22</f>
        <v>20000</v>
      </c>
      <c r="P11" s="1318">
        <f>+'5.sz.függ.Hétszínvirág Ó.'!U22</f>
        <v>0</v>
      </c>
      <c r="Q11" s="1318">
        <f>+'5.sz.függ.Hétszínvirág Ó.'!V22</f>
        <v>0</v>
      </c>
      <c r="R11" s="1318">
        <f>+'5.sz.függ.Hétszínvirág Ó.'!W22</f>
        <v>0</v>
      </c>
      <c r="S11" s="1342">
        <f>+'5.sz.függ.Hétszínvirág Ó.'!X22</f>
        <v>7814505</v>
      </c>
    </row>
    <row r="12" spans="1:19" ht="27.75" customHeight="1" x14ac:dyDescent="0.2">
      <c r="A12" s="1319" t="s">
        <v>193</v>
      </c>
      <c r="B12" s="1320" t="s">
        <v>600</v>
      </c>
      <c r="C12" s="1318">
        <f>+'9.sz.függ.Szivárvány Ó.'!H22</f>
        <v>0</v>
      </c>
      <c r="D12" s="1318">
        <f>+'9.sz.függ.Szivárvány Ó.'!I22</f>
        <v>0</v>
      </c>
      <c r="E12" s="1318">
        <f>+'9.sz.függ.Szivárvány Ó.'!J22</f>
        <v>6637618</v>
      </c>
      <c r="F12" s="1318">
        <f>+'9.sz.függ.Szivárvány Ó.'!K22</f>
        <v>0</v>
      </c>
      <c r="G12" s="1318">
        <f>+'9.sz.függ.Szivárvány Ó.'!L22</f>
        <v>0</v>
      </c>
      <c r="H12" s="1318">
        <f>+'9.sz.függ.Szivárvány Ó.'!M22</f>
        <v>823851</v>
      </c>
      <c r="I12" s="1318">
        <f>+'9.sz.függ.Szivárvány Ó.'!N22</f>
        <v>0</v>
      </c>
      <c r="J12" s="1318">
        <f>+'9.sz.függ.Szivárvány Ó.'!O22</f>
        <v>0</v>
      </c>
      <c r="K12" s="1342">
        <f>+'9.sz.függ.Szivárvány Ó.'!P22</f>
        <v>0</v>
      </c>
      <c r="L12" s="1340">
        <f>+'9.sz.függ.Szivárvány Ó.'!Q22</f>
        <v>100000</v>
      </c>
      <c r="M12" s="1318">
        <f>+'9.sz.függ.Szivárvány Ó.'!R22</f>
        <v>0</v>
      </c>
      <c r="N12" s="1318">
        <f>+'9.sz.függ.Szivárvány Ó.'!S22</f>
        <v>0</v>
      </c>
      <c r="O12" s="1318">
        <f>+'9.sz.függ.Szivárvány Ó.'!T22</f>
        <v>3192</v>
      </c>
      <c r="P12" s="1318">
        <f>+'9.sz.függ.Szivárvány Ó.'!U22</f>
        <v>0</v>
      </c>
      <c r="Q12" s="1318">
        <f>+'9.sz.függ.Szivárvány Ó.'!V22</f>
        <v>0</v>
      </c>
      <c r="R12" s="1318">
        <f>+'9.sz.függ.Szivárvány Ó.'!W22</f>
        <v>0</v>
      </c>
      <c r="S12" s="1342">
        <f>+'9.sz.függ.Szivárvány Ó.'!X22</f>
        <v>7358277</v>
      </c>
    </row>
    <row r="13" spans="1:19" ht="27" customHeight="1" x14ac:dyDescent="0.2">
      <c r="A13" s="1319" t="s">
        <v>194</v>
      </c>
      <c r="B13" s="1320" t="s">
        <v>25</v>
      </c>
      <c r="C13" s="1318">
        <f>+'3.sz.függ.Ter.Gond'!H74</f>
        <v>0</v>
      </c>
      <c r="D13" s="1318">
        <f>+'3.sz.függ.Ter.Gond'!I74</f>
        <v>0</v>
      </c>
      <c r="E13" s="1318">
        <f>+'3.sz.függ.Ter.Gond'!J74</f>
        <v>21279055</v>
      </c>
      <c r="F13" s="1318">
        <f>+'3.sz.függ.Ter.Gond'!K74</f>
        <v>0</v>
      </c>
      <c r="G13" s="1318">
        <f>+'3.sz.függ.Ter.Gond'!L74</f>
        <v>0</v>
      </c>
      <c r="H13" s="1318">
        <f>+'3.sz.függ.Ter.Gond'!M74</f>
        <v>0</v>
      </c>
      <c r="I13" s="1318">
        <f>+'3.sz.függ.Ter.Gond'!N74</f>
        <v>0</v>
      </c>
      <c r="J13" s="1318">
        <f>+'3.sz.függ.Ter.Gond'!O74</f>
        <v>0</v>
      </c>
      <c r="K13" s="1342">
        <f>+'3.sz.függ.Ter.Gond'!P74</f>
        <v>0</v>
      </c>
      <c r="L13" s="1340">
        <f>+'3.sz.függ.Ter.Gond'!Q74</f>
        <v>0</v>
      </c>
      <c r="M13" s="1318">
        <f>+'3.sz.függ.Ter.Gond'!R74</f>
        <v>0</v>
      </c>
      <c r="N13" s="1318">
        <f>+'3.sz.függ.Ter.Gond'!S74</f>
        <v>0</v>
      </c>
      <c r="O13" s="1318">
        <f>+'3.sz.függ.Ter.Gond'!T74</f>
        <v>13762691</v>
      </c>
      <c r="P13" s="1318">
        <f>+'3.sz.függ.Ter.Gond'!U74</f>
        <v>0</v>
      </c>
      <c r="Q13" s="1318">
        <f>+'3.sz.függ.Ter.Gond'!V74</f>
        <v>0</v>
      </c>
      <c r="R13" s="1318">
        <f>+'3.sz.függ.Ter.Gond'!W74</f>
        <v>0</v>
      </c>
      <c r="S13" s="1342">
        <f>+'3.sz.függ.Ter.Gond'!X74</f>
        <v>7516364</v>
      </c>
    </row>
    <row r="14" spans="1:19" ht="25.5" x14ac:dyDescent="0.2">
      <c r="A14" s="1319" t="s">
        <v>195</v>
      </c>
      <c r="B14" s="1320" t="s">
        <v>1810</v>
      </c>
      <c r="C14" s="1318">
        <f>+'8.sz.függ.Gyermekjóléti'!H14</f>
        <v>2696970</v>
      </c>
      <c r="D14" s="1318">
        <f>+'8.sz.függ.Gyermekjóléti'!I14</f>
        <v>303030</v>
      </c>
      <c r="E14" s="1318">
        <f>+'8.sz.függ.Gyermekjóléti'!J14</f>
        <v>3731265</v>
      </c>
      <c r="F14" s="1318">
        <f>+'8.sz.függ.Gyermekjóléti'!K14</f>
        <v>0</v>
      </c>
      <c r="G14" s="1318">
        <f>+'8.sz.függ.Gyermekjóléti'!L14</f>
        <v>0</v>
      </c>
      <c r="H14" s="1318">
        <f>+'8.sz.függ.Gyermekjóléti'!M14</f>
        <v>0</v>
      </c>
      <c r="I14" s="1318">
        <f>+'8.sz.függ.Gyermekjóléti'!N14</f>
        <v>0</v>
      </c>
      <c r="J14" s="1318">
        <f>+'8.sz.függ.Gyermekjóléti'!O14</f>
        <v>0</v>
      </c>
      <c r="K14" s="1342">
        <f>+'8.sz.függ.Gyermekjóléti'!P14</f>
        <v>0</v>
      </c>
      <c r="L14" s="1340">
        <f>+'8.sz.függ.Gyermekjóléti'!Q14</f>
        <v>0</v>
      </c>
      <c r="M14" s="1318">
        <f>+'8.sz.függ.Gyermekjóléti'!R14</f>
        <v>0</v>
      </c>
      <c r="N14" s="1318">
        <f>+'8.sz.függ.Gyermekjóléti'!S14</f>
        <v>0</v>
      </c>
      <c r="O14" s="1318">
        <f>+'8.sz.függ.Gyermekjóléti'!T14</f>
        <v>3533305</v>
      </c>
      <c r="P14" s="1318">
        <f>+'8.sz.függ.Gyermekjóléti'!U14</f>
        <v>0</v>
      </c>
      <c r="Q14" s="1318">
        <f>+'8.sz.függ.Gyermekjóléti'!V14</f>
        <v>0</v>
      </c>
      <c r="R14" s="1318">
        <f>+'8.sz.függ.Gyermekjóléti'!W14</f>
        <v>0</v>
      </c>
      <c r="S14" s="1342">
        <f>+'8.sz.függ.Gyermekjóléti'!X14</f>
        <v>3197960</v>
      </c>
    </row>
    <row r="15" spans="1:19" ht="26.25" customHeight="1" x14ac:dyDescent="0.2">
      <c r="A15" s="1319" t="s">
        <v>196</v>
      </c>
      <c r="B15" s="1321" t="s">
        <v>612</v>
      </c>
      <c r="C15" s="1318">
        <f>+'4.sz.függ.Könyvtár'!H15</f>
        <v>0</v>
      </c>
      <c r="D15" s="1318">
        <f>+'4.sz.függ.Könyvtár'!I15</f>
        <v>0</v>
      </c>
      <c r="E15" s="1318">
        <f>+'4.sz.függ.Könyvtár'!J15</f>
        <v>1574225</v>
      </c>
      <c r="F15" s="1318">
        <f>+'4.sz.függ.Könyvtár'!K15</f>
        <v>0</v>
      </c>
      <c r="G15" s="1318">
        <f>+'4.sz.függ.Könyvtár'!L15</f>
        <v>0</v>
      </c>
      <c r="H15" s="1318">
        <f>+'4.sz.függ.Könyvtár'!M15</f>
        <v>0</v>
      </c>
      <c r="I15" s="1318">
        <f>+'4.sz.függ.Könyvtár'!N15</f>
        <v>0</v>
      </c>
      <c r="J15" s="1318">
        <f>+'4.sz.függ.Könyvtár'!O15</f>
        <v>0</v>
      </c>
      <c r="K15" s="1342">
        <f>+'4.sz.függ.Könyvtár'!P15</f>
        <v>0</v>
      </c>
      <c r="L15" s="1340">
        <f>+'4.sz.függ.Könyvtár'!Q15</f>
        <v>20000</v>
      </c>
      <c r="M15" s="1318">
        <f>+'4.sz.függ.Könyvtár'!R15</f>
        <v>0</v>
      </c>
      <c r="N15" s="1318">
        <f>+'4.sz.függ.Könyvtár'!S15</f>
        <v>0</v>
      </c>
      <c r="O15" s="1318">
        <f>+'4.sz.függ.Könyvtár'!T15</f>
        <v>1454225</v>
      </c>
      <c r="P15" s="1318">
        <f>+'4.sz.függ.Könyvtár'!U15</f>
        <v>0</v>
      </c>
      <c r="Q15" s="1318">
        <f>+'4.sz.függ.Könyvtár'!V15</f>
        <v>0</v>
      </c>
      <c r="R15" s="1318">
        <f>+'4.sz.függ.Könyvtár'!W15</f>
        <v>0</v>
      </c>
      <c r="S15" s="1342">
        <f>+'4.sz.függ.Könyvtár'!X15</f>
        <v>100000</v>
      </c>
    </row>
    <row r="16" spans="1:19" ht="24.75" customHeight="1" x14ac:dyDescent="0.2">
      <c r="A16" s="1319" t="s">
        <v>197</v>
      </c>
      <c r="B16" s="1677" t="s">
        <v>601</v>
      </c>
      <c r="C16" s="1318">
        <f>+'10.sz.függ.József A. MűvHáz'!H15</f>
        <v>0</v>
      </c>
      <c r="D16" s="1318">
        <f>+'10.sz.függ.József A. MűvHáz'!I15</f>
        <v>0</v>
      </c>
      <c r="E16" s="1318">
        <f>+'10.sz.függ.József A. MűvHáz'!J15</f>
        <v>3300000</v>
      </c>
      <c r="F16" s="1318">
        <f>+'10.sz.függ.József A. MűvHáz'!K15</f>
        <v>0</v>
      </c>
      <c r="G16" s="1318">
        <f>+'10.sz.függ.József A. MűvHáz'!L15</f>
        <v>0</v>
      </c>
      <c r="H16" s="1318">
        <f>+'10.sz.függ.József A. MűvHáz'!M15</f>
        <v>0</v>
      </c>
      <c r="I16" s="1318">
        <f>+'10.sz.függ.József A. MűvHáz'!N15</f>
        <v>0</v>
      </c>
      <c r="J16" s="1318">
        <f>+'10.sz.függ.József A. MűvHáz'!O15</f>
        <v>0</v>
      </c>
      <c r="K16" s="1342">
        <f>+'10.sz.függ.József A. MűvHáz'!P15</f>
        <v>0</v>
      </c>
      <c r="L16" s="1340">
        <f>+'10.sz.függ.József A. MűvHáz'!Q15</f>
        <v>0</v>
      </c>
      <c r="M16" s="1318">
        <f>+'10.sz.függ.József A. MűvHáz'!R15</f>
        <v>0</v>
      </c>
      <c r="N16" s="1318">
        <f>+'10.sz.függ.József A. MűvHáz'!S15</f>
        <v>0</v>
      </c>
      <c r="O16" s="1318">
        <f>+'10.sz.függ.József A. MűvHáz'!T15</f>
        <v>3300000</v>
      </c>
      <c r="P16" s="1318">
        <f>+'10.sz.függ.József A. MűvHáz'!U15</f>
        <v>0</v>
      </c>
      <c r="Q16" s="1318">
        <f>+'10.sz.függ.József A. MűvHáz'!V15</f>
        <v>0</v>
      </c>
      <c r="R16" s="1318">
        <f>+'10.sz.függ.József A. MűvHáz'!W15</f>
        <v>0</v>
      </c>
      <c r="S16" s="1342">
        <f>+'10.sz.függ.József A. MűvHáz'!X15</f>
        <v>0</v>
      </c>
    </row>
    <row r="17" spans="1:19" ht="21.75" customHeight="1" x14ac:dyDescent="0.2">
      <c r="A17" s="2189" t="s">
        <v>1184</v>
      </c>
      <c r="B17" s="2190"/>
      <c r="C17" s="1322">
        <f t="shared" ref="C17:S17" si="0">SUM(C7:C16)</f>
        <v>4431353</v>
      </c>
      <c r="D17" s="1322">
        <f t="shared" si="0"/>
        <v>506526</v>
      </c>
      <c r="E17" s="1322">
        <f t="shared" si="0"/>
        <v>433699956</v>
      </c>
      <c r="F17" s="1322">
        <f t="shared" si="0"/>
        <v>0</v>
      </c>
      <c r="G17" s="1322">
        <f t="shared" si="0"/>
        <v>-119372695</v>
      </c>
      <c r="H17" s="1322">
        <f t="shared" si="0"/>
        <v>340735465</v>
      </c>
      <c r="I17" s="1322">
        <f t="shared" si="0"/>
        <v>-121327904</v>
      </c>
      <c r="J17" s="1322">
        <f t="shared" si="0"/>
        <v>1245550</v>
      </c>
      <c r="K17" s="1323">
        <f t="shared" si="0"/>
        <v>143652101</v>
      </c>
      <c r="L17" s="1324">
        <f t="shared" si="0"/>
        <v>165363481</v>
      </c>
      <c r="M17" s="1322">
        <f t="shared" si="0"/>
        <v>314960630</v>
      </c>
      <c r="N17" s="1322">
        <f t="shared" si="0"/>
        <v>1986716</v>
      </c>
      <c r="O17" s="1322">
        <f t="shared" si="0"/>
        <v>56251874</v>
      </c>
      <c r="P17" s="1322">
        <f t="shared" si="0"/>
        <v>110000</v>
      </c>
      <c r="Q17" s="1322">
        <f t="shared" si="0"/>
        <v>0</v>
      </c>
      <c r="R17" s="1322">
        <f t="shared" si="0"/>
        <v>1245550</v>
      </c>
      <c r="S17" s="1323">
        <f t="shared" si="0"/>
        <v>143652101</v>
      </c>
    </row>
    <row r="18" spans="1:19" ht="15" x14ac:dyDescent="0.25">
      <c r="A18" s="1192"/>
      <c r="B18" s="1192"/>
      <c r="C18" s="1193"/>
      <c r="D18" s="1193"/>
      <c r="E18" s="1193"/>
      <c r="F18" s="1193"/>
      <c r="G18" s="1193"/>
      <c r="H18" s="1193"/>
      <c r="I18" s="1193"/>
      <c r="J18" s="1193"/>
      <c r="K18" s="1193"/>
      <c r="L18" s="1193"/>
      <c r="M18" s="1193"/>
      <c r="N18" s="1193"/>
      <c r="O18" s="1193"/>
      <c r="P18" s="1193"/>
      <c r="Q18" s="1193"/>
      <c r="R18" s="1193"/>
      <c r="S18" s="1193"/>
    </row>
    <row r="19" spans="1:19" ht="15" x14ac:dyDescent="0.25">
      <c r="A19" s="1192"/>
      <c r="B19" s="1192"/>
      <c r="C19" s="1192"/>
      <c r="D19" s="1192"/>
      <c r="E19" s="1192"/>
      <c r="F19" s="1192"/>
      <c r="G19" s="1192"/>
      <c r="H19" s="1192"/>
      <c r="I19" s="1192"/>
      <c r="J19" s="1192"/>
      <c r="K19" s="1192"/>
      <c r="L19" s="1192"/>
      <c r="M19" s="1192"/>
      <c r="N19" s="1192"/>
      <c r="O19" s="1192"/>
      <c r="P19" s="1192"/>
      <c r="Q19" s="1192"/>
      <c r="R19" s="1192"/>
      <c r="S19" s="1192"/>
    </row>
    <row r="20" spans="1:19" ht="21" customHeight="1" x14ac:dyDescent="0.25">
      <c r="A20" s="1192"/>
      <c r="B20" s="1192"/>
      <c r="C20" s="1192"/>
      <c r="D20" s="2066" t="s">
        <v>1750</v>
      </c>
      <c r="E20" s="2066"/>
      <c r="F20" s="2066"/>
      <c r="G20" s="2066">
        <v>15711564705</v>
      </c>
      <c r="H20" s="2066"/>
      <c r="I20" s="1192"/>
      <c r="J20" s="1192"/>
      <c r="K20" s="1192"/>
      <c r="L20" s="1192"/>
      <c r="M20" s="2066" t="s">
        <v>1751</v>
      </c>
      <c r="N20" s="2066"/>
      <c r="O20" s="2066"/>
      <c r="P20" s="2066">
        <v>15711564705</v>
      </c>
      <c r="Q20" s="2066"/>
      <c r="R20" s="1192"/>
      <c r="S20" s="1192"/>
    </row>
    <row r="21" spans="1:19" ht="21.75" customHeight="1" x14ac:dyDescent="0.25">
      <c r="A21" s="1192"/>
      <c r="B21" s="1192"/>
      <c r="C21" s="1192"/>
      <c r="D21" s="2066" t="s">
        <v>3474</v>
      </c>
      <c r="E21" s="2066"/>
      <c r="F21" s="2066"/>
      <c r="G21" s="2066">
        <f>SUM(C17:K17)</f>
        <v>683570352</v>
      </c>
      <c r="H21" s="2066"/>
      <c r="I21" s="1193"/>
      <c r="J21" s="1192"/>
      <c r="K21" s="1192"/>
      <c r="L21" s="1192"/>
      <c r="M21" s="2066" t="s">
        <v>3474</v>
      </c>
      <c r="N21" s="2066"/>
      <c r="O21" s="2066"/>
      <c r="P21" s="2066">
        <f>SUM(L17:S17)</f>
        <v>683570352</v>
      </c>
      <c r="Q21" s="2066"/>
      <c r="R21" s="1192"/>
      <c r="S21" s="1192"/>
    </row>
    <row r="22" spans="1:19" ht="25.5" customHeight="1" x14ac:dyDescent="0.25">
      <c r="A22" s="1192"/>
      <c r="B22" s="1192"/>
      <c r="C22" s="1192"/>
      <c r="D22" s="2066" t="s">
        <v>1561</v>
      </c>
      <c r="E22" s="2066"/>
      <c r="F22" s="2066"/>
      <c r="G22" s="2066">
        <f>+G20+G21</f>
        <v>16395135057</v>
      </c>
      <c r="H22" s="2066"/>
      <c r="I22" s="1192"/>
      <c r="J22" s="1192"/>
      <c r="K22" s="1192"/>
      <c r="L22" s="1192"/>
      <c r="M22" s="2066" t="s">
        <v>1561</v>
      </c>
      <c r="N22" s="2066"/>
      <c r="O22" s="2066"/>
      <c r="P22" s="2066">
        <f>+P20+P21</f>
        <v>16395135057</v>
      </c>
      <c r="Q22" s="2066"/>
      <c r="R22" s="1192"/>
      <c r="S22" s="1192"/>
    </row>
    <row r="23" spans="1:19" ht="24" customHeight="1" x14ac:dyDescent="0.25">
      <c r="A23" s="1192"/>
      <c r="B23" s="1192"/>
      <c r="C23" s="1192"/>
      <c r="D23" s="1192"/>
      <c r="E23" s="1192"/>
      <c r="F23" s="1192"/>
      <c r="G23" s="1192"/>
      <c r="H23" s="1192"/>
      <c r="I23" s="1192"/>
      <c r="J23" s="1192"/>
      <c r="K23" s="1192"/>
      <c r="L23" s="1192"/>
      <c r="M23" s="1192"/>
      <c r="N23" s="1192"/>
      <c r="O23" s="1192"/>
      <c r="P23" s="1192"/>
      <c r="Q23" s="1192"/>
      <c r="R23" s="1192"/>
      <c r="S23" s="1192"/>
    </row>
    <row r="24" spans="1:19" ht="15.75" x14ac:dyDescent="0.25">
      <c r="A24" s="2069" t="s">
        <v>2641</v>
      </c>
      <c r="B24" s="2069"/>
      <c r="C24" s="2069"/>
      <c r="D24" s="2069"/>
      <c r="E24" s="2069"/>
      <c r="F24" s="2069"/>
      <c r="G24" s="2069"/>
      <c r="H24" s="2069"/>
      <c r="I24" s="2069"/>
      <c r="J24" s="2069"/>
      <c r="K24" s="2069"/>
      <c r="L24" s="2069"/>
      <c r="M24" s="2069"/>
      <c r="N24" s="2069"/>
      <c r="O24" s="2069"/>
      <c r="P24" s="2069"/>
      <c r="Q24" s="2069"/>
      <c r="R24" s="2069"/>
      <c r="S24" s="2069"/>
    </row>
    <row r="25" spans="1:19" ht="15" x14ac:dyDescent="0.25">
      <c r="A25" s="1300"/>
      <c r="B25" s="1300"/>
      <c r="C25" s="1300"/>
      <c r="D25" s="1300"/>
      <c r="E25" s="1300"/>
      <c r="F25" s="1300"/>
      <c r="G25" s="1300"/>
      <c r="H25" s="1300"/>
      <c r="I25" s="1300"/>
      <c r="J25" s="1300"/>
      <c r="K25" s="1300"/>
      <c r="L25" s="1300"/>
      <c r="M25" s="1300"/>
      <c r="N25" s="1300"/>
      <c r="O25" s="1300"/>
      <c r="P25" s="1300"/>
      <c r="Q25" s="1300"/>
      <c r="R25" s="1300"/>
      <c r="S25" s="1300"/>
    </row>
    <row r="26" spans="1:19" ht="15" x14ac:dyDescent="0.25">
      <c r="A26" s="2191" t="s">
        <v>1803</v>
      </c>
      <c r="B26" s="2191"/>
      <c r="C26" s="2191"/>
      <c r="D26" s="2191"/>
      <c r="E26" s="2191"/>
      <c r="F26" s="2191"/>
      <c r="G26" s="2191"/>
      <c r="H26" s="2191"/>
      <c r="I26" s="2191"/>
      <c r="J26" s="2191"/>
      <c r="K26" s="2191"/>
      <c r="L26" s="2191"/>
      <c r="M26" s="2191"/>
      <c r="N26" s="2191"/>
      <c r="O26" s="2191"/>
      <c r="P26" s="2191"/>
      <c r="Q26" s="2191"/>
      <c r="R26" s="2191"/>
      <c r="S26" s="2191"/>
    </row>
    <row r="27" spans="1:19" ht="15" x14ac:dyDescent="0.25">
      <c r="A27" s="1192"/>
      <c r="B27" s="1192"/>
      <c r="C27" s="1192"/>
      <c r="D27" s="1192"/>
      <c r="E27" s="1192"/>
      <c r="F27" s="1192"/>
      <c r="G27" s="1192"/>
      <c r="H27" s="1192"/>
      <c r="I27" s="1192"/>
      <c r="J27" s="1192"/>
      <c r="K27" s="1192"/>
      <c r="L27" s="1301"/>
      <c r="M27" s="1192"/>
      <c r="N27" s="1192"/>
      <c r="O27" s="1192"/>
      <c r="P27" s="1192"/>
      <c r="Q27" s="1192"/>
      <c r="R27" s="1192"/>
      <c r="S27" s="1338" t="s">
        <v>431</v>
      </c>
    </row>
    <row r="28" spans="1:19" ht="15" x14ac:dyDescent="0.2">
      <c r="A28" s="2192" t="s">
        <v>37</v>
      </c>
      <c r="B28" s="2194" t="s">
        <v>137</v>
      </c>
      <c r="C28" s="2196" t="s">
        <v>1730</v>
      </c>
      <c r="D28" s="2196"/>
      <c r="E28" s="2196"/>
      <c r="F28" s="2196"/>
      <c r="G28" s="2196"/>
      <c r="H28" s="2196"/>
      <c r="I28" s="2196"/>
      <c r="J28" s="2197"/>
      <c r="K28" s="1341"/>
      <c r="L28" s="2198" t="s">
        <v>1731</v>
      </c>
      <c r="M28" s="2196"/>
      <c r="N28" s="2196"/>
      <c r="O28" s="2196"/>
      <c r="P28" s="2196"/>
      <c r="Q28" s="2196"/>
      <c r="R28" s="2196"/>
      <c r="S28" s="2199"/>
    </row>
    <row r="29" spans="1:19" ht="84.75" customHeight="1" x14ac:dyDescent="0.2">
      <c r="A29" s="2193"/>
      <c r="B29" s="2195"/>
      <c r="C29" s="1314" t="s">
        <v>2388</v>
      </c>
      <c r="D29" s="1314" t="s">
        <v>1804</v>
      </c>
      <c r="E29" s="1314" t="s">
        <v>1797</v>
      </c>
      <c r="F29" s="1314" t="s">
        <v>1805</v>
      </c>
      <c r="G29" s="1314" t="s">
        <v>1806</v>
      </c>
      <c r="H29" s="1315" t="s">
        <v>1756</v>
      </c>
      <c r="I29" s="1314" t="s">
        <v>1807</v>
      </c>
      <c r="J29" s="1316" t="s">
        <v>1739</v>
      </c>
      <c r="K29" s="1317" t="s">
        <v>1740</v>
      </c>
      <c r="L29" s="1339" t="s">
        <v>1741</v>
      </c>
      <c r="M29" s="1315" t="s">
        <v>1742</v>
      </c>
      <c r="N29" s="1314" t="s">
        <v>1800</v>
      </c>
      <c r="O29" s="1314" t="s">
        <v>1808</v>
      </c>
      <c r="P29" s="1315" t="s">
        <v>1745</v>
      </c>
      <c r="Q29" s="1315" t="s">
        <v>1746</v>
      </c>
      <c r="R29" s="1315" t="s">
        <v>1747</v>
      </c>
      <c r="S29" s="1317" t="s">
        <v>1809</v>
      </c>
    </row>
    <row r="30" spans="1:19" ht="27" customHeight="1" x14ac:dyDescent="0.2">
      <c r="A30" s="1675" t="s">
        <v>188</v>
      </c>
      <c r="B30" s="1676" t="s">
        <v>438</v>
      </c>
      <c r="C30" s="1318">
        <f>+'1.sz.függ.Önkormány bev-kiad'!H604</f>
        <v>34932780</v>
      </c>
      <c r="D30" s="1318">
        <f>+'1.sz.függ.Önkormány bev-kiad'!I604</f>
        <v>4478045</v>
      </c>
      <c r="E30" s="1318">
        <f>+'1.sz.függ.Önkormány bev-kiad'!J604</f>
        <v>485323040</v>
      </c>
      <c r="F30" s="1318">
        <f>+'1.sz.függ.Önkormány bev-kiad'!K604</f>
        <v>0</v>
      </c>
      <c r="G30" s="1318">
        <f>+'1.sz.függ.Önkormány bev-kiad'!L604</f>
        <v>-224674474</v>
      </c>
      <c r="H30" s="1318">
        <f>+'1.sz.függ.Önkormány bev-kiad'!M604</f>
        <v>582794822</v>
      </c>
      <c r="I30" s="1318">
        <f>+'1.sz.függ.Önkormány bev-kiad'!N604</f>
        <v>145244206</v>
      </c>
      <c r="J30" s="1318">
        <f>+'1.sz.függ.Önkormány bev-kiad'!O604</f>
        <v>8948750</v>
      </c>
      <c r="K30" s="1342">
        <f>+'1.sz.függ.Önkormány bev-kiad'!P604</f>
        <v>335818934</v>
      </c>
      <c r="L30" s="1340">
        <f>+'1.sz.függ.Önkormány bev-kiad'!Q604</f>
        <v>295540831</v>
      </c>
      <c r="M30" s="1318">
        <f>+'1.sz.függ.Önkormány bev-kiad'!R604</f>
        <v>314960630</v>
      </c>
      <c r="N30" s="1318">
        <f>+'1.sz.függ.Önkormány bev-kiad'!S604</f>
        <v>21012245</v>
      </c>
      <c r="O30" s="1318">
        <f>+'1.sz.függ.Önkormány bev-kiad'!T604</f>
        <v>95497503</v>
      </c>
      <c r="P30" s="1318">
        <f>+'1.sz.függ.Önkormány bev-kiad'!U604</f>
        <v>700000</v>
      </c>
      <c r="Q30" s="1318">
        <f>+'1.sz.függ.Önkormány bev-kiad'!V604</f>
        <v>0</v>
      </c>
      <c r="R30" s="1318">
        <f>+'1.sz.függ.Önkormány bev-kiad'!W604</f>
        <v>968750</v>
      </c>
      <c r="S30" s="1342">
        <f>+'1.sz.függ.Önkormány bev-kiad'!X604</f>
        <v>644186144</v>
      </c>
    </row>
    <row r="31" spans="1:19" ht="25.5" customHeight="1" x14ac:dyDescent="0.2">
      <c r="A31" s="1319" t="s">
        <v>189</v>
      </c>
      <c r="B31" s="1320" t="s">
        <v>87</v>
      </c>
      <c r="C31" s="1318">
        <f>+'2.sz.függ.PMH bev-kiad'!H70</f>
        <v>32745103</v>
      </c>
      <c r="D31" s="1318">
        <f>+'2.sz.függ.PMH bev-kiad'!I70</f>
        <v>4257500</v>
      </c>
      <c r="E31" s="1318">
        <f>+'2.sz.függ.PMH bev-kiad'!J70</f>
        <v>5752072</v>
      </c>
      <c r="F31" s="1318">
        <f>+'2.sz.függ.PMH bev-kiad'!K70</f>
        <v>0</v>
      </c>
      <c r="G31" s="1318">
        <f>+'2.sz.függ.PMH bev-kiad'!L70</f>
        <v>23805431</v>
      </c>
      <c r="H31" s="1318">
        <f>+'2.sz.függ.PMH bev-kiad'!M70</f>
        <v>10000</v>
      </c>
      <c r="I31" s="1318">
        <f>+'2.sz.függ.PMH bev-kiad'!N70</f>
        <v>0</v>
      </c>
      <c r="J31" s="1318">
        <f>+'2.sz.függ.PMH bev-kiad'!O70</f>
        <v>276800</v>
      </c>
      <c r="K31" s="1342">
        <f>+'2.sz.függ.PMH bev-kiad'!P70</f>
        <v>0</v>
      </c>
      <c r="L31" s="1340">
        <f>+'2.sz.függ.PMH bev-kiad'!Q70</f>
        <v>0</v>
      </c>
      <c r="M31" s="1318">
        <f>+'2.sz.függ.PMH bev-kiad'!R70</f>
        <v>0</v>
      </c>
      <c r="N31" s="1318">
        <f>+'2.sz.függ.PMH bev-kiad'!S70</f>
        <v>1023037</v>
      </c>
      <c r="O31" s="1318">
        <f>+'2.sz.függ.PMH bev-kiad'!T70</f>
        <v>5946658</v>
      </c>
      <c r="P31" s="1318">
        <f>+'2.sz.függ.PMH bev-kiad'!U70</f>
        <v>10000</v>
      </c>
      <c r="Q31" s="1318">
        <f>+'2.sz.függ.PMH bev-kiad'!V70</f>
        <v>0</v>
      </c>
      <c r="R31" s="1318">
        <f>+'2.sz.függ.PMH bev-kiad'!W70</f>
        <v>276800</v>
      </c>
      <c r="S31" s="1342">
        <f>+'2.sz.függ.PMH bev-kiad'!X70</f>
        <v>59590411</v>
      </c>
    </row>
    <row r="32" spans="1:19" ht="24.75" customHeight="1" x14ac:dyDescent="0.2">
      <c r="A32" s="1319" t="s">
        <v>190</v>
      </c>
      <c r="B32" s="1320" t="s">
        <v>23</v>
      </c>
      <c r="C32" s="1318">
        <f>+'7.sz.függ.Bölcsőde'!H59</f>
        <v>7200000</v>
      </c>
      <c r="D32" s="1318">
        <f>+'7.sz.függ.Bölcsőde'!I59</f>
        <v>936000</v>
      </c>
      <c r="E32" s="1318">
        <f>+'7.sz.függ.Bölcsőde'!J59</f>
        <v>9612042</v>
      </c>
      <c r="F32" s="1318">
        <f>+'7.sz.függ.Bölcsőde'!K59</f>
        <v>0</v>
      </c>
      <c r="G32" s="1318">
        <f>+'7.sz.függ.Bölcsőde'!L59</f>
        <v>8466568</v>
      </c>
      <c r="H32" s="1318">
        <f>+'7.sz.függ.Bölcsőde'!M59</f>
        <v>154635</v>
      </c>
      <c r="I32" s="1318">
        <f>+'7.sz.függ.Bölcsőde'!N59</f>
        <v>0</v>
      </c>
      <c r="J32" s="1318">
        <f>+'7.sz.függ.Bölcsőde'!O59</f>
        <v>0</v>
      </c>
      <c r="K32" s="1342">
        <f>+'7.sz.függ.Bölcsőde'!P59</f>
        <v>0</v>
      </c>
      <c r="L32" s="1340">
        <f>+'7.sz.függ.Bölcsőde'!Q59</f>
        <v>0</v>
      </c>
      <c r="M32" s="1318">
        <f>+'7.sz.függ.Bölcsőde'!R59</f>
        <v>0</v>
      </c>
      <c r="N32" s="1318">
        <f>+'7.sz.függ.Bölcsőde'!S59</f>
        <v>0</v>
      </c>
      <c r="O32" s="1318">
        <f>+'7.sz.függ.Bölcsőde'!T59</f>
        <v>1761942</v>
      </c>
      <c r="P32" s="1318">
        <f>+'7.sz.függ.Bölcsőde'!U59</f>
        <v>0</v>
      </c>
      <c r="Q32" s="1318">
        <f>+'7.sz.függ.Bölcsőde'!V59</f>
        <v>0</v>
      </c>
      <c r="R32" s="1318">
        <f>+'7.sz.függ.Bölcsőde'!W59</f>
        <v>0</v>
      </c>
      <c r="S32" s="1342">
        <f>+'7.sz.függ.Bölcsőde'!X59</f>
        <v>24607303</v>
      </c>
    </row>
    <row r="33" spans="1:19" ht="24.75" customHeight="1" x14ac:dyDescent="0.2">
      <c r="A33" s="1319" t="s">
        <v>191</v>
      </c>
      <c r="B33" s="1320" t="s">
        <v>88</v>
      </c>
      <c r="C33" s="1318">
        <f>+'6.sz.függ.Mese Ó.'!H70</f>
        <v>11733120</v>
      </c>
      <c r="D33" s="1318">
        <f>+'6.sz.függ.Mese Ó.'!I70</f>
        <v>1525306</v>
      </c>
      <c r="E33" s="1318">
        <f>+'6.sz.függ.Mese Ó.'!J70</f>
        <v>11080078</v>
      </c>
      <c r="F33" s="1318">
        <f>+'6.sz.függ.Mese Ó.'!K70</f>
        <v>0</v>
      </c>
      <c r="G33" s="1318">
        <f>+'6.sz.függ.Mese Ó.'!L70</f>
        <v>5361669</v>
      </c>
      <c r="H33" s="1318">
        <f>+'6.sz.függ.Mese Ó.'!M70</f>
        <v>1072535</v>
      </c>
      <c r="I33" s="1318">
        <f>+'6.sz.függ.Mese Ó.'!N70</f>
        <v>0</v>
      </c>
      <c r="J33" s="1318">
        <f>+'6.sz.függ.Mese Ó.'!O70</f>
        <v>0</v>
      </c>
      <c r="K33" s="1342">
        <f>+'6.sz.függ.Mese Ó.'!P70</f>
        <v>0</v>
      </c>
      <c r="L33" s="1340">
        <f>+'6.sz.függ.Mese Ó.'!Q70</f>
        <v>350000</v>
      </c>
      <c r="M33" s="1318">
        <f>+'6.sz.függ.Mese Ó.'!R70</f>
        <v>0</v>
      </c>
      <c r="N33" s="1318">
        <f>+'6.sz.függ.Mese Ó.'!S70</f>
        <v>0</v>
      </c>
      <c r="O33" s="1318">
        <f>+'6.sz.függ.Mese Ó.'!T70</f>
        <v>959742</v>
      </c>
      <c r="P33" s="1318">
        <f>+'6.sz.függ.Mese Ó.'!U70</f>
        <v>0</v>
      </c>
      <c r="Q33" s="1318">
        <f>+'6.sz.függ.Mese Ó.'!V70</f>
        <v>0</v>
      </c>
      <c r="R33" s="1318">
        <f>+'6.sz.függ.Mese Ó.'!W70</f>
        <v>0</v>
      </c>
      <c r="S33" s="1342">
        <f>+'6.sz.függ.Mese Ó.'!X70</f>
        <v>29462966</v>
      </c>
    </row>
    <row r="34" spans="1:19" ht="24.75" customHeight="1" x14ac:dyDescent="0.2">
      <c r="A34" s="1319" t="s">
        <v>192</v>
      </c>
      <c r="B34" s="1320" t="s">
        <v>24</v>
      </c>
      <c r="C34" s="1318">
        <f>+'5.sz.függ.Hétszínvirág Ó.'!H57</f>
        <v>8208120</v>
      </c>
      <c r="D34" s="1318">
        <f>+'5.sz.függ.Hétszínvirág Ó.'!I57</f>
        <v>1067056</v>
      </c>
      <c r="E34" s="1318">
        <f>+'5.sz.függ.Hétszínvirág Ó.'!J57</f>
        <v>7389299</v>
      </c>
      <c r="F34" s="1318">
        <f>+'5.sz.függ.Hétszínvirág Ó.'!K57</f>
        <v>0</v>
      </c>
      <c r="G34" s="1318">
        <f>+'5.sz.függ.Hétszínvirág Ó.'!L57</f>
        <v>11074052</v>
      </c>
      <c r="H34" s="1318">
        <f>+'5.sz.függ.Hétszínvirág Ó.'!M57</f>
        <v>2248306</v>
      </c>
      <c r="I34" s="1318">
        <f>+'5.sz.függ.Hétszínvirág Ó.'!N57</f>
        <v>0</v>
      </c>
      <c r="J34" s="1318">
        <f>+'5.sz.függ.Hétszínvirág Ó.'!O57</f>
        <v>0</v>
      </c>
      <c r="K34" s="1342">
        <f>+'5.sz.függ.Hétszínvirág Ó.'!P57</f>
        <v>0</v>
      </c>
      <c r="L34" s="1340">
        <f>+'5.sz.függ.Hétszínvirág Ó.'!Q57</f>
        <v>350000</v>
      </c>
      <c r="M34" s="1318">
        <f>+'5.sz.függ.Hétszínvirág Ó.'!R57</f>
        <v>0</v>
      </c>
      <c r="N34" s="1318">
        <f>+'5.sz.függ.Hétszínvirág Ó.'!S57</f>
        <v>0</v>
      </c>
      <c r="O34" s="1318">
        <f>+'5.sz.függ.Hétszínvirág Ó.'!T57</f>
        <v>220000</v>
      </c>
      <c r="P34" s="1318">
        <f>+'5.sz.függ.Hétszínvirág Ó.'!U57</f>
        <v>0</v>
      </c>
      <c r="Q34" s="1318">
        <f>+'5.sz.függ.Hétszínvirág Ó.'!V57</f>
        <v>0</v>
      </c>
      <c r="R34" s="1318">
        <f>+'5.sz.függ.Hétszínvirág Ó.'!W57</f>
        <v>0</v>
      </c>
      <c r="S34" s="1342">
        <f>+'5.sz.függ.Hétszínvirág Ó.'!X57</f>
        <v>29416833</v>
      </c>
    </row>
    <row r="35" spans="1:19" ht="24.75" customHeight="1" x14ac:dyDescent="0.2">
      <c r="A35" s="1319" t="s">
        <v>193</v>
      </c>
      <c r="B35" s="1320" t="s">
        <v>600</v>
      </c>
      <c r="C35" s="1318">
        <f>+'9.sz.függ.Szivárvány Ó.'!H53</f>
        <v>8241240</v>
      </c>
      <c r="D35" s="1318">
        <f>+'9.sz.függ.Szivárvány Ó.'!I53</f>
        <v>1071362</v>
      </c>
      <c r="E35" s="1318">
        <f>+'9.sz.függ.Szivárvány Ó.'!J53</f>
        <v>8027774</v>
      </c>
      <c r="F35" s="1318">
        <f>+'9.sz.függ.Szivárvány Ó.'!K53</f>
        <v>0</v>
      </c>
      <c r="G35" s="1318">
        <f>+'9.sz.függ.Szivárvány Ó.'!L53</f>
        <v>10764541</v>
      </c>
      <c r="H35" s="1318">
        <f>+'9.sz.függ.Szivárvány Ó.'!M53</f>
        <v>823851</v>
      </c>
      <c r="I35" s="1318">
        <f>+'9.sz.függ.Szivárvány Ó.'!N53</f>
        <v>0</v>
      </c>
      <c r="J35" s="1318">
        <f>+'9.sz.függ.Szivárvány Ó.'!O53</f>
        <v>0</v>
      </c>
      <c r="K35" s="1342">
        <f>+'9.sz.függ.Szivárvány Ó.'!P53</f>
        <v>0</v>
      </c>
      <c r="L35" s="1340">
        <f>+'9.sz.függ.Szivárvány Ó.'!Q53</f>
        <v>100000</v>
      </c>
      <c r="M35" s="1318">
        <f>+'9.sz.függ.Szivárvány Ó.'!R53</f>
        <v>0</v>
      </c>
      <c r="N35" s="1318">
        <f>+'9.sz.függ.Szivárvány Ó.'!S53</f>
        <v>0</v>
      </c>
      <c r="O35" s="1318">
        <f>+'9.sz.függ.Szivárvány Ó.'!T53</f>
        <v>18192</v>
      </c>
      <c r="P35" s="1318">
        <f>+'9.sz.függ.Szivárvány Ó.'!U53</f>
        <v>0</v>
      </c>
      <c r="Q35" s="1318">
        <f>+'9.sz.függ.Szivárvány Ó.'!V53</f>
        <v>0</v>
      </c>
      <c r="R35" s="1318">
        <f>+'9.sz.függ.Szivárvány Ó.'!W53</f>
        <v>0</v>
      </c>
      <c r="S35" s="1342">
        <f>+'9.sz.függ.Szivárvány Ó.'!X53</f>
        <v>28810576</v>
      </c>
    </row>
    <row r="36" spans="1:19" ht="25.5" customHeight="1" x14ac:dyDescent="0.2">
      <c r="A36" s="1319" t="s">
        <v>194</v>
      </c>
      <c r="B36" s="1320" t="s">
        <v>25</v>
      </c>
      <c r="C36" s="1318">
        <f>+'3.sz.függ.Ter.Gond'!H152</f>
        <v>4950000</v>
      </c>
      <c r="D36" s="1318">
        <f>+'3.sz.függ.Ter.Gond'!I152</f>
        <v>643500</v>
      </c>
      <c r="E36" s="1318">
        <f>+'3.sz.függ.Ter.Gond'!J152</f>
        <v>61040157</v>
      </c>
      <c r="F36" s="1318">
        <f>+'3.sz.függ.Ter.Gond'!K152</f>
        <v>0</v>
      </c>
      <c r="G36" s="1318">
        <f>+'3.sz.függ.Ter.Gond'!L152</f>
        <v>41070640</v>
      </c>
      <c r="H36" s="1318">
        <f>+'3.sz.függ.Ter.Gond'!M152</f>
        <v>508000</v>
      </c>
      <c r="I36" s="1318">
        <f>+'3.sz.függ.Ter.Gond'!N152</f>
        <v>0</v>
      </c>
      <c r="J36" s="1318">
        <f>+'3.sz.függ.Ter.Gond'!O152</f>
        <v>0</v>
      </c>
      <c r="K36" s="1342">
        <f>+'3.sz.függ.Ter.Gond'!P152</f>
        <v>0</v>
      </c>
      <c r="L36" s="1340">
        <f>+'3.sz.függ.Ter.Gond'!Q152</f>
        <v>6000000</v>
      </c>
      <c r="M36" s="1318">
        <f>+'3.sz.függ.Ter.Gond'!R152</f>
        <v>0</v>
      </c>
      <c r="N36" s="1318">
        <f>+'3.sz.függ.Ter.Gond'!S152</f>
        <v>0</v>
      </c>
      <c r="O36" s="1318">
        <f>+'3.sz.függ.Ter.Gond'!T152</f>
        <v>42761262</v>
      </c>
      <c r="P36" s="1318">
        <f>+'3.sz.függ.Ter.Gond'!U152</f>
        <v>0</v>
      </c>
      <c r="Q36" s="1318">
        <f>+'3.sz.függ.Ter.Gond'!V152</f>
        <v>0</v>
      </c>
      <c r="R36" s="1318">
        <f>+'3.sz.függ.Ter.Gond'!W152</f>
        <v>0</v>
      </c>
      <c r="S36" s="1342">
        <f>+'3.sz.függ.Ter.Gond'!X152</f>
        <v>59451035</v>
      </c>
    </row>
    <row r="37" spans="1:19" ht="27" customHeight="1" x14ac:dyDescent="0.2">
      <c r="A37" s="1319" t="s">
        <v>195</v>
      </c>
      <c r="B37" s="1320" t="s">
        <v>1810</v>
      </c>
      <c r="C37" s="1318">
        <f>+'8.sz.függ.Gyermekjóléti'!H40</f>
        <v>3896970</v>
      </c>
      <c r="D37" s="1318">
        <f>+'8.sz.függ.Gyermekjóléti'!I40</f>
        <v>459030</v>
      </c>
      <c r="E37" s="1318">
        <f>+'8.sz.függ.Gyermekjóléti'!J40</f>
        <v>6152066</v>
      </c>
      <c r="F37" s="1318">
        <f>+'8.sz.függ.Gyermekjóléti'!K40</f>
        <v>0</v>
      </c>
      <c r="G37" s="1318">
        <f>+'8.sz.függ.Gyermekjóléti'!L40</f>
        <v>4801934</v>
      </c>
      <c r="H37" s="1318">
        <f>+'8.sz.függ.Gyermekjóléti'!M40</f>
        <v>0</v>
      </c>
      <c r="I37" s="1318">
        <f>+'8.sz.függ.Gyermekjóléti'!N40</f>
        <v>0</v>
      </c>
      <c r="J37" s="1318">
        <f>+'8.sz.függ.Gyermekjóléti'!O40</f>
        <v>0</v>
      </c>
      <c r="K37" s="1342">
        <f>+'8.sz.függ.Gyermekjóléti'!P40</f>
        <v>0</v>
      </c>
      <c r="L37" s="1340">
        <f>+'8.sz.függ.Gyermekjóléti'!Q40</f>
        <v>0</v>
      </c>
      <c r="M37" s="1318">
        <f>+'8.sz.függ.Gyermekjóléti'!R40</f>
        <v>0</v>
      </c>
      <c r="N37" s="1318">
        <f>+'8.sz.függ.Gyermekjóléti'!S40</f>
        <v>0</v>
      </c>
      <c r="O37" s="1318">
        <f>+'8.sz.függ.Gyermekjóléti'!T40</f>
        <v>5954106</v>
      </c>
      <c r="P37" s="1318">
        <f>+'8.sz.függ.Gyermekjóléti'!U40</f>
        <v>0</v>
      </c>
      <c r="Q37" s="1318">
        <f>+'8.sz.függ.Gyermekjóléti'!V40</f>
        <v>0</v>
      </c>
      <c r="R37" s="1318">
        <f>+'8.sz.függ.Gyermekjóléti'!W40</f>
        <v>0</v>
      </c>
      <c r="S37" s="1342">
        <f>+'8.sz.függ.Gyermekjóléti'!X40</f>
        <v>9355894</v>
      </c>
    </row>
    <row r="38" spans="1:19" ht="24.75" customHeight="1" x14ac:dyDescent="0.2">
      <c r="A38" s="1319" t="s">
        <v>196</v>
      </c>
      <c r="B38" s="1321" t="s">
        <v>612</v>
      </c>
      <c r="C38" s="1318">
        <f>+'4.sz.függ.Könyvtár'!H34</f>
        <v>1200000</v>
      </c>
      <c r="D38" s="1318">
        <f>+'4.sz.függ.Könyvtár'!I34</f>
        <v>156000</v>
      </c>
      <c r="E38" s="1318">
        <f>+'4.sz.függ.Könyvtár'!J34</f>
        <v>1574225</v>
      </c>
      <c r="F38" s="1318">
        <f>+'4.sz.függ.Könyvtár'!K34</f>
        <v>0</v>
      </c>
      <c r="G38" s="1318">
        <f>+'4.sz.függ.Könyvtár'!L34</f>
        <v>4638105</v>
      </c>
      <c r="H38" s="1318">
        <f>+'4.sz.függ.Könyvtár'!M34</f>
        <v>0</v>
      </c>
      <c r="I38" s="1318">
        <f>+'4.sz.függ.Könyvtár'!N34</f>
        <v>0</v>
      </c>
      <c r="J38" s="1318">
        <f>+'4.sz.függ.Könyvtár'!O34</f>
        <v>0</v>
      </c>
      <c r="K38" s="1342">
        <f>+'4.sz.függ.Könyvtár'!P34</f>
        <v>0</v>
      </c>
      <c r="L38" s="1340">
        <f>+'4.sz.függ.Könyvtár'!Q34</f>
        <v>20000</v>
      </c>
      <c r="M38" s="1318">
        <f>+'4.sz.függ.Könyvtár'!R34</f>
        <v>0</v>
      </c>
      <c r="N38" s="1318">
        <f>+'4.sz.függ.Könyvtár'!S34</f>
        <v>0</v>
      </c>
      <c r="O38" s="1318">
        <f>+'4.sz.függ.Könyvtár'!T34</f>
        <v>1454225</v>
      </c>
      <c r="P38" s="1318">
        <f>+'4.sz.függ.Könyvtár'!U34</f>
        <v>0</v>
      </c>
      <c r="Q38" s="1318">
        <f>+'4.sz.függ.Könyvtár'!V34</f>
        <v>0</v>
      </c>
      <c r="R38" s="1318">
        <f>+'4.sz.függ.Könyvtár'!W34</f>
        <v>0</v>
      </c>
      <c r="S38" s="1342">
        <f>+'4.sz.függ.Könyvtár'!X34</f>
        <v>6094105</v>
      </c>
    </row>
    <row r="39" spans="1:19" ht="28.5" customHeight="1" x14ac:dyDescent="0.2">
      <c r="A39" s="1319" t="s">
        <v>197</v>
      </c>
      <c r="B39" s="1677" t="s">
        <v>601</v>
      </c>
      <c r="C39" s="1318">
        <f>+'10.sz.függ.József A. MűvHáz'!H41</f>
        <v>1800000</v>
      </c>
      <c r="D39" s="1318">
        <f>+'10.sz.függ.József A. MűvHáz'!I41</f>
        <v>234000</v>
      </c>
      <c r="E39" s="1318">
        <f>+'10.sz.függ.József A. MűvHáz'!J41</f>
        <v>3963531</v>
      </c>
      <c r="F39" s="1318">
        <f>+'10.sz.függ.József A. MűvHáz'!K41</f>
        <v>0</v>
      </c>
      <c r="G39" s="1318">
        <f>+'10.sz.függ.József A. MűvHáz'!L41</f>
        <v>7115209</v>
      </c>
      <c r="H39" s="1318">
        <f>+'10.sz.függ.József A. MűvHáz'!M41</f>
        <v>0</v>
      </c>
      <c r="I39" s="1318">
        <f>+'10.sz.függ.József A. MűvHáz'!N41</f>
        <v>0</v>
      </c>
      <c r="J39" s="1318">
        <f>+'10.sz.függ.József A. MűvHáz'!O41</f>
        <v>0</v>
      </c>
      <c r="K39" s="1342">
        <f>+'10.sz.függ.József A. MűvHáz'!P41</f>
        <v>0</v>
      </c>
      <c r="L39" s="1340">
        <f>+'10.sz.függ.József A. MűvHáz'!Q41</f>
        <v>0</v>
      </c>
      <c r="M39" s="1318">
        <f>+'10.sz.függ.József A. MűvHáz'!R41</f>
        <v>0</v>
      </c>
      <c r="N39" s="1318">
        <f>+'10.sz.függ.József A. MűvHáz'!S41</f>
        <v>0</v>
      </c>
      <c r="O39" s="1318">
        <f>+'10.sz.függ.József A. MűvHáz'!T41</f>
        <v>3963531</v>
      </c>
      <c r="P39" s="1318">
        <f>+'10.sz.függ.József A. MűvHáz'!U41</f>
        <v>0</v>
      </c>
      <c r="Q39" s="1318">
        <f>+'10.sz.függ.József A. MűvHáz'!V41</f>
        <v>0</v>
      </c>
      <c r="R39" s="1318">
        <f>+'10.sz.függ.József A. MűvHáz'!W41</f>
        <v>0</v>
      </c>
      <c r="S39" s="1342">
        <f>+'10.sz.függ.József A. MűvHáz'!X41</f>
        <v>9149209</v>
      </c>
    </row>
    <row r="40" spans="1:19" ht="21.75" customHeight="1" x14ac:dyDescent="0.2">
      <c r="A40" s="2189" t="s">
        <v>1184</v>
      </c>
      <c r="B40" s="2190"/>
      <c r="C40" s="1322">
        <f t="shared" ref="C40:S40" si="1">SUM(C30:C39)</f>
        <v>114907333</v>
      </c>
      <c r="D40" s="1322">
        <f t="shared" si="1"/>
        <v>14827799</v>
      </c>
      <c r="E40" s="1322">
        <f t="shared" si="1"/>
        <v>599914284</v>
      </c>
      <c r="F40" s="1322">
        <f t="shared" si="1"/>
        <v>0</v>
      </c>
      <c r="G40" s="1322">
        <f t="shared" si="1"/>
        <v>-107576325</v>
      </c>
      <c r="H40" s="1322">
        <f t="shared" si="1"/>
        <v>587612149</v>
      </c>
      <c r="I40" s="1322">
        <f t="shared" si="1"/>
        <v>145244206</v>
      </c>
      <c r="J40" s="1322">
        <f t="shared" si="1"/>
        <v>9225550</v>
      </c>
      <c r="K40" s="1323">
        <f t="shared" si="1"/>
        <v>335818934</v>
      </c>
      <c r="L40" s="1324">
        <f t="shared" si="1"/>
        <v>302360831</v>
      </c>
      <c r="M40" s="1322">
        <f t="shared" si="1"/>
        <v>314960630</v>
      </c>
      <c r="N40" s="1322">
        <f t="shared" si="1"/>
        <v>22035282</v>
      </c>
      <c r="O40" s="1322">
        <f t="shared" si="1"/>
        <v>158537161</v>
      </c>
      <c r="P40" s="1322">
        <f t="shared" si="1"/>
        <v>710000</v>
      </c>
      <c r="Q40" s="1322">
        <f t="shared" si="1"/>
        <v>0</v>
      </c>
      <c r="R40" s="1322">
        <f t="shared" si="1"/>
        <v>1245550</v>
      </c>
      <c r="S40" s="1323">
        <f t="shared" si="1"/>
        <v>900124476</v>
      </c>
    </row>
    <row r="41" spans="1:19" ht="15" x14ac:dyDescent="0.25">
      <c r="A41" s="1192"/>
      <c r="B41" s="1192"/>
      <c r="C41" s="1193"/>
      <c r="D41" s="1193"/>
      <c r="E41" s="1193"/>
      <c r="F41" s="1193"/>
      <c r="G41" s="1193"/>
      <c r="H41" s="1193"/>
      <c r="I41" s="1193"/>
      <c r="J41" s="1193"/>
      <c r="K41" s="1193"/>
      <c r="L41" s="1193"/>
      <c r="M41" s="1193"/>
      <c r="N41" s="1193"/>
      <c r="O41" s="1193"/>
      <c r="P41" s="1193"/>
      <c r="Q41" s="1193"/>
      <c r="R41" s="1193"/>
      <c r="S41" s="1193"/>
    </row>
    <row r="42" spans="1:19" ht="15" x14ac:dyDescent="0.25">
      <c r="A42" s="1192"/>
      <c r="B42" s="1192"/>
      <c r="C42" s="1192"/>
      <c r="D42" s="1192"/>
      <c r="E42" s="1192"/>
      <c r="F42" s="1192"/>
      <c r="G42" s="1192"/>
      <c r="H42" s="1192"/>
      <c r="I42" s="1192"/>
      <c r="J42" s="1192"/>
      <c r="K42" s="1192"/>
      <c r="L42" s="1192"/>
      <c r="M42" s="1192"/>
      <c r="N42" s="1192"/>
      <c r="O42" s="1192"/>
      <c r="P42" s="1192"/>
      <c r="Q42" s="1192"/>
      <c r="R42" s="1192"/>
      <c r="S42" s="1192"/>
    </row>
    <row r="43" spans="1:19" ht="21.75" customHeight="1" x14ac:dyDescent="0.25">
      <c r="A43" s="1192"/>
      <c r="B43" s="1192"/>
      <c r="C43" s="1192"/>
      <c r="D43" s="2066" t="s">
        <v>1750</v>
      </c>
      <c r="E43" s="2066"/>
      <c r="F43" s="2066"/>
      <c r="G43" s="2066">
        <v>15711564705</v>
      </c>
      <c r="H43" s="2066"/>
      <c r="I43" s="1192"/>
      <c r="J43" s="1192"/>
      <c r="K43" s="1192"/>
      <c r="L43" s="1192"/>
      <c r="M43" s="2066" t="s">
        <v>1751</v>
      </c>
      <c r="N43" s="2066"/>
      <c r="O43" s="2066"/>
      <c r="P43" s="2066">
        <v>15711564705</v>
      </c>
      <c r="Q43" s="2066"/>
      <c r="R43" s="1192"/>
      <c r="S43" s="1192"/>
    </row>
    <row r="44" spans="1:19" ht="21" customHeight="1" x14ac:dyDescent="0.25">
      <c r="A44" s="1192"/>
      <c r="B44" s="1192"/>
      <c r="C44" s="1192"/>
      <c r="D44" s="2066" t="s">
        <v>3474</v>
      </c>
      <c r="E44" s="2066"/>
      <c r="F44" s="2066"/>
      <c r="G44" s="2066">
        <f>SUM(C40:K40)</f>
        <v>1699973930</v>
      </c>
      <c r="H44" s="2066"/>
      <c r="I44" s="1193"/>
      <c r="J44" s="1192"/>
      <c r="K44" s="1192"/>
      <c r="L44" s="1192"/>
      <c r="M44" s="2066" t="s">
        <v>3474</v>
      </c>
      <c r="N44" s="2066"/>
      <c r="O44" s="2066"/>
      <c r="P44" s="2066">
        <f>SUM(L40:S40)</f>
        <v>1699973930</v>
      </c>
      <c r="Q44" s="2066"/>
      <c r="R44" s="1192"/>
      <c r="S44" s="1192"/>
    </row>
    <row r="45" spans="1:19" ht="22.5" customHeight="1" x14ac:dyDescent="0.25">
      <c r="A45" s="1192"/>
      <c r="B45" s="1192"/>
      <c r="C45" s="1192"/>
      <c r="D45" s="2066" t="s">
        <v>1561</v>
      </c>
      <c r="E45" s="2066"/>
      <c r="F45" s="2066"/>
      <c r="G45" s="2066">
        <f>+G43+G44</f>
        <v>17411538635</v>
      </c>
      <c r="H45" s="2066"/>
      <c r="I45" s="1192"/>
      <c r="J45" s="1192"/>
      <c r="K45" s="1192"/>
      <c r="L45" s="1192"/>
      <c r="M45" s="2066" t="s">
        <v>1561</v>
      </c>
      <c r="N45" s="2066"/>
      <c r="O45" s="2066"/>
      <c r="P45" s="2066">
        <f>+P43+P44</f>
        <v>17411538635</v>
      </c>
      <c r="Q45" s="2066"/>
      <c r="R45" s="1192"/>
      <c r="S45" s="1192"/>
    </row>
    <row r="46" spans="1:19" x14ac:dyDescent="0.2">
      <c r="A46" s="348"/>
      <c r="B46" s="348"/>
      <c r="C46" s="348"/>
      <c r="D46" s="348"/>
      <c r="E46" s="348"/>
      <c r="F46" s="348"/>
      <c r="G46" s="348"/>
      <c r="H46" s="348"/>
      <c r="I46" s="348"/>
      <c r="J46" s="348"/>
      <c r="K46" s="348"/>
      <c r="L46" s="348"/>
      <c r="M46" s="348"/>
      <c r="N46" s="348"/>
      <c r="O46" s="348"/>
      <c r="P46" s="348"/>
      <c r="Q46" s="348"/>
      <c r="R46" s="348"/>
      <c r="S46" s="348"/>
    </row>
    <row r="47" spans="1:19" x14ac:dyDescent="0.2">
      <c r="A47" s="348"/>
      <c r="B47" s="348"/>
      <c r="C47" s="348"/>
      <c r="D47" s="348"/>
      <c r="E47" s="348"/>
      <c r="F47" s="348"/>
      <c r="G47" s="348"/>
      <c r="H47" s="348"/>
      <c r="I47" s="348"/>
      <c r="J47" s="348"/>
      <c r="K47" s="348"/>
      <c r="L47" s="348"/>
      <c r="M47" s="348"/>
      <c r="N47" s="348"/>
      <c r="O47" s="348"/>
      <c r="P47" s="348"/>
      <c r="Q47" s="348"/>
      <c r="R47" s="348"/>
      <c r="S47" s="348"/>
    </row>
    <row r="48" spans="1:19" x14ac:dyDescent="0.2">
      <c r="A48" s="348"/>
      <c r="B48" s="348"/>
      <c r="C48" s="348"/>
      <c r="D48" s="348"/>
      <c r="E48" s="348"/>
      <c r="F48" s="348"/>
      <c r="G48" s="348"/>
      <c r="H48" s="348"/>
      <c r="I48" s="348"/>
      <c r="J48" s="348"/>
      <c r="K48" s="348"/>
      <c r="L48" s="348"/>
      <c r="M48" s="348"/>
      <c r="N48" s="348"/>
      <c r="O48" s="348"/>
      <c r="P48" s="348"/>
      <c r="Q48" s="348"/>
      <c r="R48" s="348"/>
      <c r="S48" s="348"/>
    </row>
    <row r="49" spans="1:19" ht="15.75" x14ac:dyDescent="0.25">
      <c r="A49" s="2069" t="s">
        <v>2824</v>
      </c>
      <c r="B49" s="2069"/>
      <c r="C49" s="2069"/>
      <c r="D49" s="2069"/>
      <c r="E49" s="2069"/>
      <c r="F49" s="2069"/>
      <c r="G49" s="2069"/>
      <c r="H49" s="2069"/>
      <c r="I49" s="2069"/>
      <c r="J49" s="2069"/>
      <c r="K49" s="2069"/>
      <c r="L49" s="2069"/>
      <c r="M49" s="2069"/>
      <c r="N49" s="2069"/>
      <c r="O49" s="2069"/>
      <c r="P49" s="2069"/>
      <c r="Q49" s="2069"/>
      <c r="R49" s="2069"/>
      <c r="S49" s="2069"/>
    </row>
    <row r="50" spans="1:19" ht="9.75" customHeight="1" x14ac:dyDescent="0.25">
      <c r="A50" s="1300"/>
      <c r="B50" s="1300"/>
      <c r="C50" s="1300"/>
      <c r="D50" s="1300"/>
      <c r="E50" s="1300"/>
      <c r="F50" s="1300"/>
      <c r="G50" s="1300"/>
      <c r="H50" s="1300"/>
      <c r="I50" s="1300"/>
      <c r="J50" s="1300"/>
      <c r="K50" s="1300"/>
      <c r="L50" s="1300"/>
      <c r="M50" s="1300"/>
      <c r="N50" s="1300"/>
      <c r="O50" s="1300"/>
      <c r="P50" s="1300"/>
      <c r="Q50" s="1300"/>
      <c r="R50" s="1300"/>
      <c r="S50" s="1300"/>
    </row>
    <row r="51" spans="1:19" ht="20.25" customHeight="1" x14ac:dyDescent="0.25">
      <c r="A51" s="2191" t="s">
        <v>1803</v>
      </c>
      <c r="B51" s="2191"/>
      <c r="C51" s="2191"/>
      <c r="D51" s="2191"/>
      <c r="E51" s="2191"/>
      <c r="F51" s="2191"/>
      <c r="G51" s="2191"/>
      <c r="H51" s="2191"/>
      <c r="I51" s="2191"/>
      <c r="J51" s="2191"/>
      <c r="K51" s="2191"/>
      <c r="L51" s="2191"/>
      <c r="M51" s="2191"/>
      <c r="N51" s="2191"/>
      <c r="O51" s="2191"/>
      <c r="P51" s="2191"/>
      <c r="Q51" s="2191"/>
      <c r="R51" s="2191"/>
      <c r="S51" s="2191"/>
    </row>
    <row r="52" spans="1:19" ht="15" x14ac:dyDescent="0.25">
      <c r="A52" s="1192"/>
      <c r="B52" s="1192"/>
      <c r="C52" s="1192"/>
      <c r="D52" s="1192"/>
      <c r="E52" s="1192"/>
      <c r="F52" s="1192"/>
      <c r="G52" s="1192"/>
      <c r="H52" s="1192"/>
      <c r="I52" s="1192"/>
      <c r="J52" s="1192"/>
      <c r="K52" s="1192"/>
      <c r="L52" s="1301"/>
      <c r="M52" s="1192"/>
      <c r="N52" s="1192"/>
      <c r="O52" s="1192"/>
      <c r="P52" s="1192"/>
      <c r="Q52" s="1192"/>
      <c r="R52" s="1192"/>
      <c r="S52" s="1338" t="s">
        <v>431</v>
      </c>
    </row>
    <row r="53" spans="1:19" ht="15" x14ac:dyDescent="0.2">
      <c r="A53" s="2192" t="s">
        <v>37</v>
      </c>
      <c r="B53" s="2194" t="s">
        <v>137</v>
      </c>
      <c r="C53" s="2196" t="s">
        <v>1730</v>
      </c>
      <c r="D53" s="2196"/>
      <c r="E53" s="2196"/>
      <c r="F53" s="2196"/>
      <c r="G53" s="2196"/>
      <c r="H53" s="2196"/>
      <c r="I53" s="2196"/>
      <c r="J53" s="2197"/>
      <c r="K53" s="1341"/>
      <c r="L53" s="2198" t="s">
        <v>1731</v>
      </c>
      <c r="M53" s="2196"/>
      <c r="N53" s="2196"/>
      <c r="O53" s="2196"/>
      <c r="P53" s="2196"/>
      <c r="Q53" s="2196"/>
      <c r="R53" s="2196"/>
      <c r="S53" s="2199"/>
    </row>
    <row r="54" spans="1:19" ht="78" customHeight="1" x14ac:dyDescent="0.2">
      <c r="A54" s="2193"/>
      <c r="B54" s="2195"/>
      <c r="C54" s="1314" t="s">
        <v>2388</v>
      </c>
      <c r="D54" s="1314" t="s">
        <v>1804</v>
      </c>
      <c r="E54" s="1314" t="s">
        <v>1797</v>
      </c>
      <c r="F54" s="1314" t="s">
        <v>1805</v>
      </c>
      <c r="G54" s="1314" t="s">
        <v>1806</v>
      </c>
      <c r="H54" s="1315" t="s">
        <v>1756</v>
      </c>
      <c r="I54" s="1314" t="s">
        <v>1807</v>
      </c>
      <c r="J54" s="1316" t="s">
        <v>1739</v>
      </c>
      <c r="K54" s="1317" t="s">
        <v>1740</v>
      </c>
      <c r="L54" s="1339" t="s">
        <v>1741</v>
      </c>
      <c r="M54" s="1315" t="s">
        <v>1742</v>
      </c>
      <c r="N54" s="1314" t="s">
        <v>1800</v>
      </c>
      <c r="O54" s="1314" t="s">
        <v>1808</v>
      </c>
      <c r="P54" s="1315" t="s">
        <v>1745</v>
      </c>
      <c r="Q54" s="1315" t="s">
        <v>1746</v>
      </c>
      <c r="R54" s="1315" t="s">
        <v>1747</v>
      </c>
      <c r="S54" s="1317" t="s">
        <v>1809</v>
      </c>
    </row>
    <row r="55" spans="1:19" ht="24.75" customHeight="1" x14ac:dyDescent="0.2">
      <c r="A55" s="1675" t="s">
        <v>188</v>
      </c>
      <c r="B55" s="1676" t="s">
        <v>438</v>
      </c>
      <c r="C55" s="1318">
        <f>+'1.sz.függ.Önkormány bev-kiad'!H886</f>
        <v>42727780</v>
      </c>
      <c r="D55" s="1318">
        <f>+'1.sz.függ.Önkormány bev-kiad'!I886</f>
        <v>4863045</v>
      </c>
      <c r="E55" s="1318">
        <f>+'1.sz.függ.Önkormány bev-kiad'!J886</f>
        <v>648056906</v>
      </c>
      <c r="F55" s="1318">
        <f>+'1.sz.függ.Önkormány bev-kiad'!K886</f>
        <v>0</v>
      </c>
      <c r="G55" s="1318">
        <f>+'1.sz.függ.Önkormány bev-kiad'!L886</f>
        <v>1173190149</v>
      </c>
      <c r="H55" s="1318">
        <f>+'1.sz.függ.Önkormány bev-kiad'!M886</f>
        <v>662181607</v>
      </c>
      <c r="I55" s="1318">
        <f>+'1.sz.függ.Önkormány bev-kiad'!N886</f>
        <v>172894594</v>
      </c>
      <c r="J55" s="1318">
        <f>+'1.sz.függ.Önkormány bev-kiad'!O886</f>
        <v>9948750</v>
      </c>
      <c r="K55" s="1342">
        <f>+'1.sz.függ.Önkormány bev-kiad'!P886</f>
        <v>423097199</v>
      </c>
      <c r="L55" s="1340">
        <f>+'1.sz.függ.Önkormány bev-kiad'!Q886</f>
        <v>301014732</v>
      </c>
      <c r="M55" s="1318">
        <f>+'1.sz.függ.Önkormány bev-kiad'!R886</f>
        <v>314960630</v>
      </c>
      <c r="N55" s="1318">
        <f>+'1.sz.függ.Önkormány bev-kiad'!S886</f>
        <v>1571558820</v>
      </c>
      <c r="O55" s="1318">
        <f>+'1.sz.függ.Önkormány bev-kiad'!T886</f>
        <v>266997511</v>
      </c>
      <c r="P55" s="1318">
        <f>+'1.sz.függ.Önkormány bev-kiad'!U886</f>
        <v>720000</v>
      </c>
      <c r="Q55" s="1318">
        <f>+'1.sz.függ.Önkormány bev-kiad'!V886</f>
        <v>0</v>
      </c>
      <c r="R55" s="1318">
        <f>+'1.sz.függ.Önkormány bev-kiad'!W886</f>
        <v>968750</v>
      </c>
      <c r="S55" s="1342">
        <f>+'1.sz.függ.Önkormány bev-kiad'!X886</f>
        <v>680739587</v>
      </c>
    </row>
    <row r="56" spans="1:19" ht="25.5" customHeight="1" x14ac:dyDescent="0.2">
      <c r="A56" s="1319" t="s">
        <v>189</v>
      </c>
      <c r="B56" s="1320" t="s">
        <v>87</v>
      </c>
      <c r="C56" s="1318">
        <f>+'2.sz.függ.PMH bev-kiad'!H108</f>
        <v>38645103</v>
      </c>
      <c r="D56" s="1318">
        <f>+'2.sz.függ.PMH bev-kiad'!I108</f>
        <v>5909500</v>
      </c>
      <c r="E56" s="1318">
        <f>+'2.sz.függ.PMH bev-kiad'!J108</f>
        <v>8141072</v>
      </c>
      <c r="F56" s="1318">
        <f>+'2.sz.függ.PMH bev-kiad'!K108</f>
        <v>0</v>
      </c>
      <c r="G56" s="1318">
        <f>+'2.sz.függ.PMH bev-kiad'!L108</f>
        <v>23805431</v>
      </c>
      <c r="H56" s="1318">
        <f>+'2.sz.függ.PMH bev-kiad'!M108</f>
        <v>7010000</v>
      </c>
      <c r="I56" s="1318">
        <f>+'2.sz.függ.PMH bev-kiad'!N108</f>
        <v>0</v>
      </c>
      <c r="J56" s="1318">
        <f>+'2.sz.függ.PMH bev-kiad'!O108</f>
        <v>2000000</v>
      </c>
      <c r="K56" s="1342">
        <f>+'2.sz.függ.PMH bev-kiad'!P108</f>
        <v>0</v>
      </c>
      <c r="L56" s="1340">
        <f>+'2.sz.függ.PMH bev-kiad'!Q108</f>
        <v>0</v>
      </c>
      <c r="M56" s="1318">
        <f>+'2.sz.függ.PMH bev-kiad'!R108</f>
        <v>0</v>
      </c>
      <c r="N56" s="1318">
        <f>+'2.sz.függ.PMH bev-kiad'!S108</f>
        <v>3023037</v>
      </c>
      <c r="O56" s="1318">
        <f>+'2.sz.függ.PMH bev-kiad'!T108</f>
        <v>5946658</v>
      </c>
      <c r="P56" s="1318">
        <f>+'2.sz.függ.PMH bev-kiad'!U108</f>
        <v>10000</v>
      </c>
      <c r="Q56" s="1318">
        <f>+'2.sz.függ.PMH bev-kiad'!V108</f>
        <v>0</v>
      </c>
      <c r="R56" s="1318">
        <f>+'2.sz.függ.PMH bev-kiad'!W108</f>
        <v>2000000</v>
      </c>
      <c r="S56" s="1342">
        <f>+'2.sz.függ.PMH bev-kiad'!X108</f>
        <v>74531411</v>
      </c>
    </row>
    <row r="57" spans="1:19" ht="24.75" customHeight="1" x14ac:dyDescent="0.2">
      <c r="A57" s="1319" t="s">
        <v>190</v>
      </c>
      <c r="B57" s="1320" t="s">
        <v>23</v>
      </c>
      <c r="C57" s="1318">
        <f>+'7.sz.függ.Bölcsőde'!H91</f>
        <v>11800000</v>
      </c>
      <c r="D57" s="1318">
        <f>+'7.sz.függ.Bölcsőde'!I91</f>
        <v>2224000</v>
      </c>
      <c r="E57" s="1318">
        <f>+'7.sz.függ.Bölcsőde'!J91</f>
        <v>13518347</v>
      </c>
      <c r="F57" s="1318">
        <f>+'7.sz.függ.Bölcsőde'!K91</f>
        <v>0</v>
      </c>
      <c r="G57" s="1318">
        <f>+'7.sz.függ.Bölcsőde'!L91</f>
        <v>8466568</v>
      </c>
      <c r="H57" s="1318">
        <f>+'7.sz.függ.Bölcsőde'!M91</f>
        <v>154635</v>
      </c>
      <c r="I57" s="1318">
        <f>+'7.sz.függ.Bölcsőde'!N91</f>
        <v>0</v>
      </c>
      <c r="J57" s="1318">
        <f>+'7.sz.függ.Bölcsőde'!O91</f>
        <v>0</v>
      </c>
      <c r="K57" s="1342">
        <f>+'7.sz.függ.Bölcsőde'!P91</f>
        <v>0</v>
      </c>
      <c r="L57" s="1340">
        <f>+'7.sz.függ.Bölcsőde'!Q91</f>
        <v>0</v>
      </c>
      <c r="M57" s="1318">
        <f>+'7.sz.függ.Bölcsőde'!R91</f>
        <v>0</v>
      </c>
      <c r="N57" s="1318">
        <f>+'7.sz.függ.Bölcsőde'!S91</f>
        <v>0</v>
      </c>
      <c r="O57" s="1318">
        <f>+'7.sz.függ.Bölcsőde'!T91</f>
        <v>5513942</v>
      </c>
      <c r="P57" s="1318">
        <f>+'7.sz.függ.Bölcsőde'!U91</f>
        <v>0</v>
      </c>
      <c r="Q57" s="1318">
        <f>+'7.sz.függ.Bölcsőde'!V91</f>
        <v>0</v>
      </c>
      <c r="R57" s="1318">
        <f>+'7.sz.függ.Bölcsőde'!W91</f>
        <v>0</v>
      </c>
      <c r="S57" s="1342">
        <f>+'7.sz.függ.Bölcsőde'!X91</f>
        <v>30649608</v>
      </c>
    </row>
    <row r="58" spans="1:19" ht="24.75" customHeight="1" x14ac:dyDescent="0.2">
      <c r="A58" s="1319" t="s">
        <v>191</v>
      </c>
      <c r="B58" s="1320" t="s">
        <v>88</v>
      </c>
      <c r="C58" s="1318">
        <f>+'6.sz.függ.Mese Ó.'!H100</f>
        <v>18783120</v>
      </c>
      <c r="D58" s="1318">
        <f>+'6.sz.függ.Mese Ó.'!I100</f>
        <v>3499306</v>
      </c>
      <c r="E58" s="1318">
        <f>+'6.sz.függ.Mese Ó.'!J100</f>
        <v>12460193</v>
      </c>
      <c r="F58" s="1318">
        <f>+'6.sz.függ.Mese Ó.'!K100</f>
        <v>0</v>
      </c>
      <c r="G58" s="1318">
        <f>+'6.sz.függ.Mese Ó.'!L100</f>
        <v>5361669</v>
      </c>
      <c r="H58" s="1318">
        <f>+'6.sz.függ.Mese Ó.'!M100</f>
        <v>1427335</v>
      </c>
      <c r="I58" s="1318">
        <f>+'6.sz.függ.Mese Ó.'!N100</f>
        <v>0</v>
      </c>
      <c r="J58" s="1318">
        <f>+'6.sz.függ.Mese Ó.'!O100</f>
        <v>0</v>
      </c>
      <c r="K58" s="1342">
        <f>+'6.sz.függ.Mese Ó.'!P100</f>
        <v>0</v>
      </c>
      <c r="L58" s="1340">
        <f>+'6.sz.függ.Mese Ó.'!Q100</f>
        <v>350000</v>
      </c>
      <c r="M58" s="1318">
        <f>+'6.sz.függ.Mese Ó.'!R100</f>
        <v>0</v>
      </c>
      <c r="N58" s="1318">
        <f>+'6.sz.függ.Mese Ó.'!S100</f>
        <v>0</v>
      </c>
      <c r="O58" s="1318">
        <f>+'6.sz.függ.Mese Ó.'!T100</f>
        <v>2484657</v>
      </c>
      <c r="P58" s="1318">
        <f>+'6.sz.függ.Mese Ó.'!U100</f>
        <v>0</v>
      </c>
      <c r="Q58" s="1318">
        <f>+'6.sz.függ.Mese Ó.'!V100</f>
        <v>0</v>
      </c>
      <c r="R58" s="1318">
        <f>+'6.sz.függ.Mese Ó.'!W100</f>
        <v>0</v>
      </c>
      <c r="S58" s="1342">
        <f>+'6.sz.függ.Mese Ó.'!X100</f>
        <v>38696966</v>
      </c>
    </row>
    <row r="59" spans="1:19" ht="24.75" customHeight="1" x14ac:dyDescent="0.2">
      <c r="A59" s="1319" t="s">
        <v>192</v>
      </c>
      <c r="B59" s="1320" t="s">
        <v>24</v>
      </c>
      <c r="C59" s="1318">
        <f>+'5.sz.függ.Hétszínvirág Ó.'!H85</f>
        <v>12608120</v>
      </c>
      <c r="D59" s="1318">
        <f>+'5.sz.függ.Hétszínvirág Ó.'!I85</f>
        <v>2299056</v>
      </c>
      <c r="E59" s="1318">
        <f>+'5.sz.függ.Hétszínvirág Ó.'!J85</f>
        <v>10459087</v>
      </c>
      <c r="F59" s="1318">
        <f>+'5.sz.függ.Hétszínvirág Ó.'!K85</f>
        <v>0</v>
      </c>
      <c r="G59" s="1318">
        <f>+'5.sz.függ.Hétszínvirág Ó.'!L85</f>
        <v>11074052</v>
      </c>
      <c r="H59" s="1318">
        <f>+'5.sz.függ.Hétszínvirág Ó.'!M85</f>
        <v>2248306</v>
      </c>
      <c r="I59" s="1318">
        <f>+'5.sz.függ.Hétszínvirág Ó.'!N85</f>
        <v>0</v>
      </c>
      <c r="J59" s="1318">
        <f>+'5.sz.függ.Hétszínvirág Ó.'!O85</f>
        <v>0</v>
      </c>
      <c r="K59" s="1342">
        <f>+'5.sz.függ.Hétszínvirág Ó.'!P85</f>
        <v>0</v>
      </c>
      <c r="L59" s="1340">
        <f>+'5.sz.függ.Hétszínvirág Ó.'!Q85</f>
        <v>350000</v>
      </c>
      <c r="M59" s="1318">
        <f>+'5.sz.függ.Hétszínvirág Ó.'!R85</f>
        <v>0</v>
      </c>
      <c r="N59" s="1318">
        <f>+'5.sz.függ.Hétszínvirág Ó.'!S85</f>
        <v>0</v>
      </c>
      <c r="O59" s="1318">
        <f>+'5.sz.függ.Hétszínvirág Ó.'!T85</f>
        <v>1704788</v>
      </c>
      <c r="P59" s="1318">
        <f>+'5.sz.függ.Hétszínvirág Ó.'!U85</f>
        <v>0</v>
      </c>
      <c r="Q59" s="1318">
        <f>+'5.sz.függ.Hétszínvirág Ó.'!V85</f>
        <v>1585000</v>
      </c>
      <c r="R59" s="1318">
        <f>+'5.sz.függ.Hétszínvirág Ó.'!W85</f>
        <v>0</v>
      </c>
      <c r="S59" s="1342">
        <f>+'5.sz.függ.Hétszínvirág Ó.'!X85</f>
        <v>35048833</v>
      </c>
    </row>
    <row r="60" spans="1:19" ht="24" customHeight="1" x14ac:dyDescent="0.2">
      <c r="A60" s="1319" t="s">
        <v>193</v>
      </c>
      <c r="B60" s="1320" t="s">
        <v>600</v>
      </c>
      <c r="C60" s="1318">
        <f>+'9.sz.függ.Szivárvány Ó.'!H81</f>
        <v>12591240</v>
      </c>
      <c r="D60" s="1318">
        <f>+'9.sz.függ.Szivárvány Ó.'!I81</f>
        <v>2289362</v>
      </c>
      <c r="E60" s="1318">
        <f>+'9.sz.függ.Szivárvány Ó.'!J81</f>
        <v>8564318</v>
      </c>
      <c r="F60" s="1318">
        <f>+'9.sz.függ.Szivárvány Ó.'!K81</f>
        <v>0</v>
      </c>
      <c r="G60" s="1318">
        <f>+'9.sz.függ.Szivárvány Ó.'!L81</f>
        <v>10764541</v>
      </c>
      <c r="H60" s="1318">
        <f>+'9.sz.függ.Szivárvány Ó.'!M81</f>
        <v>1053031</v>
      </c>
      <c r="I60" s="1318">
        <f>+'9.sz.függ.Szivárvány Ó.'!N81</f>
        <v>0</v>
      </c>
      <c r="J60" s="1318">
        <f>+'9.sz.függ.Szivárvány Ó.'!O81</f>
        <v>0</v>
      </c>
      <c r="K60" s="1342">
        <f>+'9.sz.függ.Szivárvány Ó.'!P81</f>
        <v>0</v>
      </c>
      <c r="L60" s="1340">
        <f>+'9.sz.függ.Szivárvány Ó.'!Q81</f>
        <v>100000</v>
      </c>
      <c r="M60" s="1318">
        <f>+'9.sz.függ.Szivárvány Ó.'!R81</f>
        <v>0</v>
      </c>
      <c r="N60" s="1318">
        <f>+'9.sz.függ.Szivárvány Ó.'!S81</f>
        <v>0</v>
      </c>
      <c r="O60" s="1318">
        <f>+'9.sz.függ.Szivárvány Ó.'!T81</f>
        <v>238192</v>
      </c>
      <c r="P60" s="1318">
        <f>+'9.sz.függ.Szivárvány Ó.'!U81</f>
        <v>0</v>
      </c>
      <c r="Q60" s="1318">
        <f>+'9.sz.függ.Szivárvány Ó.'!V81</f>
        <v>0</v>
      </c>
      <c r="R60" s="1318">
        <f>+'9.sz.függ.Szivárvány Ó.'!W81</f>
        <v>0</v>
      </c>
      <c r="S60" s="1342">
        <f>+'9.sz.függ.Szivárvány Ó.'!X81</f>
        <v>34924300</v>
      </c>
    </row>
    <row r="61" spans="1:19" ht="25.5" x14ac:dyDescent="0.2">
      <c r="A61" s="1319" t="s">
        <v>194</v>
      </c>
      <c r="B61" s="1320" t="s">
        <v>25</v>
      </c>
      <c r="C61" s="1318">
        <f>+'3.sz.függ.Ter.Gond'!H216</f>
        <v>7350000</v>
      </c>
      <c r="D61" s="1318">
        <f>+'3.sz.függ.Ter.Gond'!I216</f>
        <v>1315500</v>
      </c>
      <c r="E61" s="1318">
        <f>+'3.sz.függ.Ter.Gond'!J216</f>
        <v>137298053</v>
      </c>
      <c r="F61" s="1318">
        <f>+'3.sz.függ.Ter.Gond'!K216</f>
        <v>0</v>
      </c>
      <c r="G61" s="1318">
        <f>+'3.sz.függ.Ter.Gond'!L216</f>
        <v>41070640</v>
      </c>
      <c r="H61" s="1318">
        <f>+'3.sz.függ.Ter.Gond'!M216</f>
        <v>1428750</v>
      </c>
      <c r="I61" s="1318">
        <f>+'3.sz.függ.Ter.Gond'!N216</f>
        <v>0</v>
      </c>
      <c r="J61" s="1318">
        <f>+'3.sz.függ.Ter.Gond'!O216</f>
        <v>0</v>
      </c>
      <c r="K61" s="1342">
        <f>+'3.sz.függ.Ter.Gond'!P216</f>
        <v>0</v>
      </c>
      <c r="L61" s="1340">
        <f>+'3.sz.függ.Ter.Gond'!Q216</f>
        <v>6000000</v>
      </c>
      <c r="M61" s="1318">
        <f>+'3.sz.függ.Ter.Gond'!R216</f>
        <v>0</v>
      </c>
      <c r="N61" s="1318">
        <f>+'3.sz.függ.Ter.Gond'!S216</f>
        <v>0</v>
      </c>
      <c r="O61" s="1318">
        <f>+'3.sz.függ.Ter.Gond'!T216</f>
        <v>118467115</v>
      </c>
      <c r="P61" s="1318">
        <f>+'3.sz.függ.Ter.Gond'!U216</f>
        <v>0</v>
      </c>
      <c r="Q61" s="1318">
        <f>+'3.sz.függ.Ter.Gond'!V216</f>
        <v>0</v>
      </c>
      <c r="R61" s="1318">
        <f>+'3.sz.függ.Ter.Gond'!W216</f>
        <v>0</v>
      </c>
      <c r="S61" s="1342">
        <f>+'3.sz.függ.Ter.Gond'!X216</f>
        <v>63995828</v>
      </c>
    </row>
    <row r="62" spans="1:19" ht="25.5" x14ac:dyDescent="0.2">
      <c r="A62" s="1319" t="s">
        <v>195</v>
      </c>
      <c r="B62" s="1320" t="s">
        <v>1810</v>
      </c>
      <c r="C62" s="1318">
        <f>+'8.sz.függ.Gyermekjóléti'!H62</f>
        <v>4591120</v>
      </c>
      <c r="D62" s="1318">
        <f>+'8.sz.függ.Gyermekjóléti'!I62</f>
        <v>660880</v>
      </c>
      <c r="E62" s="1318">
        <f>+'8.sz.függ.Gyermekjóléti'!J62</f>
        <v>6158066</v>
      </c>
      <c r="F62" s="1318">
        <f>+'8.sz.függ.Gyermekjóléti'!K62</f>
        <v>0</v>
      </c>
      <c r="G62" s="1318">
        <f>+'8.sz.függ.Gyermekjóléti'!L62</f>
        <v>4801934</v>
      </c>
      <c r="H62" s="1318">
        <f>+'8.sz.függ.Gyermekjóléti'!M62</f>
        <v>0</v>
      </c>
      <c r="I62" s="1318">
        <f>+'8.sz.függ.Gyermekjóléti'!N62</f>
        <v>0</v>
      </c>
      <c r="J62" s="1318">
        <f>+'8.sz.függ.Gyermekjóléti'!O62</f>
        <v>0</v>
      </c>
      <c r="K62" s="1342">
        <f>+'8.sz.függ.Gyermekjóléti'!P62</f>
        <v>0</v>
      </c>
      <c r="L62" s="1340">
        <f>+'8.sz.függ.Gyermekjóléti'!Q62</f>
        <v>0</v>
      </c>
      <c r="M62" s="1318">
        <f>+'8.sz.függ.Gyermekjóléti'!R62</f>
        <v>0</v>
      </c>
      <c r="N62" s="1318">
        <f>+'8.sz.függ.Gyermekjóléti'!S62</f>
        <v>0</v>
      </c>
      <c r="O62" s="1318">
        <f>+'8.sz.függ.Gyermekjóléti'!T62</f>
        <v>5960106</v>
      </c>
      <c r="P62" s="1318">
        <f>+'8.sz.függ.Gyermekjóléti'!U62</f>
        <v>0</v>
      </c>
      <c r="Q62" s="1318">
        <f>+'8.sz.függ.Gyermekjóléti'!V62</f>
        <v>0</v>
      </c>
      <c r="R62" s="1318">
        <f>+'8.sz.függ.Gyermekjóléti'!W62</f>
        <v>0</v>
      </c>
      <c r="S62" s="1342">
        <f>+'8.sz.függ.Gyermekjóléti'!X62</f>
        <v>10251894</v>
      </c>
    </row>
    <row r="63" spans="1:19" ht="22.5" customHeight="1" x14ac:dyDescent="0.2">
      <c r="A63" s="1319" t="s">
        <v>196</v>
      </c>
      <c r="B63" s="1321" t="s">
        <v>612</v>
      </c>
      <c r="C63" s="1318">
        <f>+'4.sz.függ.Könyvtár'!H58</f>
        <v>1900000</v>
      </c>
      <c r="D63" s="1318">
        <f>+'4.sz.függ.Könyvtár'!I58</f>
        <v>352000</v>
      </c>
      <c r="E63" s="1318">
        <f>+'4.sz.függ.Könyvtár'!J58</f>
        <v>3398218</v>
      </c>
      <c r="F63" s="1318">
        <f>+'4.sz.függ.Könyvtár'!K58</f>
        <v>0</v>
      </c>
      <c r="G63" s="1318">
        <f>+'4.sz.függ.Könyvtár'!L58</f>
        <v>4638105</v>
      </c>
      <c r="H63" s="1318">
        <f>+'4.sz.függ.Könyvtár'!M58</f>
        <v>0</v>
      </c>
      <c r="I63" s="1318">
        <f>+'4.sz.függ.Könyvtár'!N58</f>
        <v>0</v>
      </c>
      <c r="J63" s="1318">
        <f>+'4.sz.függ.Könyvtár'!O58</f>
        <v>0</v>
      </c>
      <c r="K63" s="1342">
        <f>+'4.sz.függ.Könyvtár'!P58</f>
        <v>0</v>
      </c>
      <c r="L63" s="1340">
        <f>+'4.sz.függ.Könyvtár'!Q58</f>
        <v>20000</v>
      </c>
      <c r="M63" s="1318">
        <f>+'4.sz.függ.Könyvtár'!R58</f>
        <v>0</v>
      </c>
      <c r="N63" s="1318">
        <f>+'4.sz.függ.Könyvtár'!S58</f>
        <v>0</v>
      </c>
      <c r="O63" s="1318">
        <f>+'4.sz.függ.Könyvtár'!T58</f>
        <v>2770225</v>
      </c>
      <c r="P63" s="1318">
        <f>+'4.sz.függ.Könyvtár'!U58</f>
        <v>0</v>
      </c>
      <c r="Q63" s="1318">
        <f>+'4.sz.függ.Könyvtár'!V58</f>
        <v>507993</v>
      </c>
      <c r="R63" s="1318">
        <f>+'4.sz.függ.Könyvtár'!W58</f>
        <v>0</v>
      </c>
      <c r="S63" s="1342">
        <f>+'4.sz.függ.Könyvtár'!X58</f>
        <v>6990105</v>
      </c>
    </row>
    <row r="64" spans="1:19" ht="25.5" x14ac:dyDescent="0.2">
      <c r="A64" s="1319" t="s">
        <v>197</v>
      </c>
      <c r="B64" s="1677" t="s">
        <v>601</v>
      </c>
      <c r="C64" s="1318">
        <f>+'10.sz.függ.József A. MűvHáz'!H73</f>
        <v>3800000</v>
      </c>
      <c r="D64" s="1318">
        <f>+'10.sz.függ.József A. MűvHáz'!I73</f>
        <v>659000</v>
      </c>
      <c r="E64" s="1318">
        <f>+'10.sz.függ.József A. MűvHáz'!J73</f>
        <v>5438131</v>
      </c>
      <c r="F64" s="1318">
        <f>+'10.sz.függ.József A. MűvHáz'!K73</f>
        <v>0</v>
      </c>
      <c r="G64" s="1318">
        <f>+'10.sz.függ.József A. MűvHáz'!L73</f>
        <v>7115209</v>
      </c>
      <c r="H64" s="1318">
        <f>+'10.sz.függ.József A. MűvHáz'!M73</f>
        <v>525400</v>
      </c>
      <c r="I64" s="1318">
        <f>+'10.sz.függ.József A. MűvHáz'!N73</f>
        <v>0</v>
      </c>
      <c r="J64" s="1318">
        <f>+'10.sz.függ.József A. MűvHáz'!O73</f>
        <v>0</v>
      </c>
      <c r="K64" s="1342">
        <f>+'10.sz.függ.József A. MűvHáz'!P73</f>
        <v>0</v>
      </c>
      <c r="L64" s="1340">
        <f>+'10.sz.függ.József A. MűvHáz'!Q73</f>
        <v>0</v>
      </c>
      <c r="M64" s="1318">
        <f>+'10.sz.függ.József A. MűvHáz'!R73</f>
        <v>0</v>
      </c>
      <c r="N64" s="1318">
        <f>+'10.sz.függ.József A. MűvHáz'!S73</f>
        <v>0</v>
      </c>
      <c r="O64" s="1318">
        <f>+'10.sz.függ.József A. MűvHáz'!T73</f>
        <v>5963531</v>
      </c>
      <c r="P64" s="1318">
        <f>+'10.sz.függ.József A. MűvHáz'!U73</f>
        <v>0</v>
      </c>
      <c r="Q64" s="1318">
        <f>+'10.sz.függ.József A. MűvHáz'!V73</f>
        <v>0</v>
      </c>
      <c r="R64" s="1318">
        <f>+'10.sz.függ.József A. MűvHáz'!W73</f>
        <v>0</v>
      </c>
      <c r="S64" s="1342">
        <f>+'10.sz.függ.József A. MűvHáz'!X73</f>
        <v>11574209</v>
      </c>
    </row>
    <row r="65" spans="1:37" ht="24" customHeight="1" x14ac:dyDescent="0.2">
      <c r="A65" s="2189" t="s">
        <v>1184</v>
      </c>
      <c r="B65" s="2190"/>
      <c r="C65" s="1322">
        <f>SUM(C55:C64)</f>
        <v>154796483</v>
      </c>
      <c r="D65" s="1322">
        <f t="shared" ref="D65:S65" si="2">SUM(D55:D64)</f>
        <v>24071649</v>
      </c>
      <c r="E65" s="1322">
        <f t="shared" si="2"/>
        <v>853492391</v>
      </c>
      <c r="F65" s="1322">
        <f t="shared" si="2"/>
        <v>0</v>
      </c>
      <c r="G65" s="1322">
        <f t="shared" si="2"/>
        <v>1290288298</v>
      </c>
      <c r="H65" s="1322">
        <f t="shared" si="2"/>
        <v>676029064</v>
      </c>
      <c r="I65" s="1322">
        <f t="shared" si="2"/>
        <v>172894594</v>
      </c>
      <c r="J65" s="1322">
        <f t="shared" si="2"/>
        <v>11948750</v>
      </c>
      <c r="K65" s="1323">
        <f>SUM(K55:K64)</f>
        <v>423097199</v>
      </c>
      <c r="L65" s="1324">
        <f t="shared" si="2"/>
        <v>307834732</v>
      </c>
      <c r="M65" s="1322">
        <f t="shared" si="2"/>
        <v>314960630</v>
      </c>
      <c r="N65" s="1322">
        <f t="shared" si="2"/>
        <v>1574581857</v>
      </c>
      <c r="O65" s="1322">
        <f t="shared" si="2"/>
        <v>416046725</v>
      </c>
      <c r="P65" s="1322">
        <f t="shared" si="2"/>
        <v>730000</v>
      </c>
      <c r="Q65" s="1322">
        <f t="shared" si="2"/>
        <v>2092993</v>
      </c>
      <c r="R65" s="1322">
        <f t="shared" si="2"/>
        <v>2968750</v>
      </c>
      <c r="S65" s="1323">
        <f t="shared" si="2"/>
        <v>987402741</v>
      </c>
    </row>
    <row r="66" spans="1:37" ht="15" x14ac:dyDescent="0.25">
      <c r="A66" s="1192"/>
      <c r="B66" s="1192"/>
      <c r="C66" s="1193"/>
      <c r="D66" s="1193"/>
      <c r="E66" s="1193"/>
      <c r="F66" s="1193"/>
      <c r="G66" s="1193"/>
      <c r="H66" s="1193"/>
      <c r="I66" s="1193"/>
      <c r="J66" s="1193"/>
      <c r="K66" s="1193"/>
      <c r="L66" s="1193"/>
      <c r="M66" s="1193"/>
      <c r="N66" s="1193"/>
      <c r="O66" s="1193"/>
      <c r="P66" s="1193"/>
      <c r="Q66" s="1193"/>
      <c r="R66" s="1193"/>
      <c r="S66" s="1193"/>
    </row>
    <row r="67" spans="1:37" ht="15" x14ac:dyDescent="0.25">
      <c r="A67" s="1192"/>
      <c r="B67" s="1192"/>
      <c r="C67" s="1192"/>
      <c r="D67" s="1192"/>
      <c r="E67" s="1192"/>
      <c r="F67" s="1192"/>
      <c r="G67" s="1192"/>
      <c r="H67" s="1192"/>
      <c r="I67" s="1192"/>
      <c r="J67" s="1192"/>
      <c r="K67" s="1192"/>
      <c r="L67" s="1192"/>
      <c r="M67" s="1192"/>
      <c r="N67" s="1192"/>
      <c r="O67" s="1192"/>
      <c r="P67" s="1192"/>
      <c r="Q67" s="1192"/>
      <c r="R67" s="1192"/>
      <c r="S67" s="1192"/>
    </row>
    <row r="68" spans="1:37" ht="21.75" customHeight="1" x14ac:dyDescent="0.25">
      <c r="A68" s="1192"/>
      <c r="B68" s="1192"/>
      <c r="C68" s="1192"/>
      <c r="D68" s="2066" t="s">
        <v>1750</v>
      </c>
      <c r="E68" s="2066"/>
      <c r="F68" s="2066"/>
      <c r="G68" s="2066">
        <v>15711564705</v>
      </c>
      <c r="H68" s="2066"/>
      <c r="I68" s="1192"/>
      <c r="J68" s="1192"/>
      <c r="K68" s="1192"/>
      <c r="L68" s="1192"/>
      <c r="M68" s="2066" t="s">
        <v>1751</v>
      </c>
      <c r="N68" s="2066"/>
      <c r="O68" s="2066"/>
      <c r="P68" s="2066">
        <v>15711564705</v>
      </c>
      <c r="Q68" s="2066"/>
      <c r="R68" s="1192"/>
      <c r="S68" s="1192"/>
    </row>
    <row r="69" spans="1:37" ht="22.5" customHeight="1" x14ac:dyDescent="0.25">
      <c r="A69" s="1192"/>
      <c r="B69" s="1192"/>
      <c r="C69" s="1192"/>
      <c r="D69" s="2066" t="s">
        <v>3474</v>
      </c>
      <c r="E69" s="2066"/>
      <c r="F69" s="2066"/>
      <c r="G69" s="2066">
        <f>SUM(C65:K65)</f>
        <v>3606618428</v>
      </c>
      <c r="H69" s="2066"/>
      <c r="I69" s="1193"/>
      <c r="J69" s="1192"/>
      <c r="K69" s="1192"/>
      <c r="L69" s="1192"/>
      <c r="M69" s="2066" t="s">
        <v>3474</v>
      </c>
      <c r="N69" s="2066"/>
      <c r="O69" s="2066"/>
      <c r="P69" s="2066">
        <f>SUM(L65:S65)</f>
        <v>3606618428</v>
      </c>
      <c r="Q69" s="2066"/>
      <c r="R69" s="1192"/>
      <c r="S69" s="1192"/>
    </row>
    <row r="70" spans="1:37" ht="24" customHeight="1" x14ac:dyDescent="0.25">
      <c r="A70" s="1192"/>
      <c r="B70" s="1192"/>
      <c r="C70" s="1192"/>
      <c r="D70" s="2066" t="s">
        <v>1561</v>
      </c>
      <c r="E70" s="2066"/>
      <c r="F70" s="2066"/>
      <c r="G70" s="2066">
        <f>+G68+G69</f>
        <v>19318183133</v>
      </c>
      <c r="H70" s="2066"/>
      <c r="I70" s="1192"/>
      <c r="J70" s="1192"/>
      <c r="K70" s="1192"/>
      <c r="L70" s="1192"/>
      <c r="M70" s="2066" t="s">
        <v>1561</v>
      </c>
      <c r="N70" s="2066"/>
      <c r="O70" s="2066"/>
      <c r="P70" s="2066">
        <f>+P68+P69</f>
        <v>19318183133</v>
      </c>
      <c r="Q70" s="2066"/>
      <c r="R70" s="1192"/>
      <c r="S70" s="1192"/>
    </row>
    <row r="71" spans="1:37" x14ac:dyDescent="0.2">
      <c r="A71" s="348"/>
      <c r="B71" s="348"/>
      <c r="C71" s="348"/>
      <c r="D71" s="348"/>
      <c r="E71" s="348"/>
      <c r="F71" s="348"/>
      <c r="G71" s="348"/>
      <c r="H71" s="348"/>
      <c r="I71" s="348"/>
      <c r="J71" s="348"/>
      <c r="K71" s="348"/>
      <c r="L71" s="348"/>
      <c r="M71" s="348"/>
      <c r="N71" s="348"/>
      <c r="O71" s="348"/>
      <c r="P71" s="348"/>
      <c r="Q71" s="348"/>
      <c r="R71" s="348"/>
      <c r="S71" s="348"/>
    </row>
    <row r="72" spans="1:37" x14ac:dyDescent="0.2">
      <c r="A72" s="348"/>
      <c r="B72" s="348"/>
      <c r="C72" s="348"/>
      <c r="D72" s="348"/>
      <c r="E72" s="348"/>
      <c r="F72" s="348"/>
      <c r="G72" s="348"/>
      <c r="H72" s="348"/>
      <c r="I72" s="348"/>
      <c r="J72" s="348"/>
      <c r="K72" s="348"/>
      <c r="L72" s="348"/>
      <c r="M72" s="348"/>
      <c r="N72" s="348"/>
      <c r="O72" s="348"/>
      <c r="P72" s="348"/>
      <c r="Q72" s="348"/>
      <c r="R72" s="348"/>
      <c r="S72" s="348"/>
    </row>
    <row r="73" spans="1:37" x14ac:dyDescent="0.2">
      <c r="A73" s="348"/>
      <c r="B73" s="348"/>
      <c r="C73" s="348"/>
      <c r="D73" s="348"/>
      <c r="E73" s="348"/>
      <c r="F73" s="348"/>
      <c r="G73" s="348"/>
      <c r="H73" s="348"/>
      <c r="I73" s="348"/>
      <c r="J73" s="348"/>
      <c r="K73" s="348"/>
      <c r="L73" s="348"/>
      <c r="M73" s="348"/>
      <c r="N73" s="348"/>
      <c r="O73" s="348"/>
      <c r="P73" s="348"/>
      <c r="Q73" s="348"/>
      <c r="R73" s="348"/>
      <c r="S73" s="348"/>
    </row>
    <row r="74" spans="1:37" ht="15.75" x14ac:dyDescent="0.25">
      <c r="A74" s="2069" t="s">
        <v>3354</v>
      </c>
      <c r="B74" s="2069"/>
      <c r="C74" s="2069"/>
      <c r="D74" s="2069"/>
      <c r="E74" s="2069"/>
      <c r="F74" s="2069"/>
      <c r="G74" s="2069"/>
      <c r="H74" s="2069"/>
      <c r="I74" s="2069"/>
      <c r="J74" s="2069"/>
      <c r="K74" s="2069"/>
      <c r="L74" s="2069"/>
      <c r="M74" s="2069"/>
      <c r="N74" s="2069"/>
      <c r="O74" s="2069"/>
      <c r="P74" s="2069"/>
      <c r="Q74" s="2069"/>
      <c r="R74" s="2069"/>
      <c r="S74" s="2069"/>
      <c r="U74" s="656"/>
      <c r="V74" s="656"/>
      <c r="W74" s="656"/>
      <c r="X74" s="656"/>
      <c r="Y74" s="656"/>
      <c r="Z74" s="656"/>
      <c r="AA74" s="656"/>
      <c r="AB74" s="656"/>
      <c r="AC74" s="656"/>
      <c r="AD74" s="656"/>
      <c r="AE74" s="656"/>
      <c r="AF74" s="656"/>
      <c r="AG74" s="656"/>
      <c r="AH74" s="656"/>
      <c r="AI74" s="656"/>
      <c r="AJ74" s="656"/>
      <c r="AK74" s="656"/>
    </row>
    <row r="75" spans="1:37" ht="15" x14ac:dyDescent="0.25">
      <c r="A75" s="1300"/>
      <c r="B75" s="1300"/>
      <c r="C75" s="1300"/>
      <c r="D75" s="1300"/>
      <c r="E75" s="1300"/>
      <c r="F75" s="1300"/>
      <c r="G75" s="1300"/>
      <c r="H75" s="1300"/>
      <c r="I75" s="1300"/>
      <c r="J75" s="1300"/>
      <c r="K75" s="1300"/>
      <c r="L75" s="1300"/>
      <c r="M75" s="1300"/>
      <c r="N75" s="1300"/>
      <c r="O75" s="1300"/>
      <c r="P75" s="1300"/>
      <c r="Q75" s="1300"/>
      <c r="R75" s="1300"/>
      <c r="S75" s="1300"/>
      <c r="U75" s="348"/>
      <c r="V75" s="348"/>
      <c r="W75" s="348"/>
      <c r="X75" s="348"/>
      <c r="Y75" s="348"/>
      <c r="Z75" s="348"/>
      <c r="AA75" s="348"/>
      <c r="AB75" s="348"/>
      <c r="AC75" s="348"/>
      <c r="AD75" s="348"/>
      <c r="AE75" s="348"/>
      <c r="AF75" s="348"/>
      <c r="AG75" s="348"/>
      <c r="AH75" s="348"/>
      <c r="AI75" s="348"/>
      <c r="AJ75" s="348"/>
      <c r="AK75" s="348"/>
    </row>
    <row r="76" spans="1:37" ht="15" x14ac:dyDescent="0.25">
      <c r="A76" s="2191" t="s">
        <v>1803</v>
      </c>
      <c r="B76" s="2191"/>
      <c r="C76" s="2191"/>
      <c r="D76" s="2191"/>
      <c r="E76" s="2191"/>
      <c r="F76" s="2191"/>
      <c r="G76" s="2191"/>
      <c r="H76" s="2191"/>
      <c r="I76" s="2191"/>
      <c r="J76" s="2191"/>
      <c r="K76" s="2191"/>
      <c r="L76" s="2191"/>
      <c r="M76" s="2191"/>
      <c r="N76" s="2191"/>
      <c r="O76" s="2191"/>
      <c r="P76" s="2191"/>
      <c r="Q76" s="2191"/>
      <c r="R76" s="2191"/>
      <c r="S76" s="2191"/>
      <c r="U76" s="348"/>
      <c r="V76" s="348"/>
      <c r="W76" s="348"/>
      <c r="X76" s="348"/>
      <c r="Y76" s="348"/>
      <c r="Z76" s="348"/>
      <c r="AA76" s="348"/>
      <c r="AB76" s="348"/>
      <c r="AC76" s="348"/>
      <c r="AD76" s="348"/>
      <c r="AE76" s="348"/>
      <c r="AF76" s="348"/>
      <c r="AG76" s="348"/>
      <c r="AH76" s="348"/>
      <c r="AI76" s="348"/>
      <c r="AJ76" s="348"/>
      <c r="AK76" s="348"/>
    </row>
    <row r="77" spans="1:37" ht="15" x14ac:dyDescent="0.25">
      <c r="A77" s="1192"/>
      <c r="B77" s="1192"/>
      <c r="C77" s="1192"/>
      <c r="D77" s="1192"/>
      <c r="E77" s="1192"/>
      <c r="F77" s="1192"/>
      <c r="G77" s="1192"/>
      <c r="H77" s="1192"/>
      <c r="I77" s="1192"/>
      <c r="J77" s="1192"/>
      <c r="K77" s="1192"/>
      <c r="L77" s="1301"/>
      <c r="M77" s="1192"/>
      <c r="N77" s="1192"/>
      <c r="O77" s="1192"/>
      <c r="P77" s="1192"/>
      <c r="Q77" s="1192"/>
      <c r="R77" s="1192"/>
      <c r="S77" s="1338" t="s">
        <v>431</v>
      </c>
      <c r="U77" s="348"/>
      <c r="V77" s="348"/>
      <c r="W77" s="348"/>
      <c r="X77" s="348"/>
      <c r="Y77" s="348"/>
      <c r="Z77" s="656"/>
      <c r="AA77" s="348"/>
      <c r="AB77" s="348"/>
      <c r="AC77" s="348"/>
      <c r="AD77" s="348"/>
      <c r="AE77" s="348"/>
      <c r="AF77" s="348"/>
      <c r="AG77" s="348"/>
      <c r="AH77" s="348"/>
      <c r="AI77" s="348"/>
      <c r="AJ77" s="348"/>
      <c r="AK77" s="348"/>
    </row>
    <row r="78" spans="1:37" ht="15" x14ac:dyDescent="0.2">
      <c r="A78" s="2192" t="s">
        <v>37</v>
      </c>
      <c r="B78" s="2194" t="s">
        <v>137</v>
      </c>
      <c r="C78" s="2196" t="s">
        <v>1730</v>
      </c>
      <c r="D78" s="2196"/>
      <c r="E78" s="2196"/>
      <c r="F78" s="2196"/>
      <c r="G78" s="2196"/>
      <c r="H78" s="2196"/>
      <c r="I78" s="2196"/>
      <c r="J78" s="2197"/>
      <c r="K78" s="1341"/>
      <c r="L78" s="2198" t="s">
        <v>1731</v>
      </c>
      <c r="M78" s="2196"/>
      <c r="N78" s="2196"/>
      <c r="O78" s="2196"/>
      <c r="P78" s="2196"/>
      <c r="Q78" s="2196"/>
      <c r="R78" s="2196"/>
      <c r="S78" s="2199"/>
    </row>
    <row r="79" spans="1:37" ht="73.5" customHeight="1" x14ac:dyDescent="0.2">
      <c r="A79" s="2193"/>
      <c r="B79" s="2195"/>
      <c r="C79" s="1314" t="s">
        <v>2388</v>
      </c>
      <c r="D79" s="1314" t="s">
        <v>1804</v>
      </c>
      <c r="E79" s="1314" t="s">
        <v>1797</v>
      </c>
      <c r="F79" s="1314" t="s">
        <v>1805</v>
      </c>
      <c r="G79" s="1314" t="s">
        <v>1806</v>
      </c>
      <c r="H79" s="1315" t="s">
        <v>1756</v>
      </c>
      <c r="I79" s="1314" t="s">
        <v>1807</v>
      </c>
      <c r="J79" s="1316" t="s">
        <v>1739</v>
      </c>
      <c r="K79" s="1317" t="s">
        <v>1740</v>
      </c>
      <c r="L79" s="1339" t="s">
        <v>1741</v>
      </c>
      <c r="M79" s="1315" t="s">
        <v>1742</v>
      </c>
      <c r="N79" s="1314" t="s">
        <v>1800</v>
      </c>
      <c r="O79" s="1314" t="s">
        <v>1808</v>
      </c>
      <c r="P79" s="1315" t="s">
        <v>1745</v>
      </c>
      <c r="Q79" s="1315" t="s">
        <v>1746</v>
      </c>
      <c r="R79" s="1315" t="s">
        <v>1747</v>
      </c>
      <c r="S79" s="1317" t="s">
        <v>1809</v>
      </c>
    </row>
    <row r="80" spans="1:37" ht="25.5" customHeight="1" x14ac:dyDescent="0.2">
      <c r="A80" s="1675" t="s">
        <v>188</v>
      </c>
      <c r="B80" s="1676" t="s">
        <v>438</v>
      </c>
      <c r="C80" s="1318">
        <f>+'1.sz.függ.Önkormány bev-kiad'!H1268</f>
        <v>39048393</v>
      </c>
      <c r="D80" s="1318">
        <f>+'1.sz.függ.Önkormány bev-kiad'!I1268</f>
        <v>4863045</v>
      </c>
      <c r="E80" s="1318">
        <f>+'1.sz.függ.Önkormány bev-kiad'!J1268</f>
        <v>783138158</v>
      </c>
      <c r="F80" s="1318">
        <f>+'1.sz.függ.Önkormány bev-kiad'!K1268</f>
        <v>0</v>
      </c>
      <c r="G80" s="1318">
        <f>+'1.sz.függ.Önkormány bev-kiad'!L1268</f>
        <v>1487643678</v>
      </c>
      <c r="H80" s="1318">
        <f>+'1.sz.függ.Önkormány bev-kiad'!M1268</f>
        <v>879552911</v>
      </c>
      <c r="I80" s="1318">
        <f>+'1.sz.függ.Önkormány bev-kiad'!N1268</f>
        <v>68067759</v>
      </c>
      <c r="J80" s="1318">
        <f>+'1.sz.függ.Önkormány bev-kiad'!O1268</f>
        <v>10657245</v>
      </c>
      <c r="K80" s="1342">
        <f>+'1.sz.függ.Önkormány bev-kiad'!P1268</f>
        <v>525210162</v>
      </c>
      <c r="L80" s="1340">
        <f>+'1.sz.függ.Önkormány bev-kiad'!Q1268</f>
        <v>448271647</v>
      </c>
      <c r="M80" s="1318">
        <f>+'1.sz.függ.Önkormány bev-kiad'!R1268</f>
        <v>369680630</v>
      </c>
      <c r="N80" s="1318">
        <f>+'1.sz.függ.Önkormány bev-kiad'!S1268</f>
        <v>1897511439</v>
      </c>
      <c r="O80" s="1318">
        <f>+'1.sz.függ.Önkormány bev-kiad'!T1268</f>
        <v>281529598</v>
      </c>
      <c r="P80" s="1318">
        <f>+'1.sz.függ.Önkormány bev-kiad'!U1268</f>
        <v>-50004281</v>
      </c>
      <c r="Q80" s="1318">
        <f>+'1.sz.függ.Önkormány bev-kiad'!V1268</f>
        <v>500000</v>
      </c>
      <c r="R80" s="1318">
        <f>+'1.sz.függ.Önkormány bev-kiad'!W1268</f>
        <v>3348750</v>
      </c>
      <c r="S80" s="1342">
        <f>+'1.sz.függ.Önkormány bev-kiad'!X1268</f>
        <v>847343568</v>
      </c>
    </row>
    <row r="81" spans="1:19" ht="24.75" customHeight="1" x14ac:dyDescent="0.2">
      <c r="A81" s="1319" t="s">
        <v>189</v>
      </c>
      <c r="B81" s="1320" t="s">
        <v>87</v>
      </c>
      <c r="C81" s="1318">
        <f>+'2.sz.függ.PMH bev-kiad'!H158</f>
        <v>38645103</v>
      </c>
      <c r="D81" s="1318">
        <f>+'2.sz.függ.PMH bev-kiad'!I158</f>
        <v>5909500</v>
      </c>
      <c r="E81" s="1318">
        <f>+'2.sz.függ.PMH bev-kiad'!J158</f>
        <v>9135781</v>
      </c>
      <c r="F81" s="1318">
        <f>+'2.sz.függ.PMH bev-kiad'!K158</f>
        <v>0</v>
      </c>
      <c r="G81" s="1318">
        <f>+'2.sz.függ.PMH bev-kiad'!L158</f>
        <v>23805431</v>
      </c>
      <c r="H81" s="1318">
        <f>+'2.sz.függ.PMH bev-kiad'!M158</f>
        <v>5010000</v>
      </c>
      <c r="I81" s="1318">
        <f>+'2.sz.függ.PMH bev-kiad'!N158</f>
        <v>0</v>
      </c>
      <c r="J81" s="1318">
        <f>+'2.sz.függ.PMH bev-kiad'!O158</f>
        <v>4000000</v>
      </c>
      <c r="K81" s="1342">
        <f>+'2.sz.függ.PMH bev-kiad'!P158</f>
        <v>0</v>
      </c>
      <c r="L81" s="1340">
        <f>+'2.sz.függ.PMH bev-kiad'!Q158</f>
        <v>0</v>
      </c>
      <c r="M81" s="1318">
        <f>+'2.sz.függ.PMH bev-kiad'!R158</f>
        <v>0</v>
      </c>
      <c r="N81" s="1318">
        <f>+'2.sz.függ.PMH bev-kiad'!S158</f>
        <v>3114037</v>
      </c>
      <c r="O81" s="1318">
        <f>+'2.sz.függ.PMH bev-kiad'!T158</f>
        <v>3577352</v>
      </c>
      <c r="P81" s="1318">
        <f>+'2.sz.függ.PMH bev-kiad'!U158</f>
        <v>10000</v>
      </c>
      <c r="Q81" s="1318">
        <f>+'2.sz.függ.PMH bev-kiad'!V158</f>
        <v>0</v>
      </c>
      <c r="R81" s="1318">
        <f>+'2.sz.függ.PMH bev-kiad'!W158</f>
        <v>2000000</v>
      </c>
      <c r="S81" s="1342">
        <f>+'2.sz.függ.PMH bev-kiad'!X158</f>
        <v>77804426</v>
      </c>
    </row>
    <row r="82" spans="1:19" ht="27.75" customHeight="1" x14ac:dyDescent="0.2">
      <c r="A82" s="1319" t="s">
        <v>190</v>
      </c>
      <c r="B82" s="1320" t="s">
        <v>23</v>
      </c>
      <c r="C82" s="1318">
        <f>+'7.sz.függ.Bölcsőde'!H130</f>
        <v>11800000</v>
      </c>
      <c r="D82" s="1318">
        <f>+'7.sz.függ.Bölcsőde'!I130</f>
        <v>2224000</v>
      </c>
      <c r="E82" s="1318">
        <f>+'7.sz.függ.Bölcsőde'!J130</f>
        <v>15345744</v>
      </c>
      <c r="F82" s="1318">
        <f>+'7.sz.függ.Bölcsőde'!K130</f>
        <v>0</v>
      </c>
      <c r="G82" s="1318">
        <f>+'7.sz.függ.Bölcsőde'!L130</f>
        <v>8466568</v>
      </c>
      <c r="H82" s="1318">
        <f>+'7.sz.függ.Bölcsőde'!M130</f>
        <v>805033</v>
      </c>
      <c r="I82" s="1318">
        <f>+'7.sz.függ.Bölcsőde'!N130</f>
        <v>0</v>
      </c>
      <c r="J82" s="1318">
        <f>+'7.sz.függ.Bölcsőde'!O130</f>
        <v>0</v>
      </c>
      <c r="K82" s="1342">
        <f>+'7.sz.függ.Bölcsőde'!P130</f>
        <v>0</v>
      </c>
      <c r="L82" s="1340">
        <f>+'7.sz.függ.Bölcsőde'!Q130</f>
        <v>0</v>
      </c>
      <c r="M82" s="1318">
        <f>+'7.sz.függ.Bölcsőde'!R130</f>
        <v>0</v>
      </c>
      <c r="N82" s="1318">
        <f>+'7.sz.függ.Bölcsőde'!S130</f>
        <v>0</v>
      </c>
      <c r="O82" s="1318">
        <f>+'7.sz.függ.Bölcsőde'!T130</f>
        <v>7991737</v>
      </c>
      <c r="P82" s="1318">
        <f>+'7.sz.függ.Bölcsőde'!U130</f>
        <v>0</v>
      </c>
      <c r="Q82" s="1318">
        <f>+'7.sz.függ.Bölcsőde'!V130</f>
        <v>0</v>
      </c>
      <c r="R82" s="1318">
        <f>+'7.sz.függ.Bölcsőde'!W130</f>
        <v>0</v>
      </c>
      <c r="S82" s="1342">
        <f>+'7.sz.függ.Bölcsőde'!X130</f>
        <v>30649608</v>
      </c>
    </row>
    <row r="83" spans="1:19" ht="26.25" customHeight="1" x14ac:dyDescent="0.2">
      <c r="A83" s="1319" t="s">
        <v>191</v>
      </c>
      <c r="B83" s="1320" t="s">
        <v>88</v>
      </c>
      <c r="C83" s="1318">
        <f>+'6.sz.függ.Mese Ó.'!H137</f>
        <v>18783120</v>
      </c>
      <c r="D83" s="1318">
        <f>+'6.sz.függ.Mese Ó.'!I137</f>
        <v>3499306</v>
      </c>
      <c r="E83" s="1318">
        <f>+'6.sz.függ.Mese Ó.'!J137</f>
        <v>11966759</v>
      </c>
      <c r="F83" s="1318">
        <f>+'6.sz.függ.Mese Ó.'!K137</f>
        <v>0</v>
      </c>
      <c r="G83" s="1318">
        <f>+'6.sz.függ.Mese Ó.'!L137</f>
        <v>5361669</v>
      </c>
      <c r="H83" s="1318">
        <f>+'6.sz.függ.Mese Ó.'!M137</f>
        <v>2506835</v>
      </c>
      <c r="I83" s="1318">
        <f>+'6.sz.függ.Mese Ó.'!N137</f>
        <v>0</v>
      </c>
      <c r="J83" s="1318">
        <f>+'6.sz.függ.Mese Ó.'!O137</f>
        <v>0</v>
      </c>
      <c r="K83" s="1342">
        <f>+'6.sz.függ.Mese Ó.'!P137</f>
        <v>0</v>
      </c>
      <c r="L83" s="1340">
        <f>+'6.sz.függ.Mese Ó.'!Q137</f>
        <v>350000</v>
      </c>
      <c r="M83" s="1318">
        <f>+'6.sz.függ.Mese Ó.'!R137</f>
        <v>0</v>
      </c>
      <c r="N83" s="1318">
        <f>+'6.sz.függ.Mese Ó.'!S137</f>
        <v>0</v>
      </c>
      <c r="O83" s="1318">
        <f>+'6.sz.függ.Mese Ó.'!T137</f>
        <v>2213523</v>
      </c>
      <c r="P83" s="1318">
        <f>+'6.sz.függ.Mese Ó.'!U137</f>
        <v>0</v>
      </c>
      <c r="Q83" s="1318">
        <f>+'6.sz.függ.Mese Ó.'!V137</f>
        <v>0</v>
      </c>
      <c r="R83" s="1318">
        <f>+'6.sz.függ.Mese Ó.'!W137</f>
        <v>0</v>
      </c>
      <c r="S83" s="1342">
        <f>+'6.sz.függ.Mese Ó.'!X137</f>
        <v>39554166</v>
      </c>
    </row>
    <row r="84" spans="1:19" ht="23.25" customHeight="1" x14ac:dyDescent="0.2">
      <c r="A84" s="1319" t="s">
        <v>192</v>
      </c>
      <c r="B84" s="1320" t="s">
        <v>24</v>
      </c>
      <c r="C84" s="1318">
        <f>+'5.sz.függ.Hétszínvirág Ó.'!H123</f>
        <v>12599937</v>
      </c>
      <c r="D84" s="1318">
        <f>+'5.sz.függ.Hétszínvirág Ó.'!I123</f>
        <v>2299056</v>
      </c>
      <c r="E84" s="1318">
        <f>+'5.sz.függ.Hétszínvirág Ó.'!J123</f>
        <v>8738301</v>
      </c>
      <c r="F84" s="1318">
        <f>+'5.sz.függ.Hétszínvirág Ó.'!K123</f>
        <v>0</v>
      </c>
      <c r="G84" s="1318">
        <f>+'5.sz.függ.Hétszínvirág Ó.'!L123</f>
        <v>11074052</v>
      </c>
      <c r="H84" s="1318">
        <f>+'5.sz.függ.Hétszínvirág Ó.'!M123</f>
        <v>3752206</v>
      </c>
      <c r="I84" s="1318">
        <f>+'5.sz.függ.Hétszínvirág Ó.'!N123</f>
        <v>0</v>
      </c>
      <c r="J84" s="1318">
        <f>+'5.sz.függ.Hétszínvirág Ó.'!O123</f>
        <v>0</v>
      </c>
      <c r="K84" s="1342">
        <f>+'5.sz.függ.Hétszínvirág Ó.'!P123</f>
        <v>0</v>
      </c>
      <c r="L84" s="1340">
        <f>+'5.sz.függ.Hétszínvirág Ó.'!Q123</f>
        <v>350000</v>
      </c>
      <c r="M84" s="1318">
        <f>+'5.sz.függ.Hétszínvirág Ó.'!R123</f>
        <v>0</v>
      </c>
      <c r="N84" s="1318">
        <f>+'5.sz.függ.Hétszínvirág Ó.'!S123</f>
        <v>0</v>
      </c>
      <c r="O84" s="1318">
        <f>+'5.sz.függ.Hétszínvirág Ó.'!T123</f>
        <v>1179719</v>
      </c>
      <c r="P84" s="1318">
        <f>+'5.sz.függ.Hétszínvirág Ó.'!U123</f>
        <v>0</v>
      </c>
      <c r="Q84" s="1318">
        <f>+'5.sz.függ.Hétszínvirág Ó.'!V123</f>
        <v>1585000</v>
      </c>
      <c r="R84" s="1318">
        <f>+'5.sz.függ.Hétszínvirág Ó.'!W123</f>
        <v>0</v>
      </c>
      <c r="S84" s="1342">
        <f>+'5.sz.függ.Hétszínvirág Ó.'!X123</f>
        <v>35348833</v>
      </c>
    </row>
    <row r="85" spans="1:19" ht="22.5" customHeight="1" x14ac:dyDescent="0.2">
      <c r="A85" s="1319" t="s">
        <v>193</v>
      </c>
      <c r="B85" s="1320" t="s">
        <v>600</v>
      </c>
      <c r="C85" s="1318">
        <f>+'9.sz.függ.Szivárvány Ó.'!H111</f>
        <v>12591240</v>
      </c>
      <c r="D85" s="1318">
        <f>+'9.sz.függ.Szivárvány Ó.'!I111</f>
        <v>2289362</v>
      </c>
      <c r="E85" s="1318">
        <f>+'9.sz.függ.Szivárvány Ó.'!J111</f>
        <v>9453096</v>
      </c>
      <c r="F85" s="1318">
        <f>+'9.sz.függ.Szivárvány Ó.'!K111</f>
        <v>0</v>
      </c>
      <c r="G85" s="1318">
        <f>+'9.sz.függ.Szivárvány Ó.'!L111</f>
        <v>10764541</v>
      </c>
      <c r="H85" s="1318">
        <f>+'9.sz.függ.Szivárvány Ó.'!M111</f>
        <v>1053031</v>
      </c>
      <c r="I85" s="1318">
        <f>+'9.sz.függ.Szivárvány Ó.'!N111</f>
        <v>0</v>
      </c>
      <c r="J85" s="1318">
        <f>+'9.sz.függ.Szivárvány Ó.'!O111</f>
        <v>0</v>
      </c>
      <c r="K85" s="1342">
        <f>+'9.sz.függ.Szivárvány Ó.'!P111</f>
        <v>0</v>
      </c>
      <c r="L85" s="1340">
        <f>+'9.sz.függ.Szivárvány Ó.'!Q111</f>
        <v>100000</v>
      </c>
      <c r="M85" s="1318">
        <f>+'9.sz.függ.Szivárvány Ó.'!R111</f>
        <v>0</v>
      </c>
      <c r="N85" s="1318">
        <f>+'9.sz.függ.Szivárvány Ó.'!S111</f>
        <v>0</v>
      </c>
      <c r="O85" s="1318">
        <f>+'9.sz.függ.Szivárvány Ó.'!T111</f>
        <v>199082</v>
      </c>
      <c r="P85" s="1318">
        <f>+'9.sz.függ.Szivárvány Ó.'!U111</f>
        <v>0</v>
      </c>
      <c r="Q85" s="1318">
        <f>+'9.sz.függ.Szivárvány Ó.'!V111</f>
        <v>0</v>
      </c>
      <c r="R85" s="1318">
        <f>+'9.sz.függ.Szivárvány Ó.'!W111</f>
        <v>0</v>
      </c>
      <c r="S85" s="1342">
        <f>+'9.sz.függ.Szivárvány Ó.'!X111</f>
        <v>35852188</v>
      </c>
    </row>
    <row r="86" spans="1:19" ht="25.5" x14ac:dyDescent="0.2">
      <c r="A86" s="1319" t="s">
        <v>194</v>
      </c>
      <c r="B86" s="1320" t="s">
        <v>25</v>
      </c>
      <c r="C86" s="1318">
        <f>+'3.sz.függ.Ter.Gond'!H315</f>
        <v>7350000</v>
      </c>
      <c r="D86" s="1318">
        <f>+'3.sz.függ.Ter.Gond'!I315</f>
        <v>1315500</v>
      </c>
      <c r="E86" s="1318">
        <f>+'3.sz.függ.Ter.Gond'!J315</f>
        <v>183940205</v>
      </c>
      <c r="F86" s="1318">
        <f>+'3.sz.függ.Ter.Gond'!K315</f>
        <v>0</v>
      </c>
      <c r="G86" s="1318">
        <f>+'3.sz.függ.Ter.Gond'!L315</f>
        <v>41070640</v>
      </c>
      <c r="H86" s="1318">
        <f>+'3.sz.függ.Ter.Gond'!M315</f>
        <v>1428750</v>
      </c>
      <c r="I86" s="1318">
        <f>+'3.sz.függ.Ter.Gond'!N315</f>
        <v>0</v>
      </c>
      <c r="J86" s="1318">
        <f>+'3.sz.függ.Ter.Gond'!O315</f>
        <v>0</v>
      </c>
      <c r="K86" s="1342">
        <f>+'3.sz.függ.Ter.Gond'!P315</f>
        <v>0</v>
      </c>
      <c r="L86" s="1340">
        <f>+'3.sz.függ.Ter.Gond'!Q315</f>
        <v>12804600</v>
      </c>
      <c r="M86" s="1318">
        <f>+'3.sz.függ.Ter.Gond'!R315</f>
        <v>0</v>
      </c>
      <c r="N86" s="1318">
        <f>+'3.sz.függ.Ter.Gond'!S315</f>
        <v>0</v>
      </c>
      <c r="O86" s="1318">
        <f>+'3.sz.függ.Ter.Gond'!T315</f>
        <v>155904367</v>
      </c>
      <c r="P86" s="1318">
        <f>+'3.sz.függ.Ter.Gond'!U315</f>
        <v>0</v>
      </c>
      <c r="Q86" s="1318">
        <f>+'3.sz.függ.Ter.Gond'!V315</f>
        <v>0</v>
      </c>
      <c r="R86" s="1318">
        <f>+'3.sz.függ.Ter.Gond'!W315</f>
        <v>0</v>
      </c>
      <c r="S86" s="1342">
        <f>+'3.sz.függ.Ter.Gond'!X315</f>
        <v>66396128</v>
      </c>
    </row>
    <row r="87" spans="1:19" ht="25.5" x14ac:dyDescent="0.2">
      <c r="A87" s="1319" t="s">
        <v>195</v>
      </c>
      <c r="B87" s="1320" t="s">
        <v>1810</v>
      </c>
      <c r="C87" s="1318">
        <f>+'8.sz.függ.Gyermekjóléti'!H87</f>
        <v>4591120</v>
      </c>
      <c r="D87" s="1318">
        <f>+'8.sz.függ.Gyermekjóléti'!I87</f>
        <v>660880</v>
      </c>
      <c r="E87" s="1318">
        <f>+'8.sz.függ.Gyermekjóléti'!J87</f>
        <v>3954109</v>
      </c>
      <c r="F87" s="1318">
        <f>+'8.sz.függ.Gyermekjóléti'!K87</f>
        <v>0</v>
      </c>
      <c r="G87" s="1318">
        <f>+'8.sz.függ.Gyermekjóléti'!L87</f>
        <v>4801934</v>
      </c>
      <c r="H87" s="1318">
        <f>+'8.sz.függ.Gyermekjóléti'!M87</f>
        <v>1016000</v>
      </c>
      <c r="I87" s="1318">
        <f>+'8.sz.függ.Gyermekjóléti'!N87</f>
        <v>0</v>
      </c>
      <c r="J87" s="1318">
        <f>+'8.sz.függ.Gyermekjóléti'!O87</f>
        <v>0</v>
      </c>
      <c r="K87" s="1342">
        <f>+'8.sz.függ.Gyermekjóléti'!P87</f>
        <v>0</v>
      </c>
      <c r="L87" s="1340">
        <f>+'8.sz.függ.Gyermekjóléti'!Q87</f>
        <v>0</v>
      </c>
      <c r="M87" s="1318">
        <f>+'8.sz.függ.Gyermekjóléti'!R87</f>
        <v>0</v>
      </c>
      <c r="N87" s="1318">
        <f>+'8.sz.függ.Gyermekjóléti'!S87</f>
        <v>0</v>
      </c>
      <c r="O87" s="1318">
        <f>+'8.sz.függ.Gyermekjóléti'!T87</f>
        <v>4486399</v>
      </c>
      <c r="P87" s="1318">
        <f>+'8.sz.függ.Gyermekjóléti'!U87</f>
        <v>0</v>
      </c>
      <c r="Q87" s="1318">
        <f>+'8.sz.függ.Gyermekjóléti'!V87</f>
        <v>0</v>
      </c>
      <c r="R87" s="1318">
        <f>+'8.sz.függ.Gyermekjóléti'!W87</f>
        <v>0</v>
      </c>
      <c r="S87" s="1342">
        <f>+'8.sz.függ.Gyermekjóléti'!X87</f>
        <v>10537644</v>
      </c>
    </row>
    <row r="88" spans="1:19" ht="24.75" customHeight="1" x14ac:dyDescent="0.2">
      <c r="A88" s="1319" t="s">
        <v>196</v>
      </c>
      <c r="B88" s="1321" t="s">
        <v>612</v>
      </c>
      <c r="C88" s="1318">
        <f>+'4.sz.függ.Könyvtár'!H85</f>
        <v>1790008</v>
      </c>
      <c r="D88" s="1318">
        <f>+'4.sz.függ.Könyvtár'!I85</f>
        <v>461992</v>
      </c>
      <c r="E88" s="1318">
        <f>+'4.sz.függ.Könyvtár'!J85</f>
        <v>2767790</v>
      </c>
      <c r="F88" s="1318">
        <f>+'4.sz.függ.Könyvtár'!K85</f>
        <v>0</v>
      </c>
      <c r="G88" s="1318">
        <f>+'4.sz.függ.Könyvtár'!L85</f>
        <v>4638105</v>
      </c>
      <c r="H88" s="1318">
        <f>+'4.sz.függ.Könyvtár'!M85</f>
        <v>-756</v>
      </c>
      <c r="I88" s="1318">
        <f>+'4.sz.függ.Könyvtár'!N85</f>
        <v>0</v>
      </c>
      <c r="J88" s="1318">
        <f>+'4.sz.függ.Könyvtár'!O85</f>
        <v>0</v>
      </c>
      <c r="K88" s="1342">
        <f>+'4.sz.függ.Könyvtár'!P85</f>
        <v>0</v>
      </c>
      <c r="L88" s="1340">
        <f>+'4.sz.függ.Könyvtár'!Q85</f>
        <v>20000</v>
      </c>
      <c r="M88" s="1318">
        <f>+'4.sz.függ.Könyvtár'!R85</f>
        <v>0</v>
      </c>
      <c r="N88" s="1318">
        <f>+'4.sz.függ.Könyvtár'!S85</f>
        <v>0</v>
      </c>
      <c r="O88" s="1318">
        <f>+'4.sz.függ.Könyvtár'!T85</f>
        <v>2139041</v>
      </c>
      <c r="P88" s="1318">
        <f>+'4.sz.függ.Könyvtár'!U85</f>
        <v>0</v>
      </c>
      <c r="Q88" s="1318">
        <f>+'4.sz.függ.Könyvtár'!V85</f>
        <v>507993</v>
      </c>
      <c r="R88" s="1318">
        <f>+'4.sz.függ.Könyvtár'!W85</f>
        <v>0</v>
      </c>
      <c r="S88" s="1342">
        <f>+'4.sz.függ.Könyvtár'!X85</f>
        <v>6990105</v>
      </c>
    </row>
    <row r="89" spans="1:19" ht="25.5" x14ac:dyDescent="0.2">
      <c r="A89" s="1319" t="s">
        <v>197</v>
      </c>
      <c r="B89" s="1677" t="s">
        <v>601</v>
      </c>
      <c r="C89" s="1318">
        <f>+'10.sz.függ.József A. MűvHáz'!H116</f>
        <v>8248858</v>
      </c>
      <c r="D89" s="1318">
        <f>+'10.sz.függ.József A. MűvHáz'!I116</f>
        <v>659000</v>
      </c>
      <c r="E89" s="1318">
        <f>+'10.sz.függ.József A. MűvHáz'!J116</f>
        <v>9525731</v>
      </c>
      <c r="F89" s="1318">
        <f>+'10.sz.függ.József A. MűvHáz'!K116</f>
        <v>0</v>
      </c>
      <c r="G89" s="1318">
        <f>+'10.sz.függ.József A. MűvHáz'!L116</f>
        <v>7115209</v>
      </c>
      <c r="H89" s="1318">
        <f>+'10.sz.függ.József A. MűvHáz'!M116</f>
        <v>1160400</v>
      </c>
      <c r="I89" s="1318">
        <f>+'10.sz.függ.József A. MűvHáz'!N116</f>
        <v>0</v>
      </c>
      <c r="J89" s="1318">
        <f>+'10.sz.függ.József A. MűvHáz'!O116</f>
        <v>0</v>
      </c>
      <c r="K89" s="1342">
        <f>+'10.sz.függ.József A. MűvHáz'!P116</f>
        <v>0</v>
      </c>
      <c r="L89" s="1340">
        <f>+'10.sz.függ.József A. MűvHáz'!Q116</f>
        <v>0</v>
      </c>
      <c r="M89" s="1318">
        <f>+'10.sz.függ.József A. MűvHáz'!R116</f>
        <v>0</v>
      </c>
      <c r="N89" s="1318">
        <f>+'10.sz.függ.József A. MűvHáz'!S116</f>
        <v>0</v>
      </c>
      <c r="O89" s="1318">
        <f>+'10.sz.függ.József A. MűvHáz'!T116</f>
        <v>10586131</v>
      </c>
      <c r="P89" s="1318">
        <f>+'10.sz.függ.József A. MűvHáz'!U116</f>
        <v>0</v>
      </c>
      <c r="Q89" s="1318">
        <f>+'10.sz.függ.József A. MűvHáz'!V116</f>
        <v>0</v>
      </c>
      <c r="R89" s="1318">
        <f>+'10.sz.függ.József A. MűvHáz'!W116</f>
        <v>0</v>
      </c>
      <c r="S89" s="1342">
        <f>+'10.sz.függ.József A. MűvHáz'!X116</f>
        <v>16123067</v>
      </c>
    </row>
    <row r="90" spans="1:19" ht="25.5" customHeight="1" x14ac:dyDescent="0.2">
      <c r="A90" s="2189" t="s">
        <v>1184</v>
      </c>
      <c r="B90" s="2190"/>
      <c r="C90" s="1322">
        <f>SUM(C80:C89)</f>
        <v>155447779</v>
      </c>
      <c r="D90" s="1322">
        <f>SUM(D80:D89)</f>
        <v>24181641</v>
      </c>
      <c r="E90" s="1322">
        <f t="shared" ref="E90:J90" si="3">SUM(E80:E89)</f>
        <v>1037965674</v>
      </c>
      <c r="F90" s="1322">
        <f t="shared" si="3"/>
        <v>0</v>
      </c>
      <c r="G90" s="1322">
        <f t="shared" si="3"/>
        <v>1604741827</v>
      </c>
      <c r="H90" s="1322">
        <f t="shared" si="3"/>
        <v>896284410</v>
      </c>
      <c r="I90" s="1322">
        <f t="shared" si="3"/>
        <v>68067759</v>
      </c>
      <c r="J90" s="1322">
        <f t="shared" si="3"/>
        <v>14657245</v>
      </c>
      <c r="K90" s="1323">
        <f>SUM(K80:K89)</f>
        <v>525210162</v>
      </c>
      <c r="L90" s="1324">
        <f t="shared" ref="L90:S90" si="4">SUM(L80:L89)</f>
        <v>461896247</v>
      </c>
      <c r="M90" s="1322">
        <f t="shared" si="4"/>
        <v>369680630</v>
      </c>
      <c r="N90" s="1322">
        <f t="shared" si="4"/>
        <v>1900625476</v>
      </c>
      <c r="O90" s="1322">
        <f t="shared" si="4"/>
        <v>469806949</v>
      </c>
      <c r="P90" s="1322">
        <f t="shared" si="4"/>
        <v>-49994281</v>
      </c>
      <c r="Q90" s="1322">
        <f t="shared" si="4"/>
        <v>2592993</v>
      </c>
      <c r="R90" s="1322">
        <f t="shared" si="4"/>
        <v>5348750</v>
      </c>
      <c r="S90" s="1323">
        <f t="shared" si="4"/>
        <v>1166599733</v>
      </c>
    </row>
    <row r="91" spans="1:19" ht="15" x14ac:dyDescent="0.25">
      <c r="A91" s="1192"/>
      <c r="B91" s="1192"/>
      <c r="C91" s="1193"/>
      <c r="D91" s="1193"/>
      <c r="E91" s="1193"/>
      <c r="F91" s="1193"/>
      <c r="G91" s="1193"/>
      <c r="H91" s="1193"/>
      <c r="I91" s="1193"/>
      <c r="J91" s="1193"/>
      <c r="K91" s="1193"/>
      <c r="L91" s="1193"/>
      <c r="M91" s="1193"/>
      <c r="N91" s="1193"/>
      <c r="O91" s="1193"/>
      <c r="P91" s="1193"/>
      <c r="Q91" s="1193"/>
      <c r="R91" s="1193"/>
      <c r="S91" s="1193"/>
    </row>
    <row r="92" spans="1:19" ht="15" x14ac:dyDescent="0.25">
      <c r="A92" s="1192"/>
      <c r="B92" s="1192"/>
      <c r="C92" s="1192"/>
      <c r="D92" s="1192"/>
      <c r="E92" s="1192"/>
      <c r="F92" s="1192"/>
      <c r="G92" s="1192"/>
      <c r="H92" s="1192"/>
      <c r="I92" s="1192"/>
      <c r="J92" s="1192"/>
      <c r="K92" s="1192"/>
      <c r="L92" s="1192"/>
      <c r="M92" s="1192"/>
      <c r="N92" s="1192"/>
      <c r="O92" s="1192"/>
      <c r="P92" s="1192"/>
      <c r="Q92" s="1192"/>
      <c r="R92" s="1192"/>
      <c r="S92" s="1192"/>
    </row>
    <row r="93" spans="1:19" ht="21.75" customHeight="1" x14ac:dyDescent="0.25">
      <c r="A93" s="1192"/>
      <c r="B93" s="1192"/>
      <c r="C93" s="1192"/>
      <c r="D93" s="2066" t="s">
        <v>1750</v>
      </c>
      <c r="E93" s="2066"/>
      <c r="F93" s="2066"/>
      <c r="G93" s="2066">
        <v>15711564705</v>
      </c>
      <c r="H93" s="2066"/>
      <c r="I93" s="1192"/>
      <c r="J93" s="1192"/>
      <c r="K93" s="1192"/>
      <c r="L93" s="1192"/>
      <c r="M93" s="2066" t="s">
        <v>1751</v>
      </c>
      <c r="N93" s="2066"/>
      <c r="O93" s="2066"/>
      <c r="P93" s="2066">
        <v>15711564705</v>
      </c>
      <c r="Q93" s="2066"/>
      <c r="R93" s="1192"/>
      <c r="S93" s="1192"/>
    </row>
    <row r="94" spans="1:19" ht="21.75" customHeight="1" x14ac:dyDescent="0.25">
      <c r="A94" s="1192"/>
      <c r="B94" s="1192"/>
      <c r="C94" s="1192"/>
      <c r="D94" s="2066" t="s">
        <v>3474</v>
      </c>
      <c r="E94" s="2066"/>
      <c r="F94" s="2066"/>
      <c r="G94" s="2066">
        <f>SUM(C90:K90)</f>
        <v>4326556497</v>
      </c>
      <c r="H94" s="2066"/>
      <c r="I94" s="1193"/>
      <c r="J94" s="1192"/>
      <c r="K94" s="1192"/>
      <c r="L94" s="1192"/>
      <c r="M94" s="2066" t="s">
        <v>3474</v>
      </c>
      <c r="N94" s="2066"/>
      <c r="O94" s="2066"/>
      <c r="P94" s="2066">
        <f>SUM(L90:S90)</f>
        <v>4326556497</v>
      </c>
      <c r="Q94" s="2066"/>
      <c r="R94" s="1192"/>
      <c r="S94" s="1192"/>
    </row>
    <row r="95" spans="1:19" ht="24" customHeight="1" x14ac:dyDescent="0.25">
      <c r="A95" s="1192"/>
      <c r="B95" s="1192"/>
      <c r="C95" s="1192"/>
      <c r="D95" s="2066" t="s">
        <v>1561</v>
      </c>
      <c r="E95" s="2066"/>
      <c r="F95" s="2066"/>
      <c r="G95" s="2066">
        <f>+G93+G94</f>
        <v>20038121202</v>
      </c>
      <c r="H95" s="2066"/>
      <c r="I95" s="1192"/>
      <c r="J95" s="1192"/>
      <c r="K95" s="1192"/>
      <c r="L95" s="1192"/>
      <c r="M95" s="2066" t="s">
        <v>1561</v>
      </c>
      <c r="N95" s="2066"/>
      <c r="O95" s="2066"/>
      <c r="P95" s="2066">
        <f>+P93+P94</f>
        <v>20038121202</v>
      </c>
      <c r="Q95" s="2066"/>
      <c r="R95" s="1192"/>
      <c r="S95" s="1192"/>
    </row>
    <row r="96" spans="1:19" x14ac:dyDescent="0.2">
      <c r="A96" s="348"/>
      <c r="B96" s="348"/>
      <c r="C96" s="348"/>
      <c r="D96" s="348"/>
      <c r="E96" s="348"/>
      <c r="F96" s="348"/>
      <c r="G96" s="348"/>
      <c r="H96" s="348"/>
      <c r="I96" s="348"/>
      <c r="J96" s="348"/>
      <c r="K96" s="348"/>
      <c r="L96" s="348"/>
      <c r="M96" s="348"/>
      <c r="N96" s="348"/>
      <c r="O96" s="348"/>
      <c r="P96" s="348"/>
      <c r="Q96" s="348"/>
      <c r="R96" s="348"/>
      <c r="S96" s="348"/>
    </row>
    <row r="97" spans="1:19" x14ac:dyDescent="0.2">
      <c r="A97" s="348"/>
      <c r="B97" s="348"/>
      <c r="C97" s="348"/>
      <c r="D97" s="348"/>
      <c r="E97" s="348"/>
      <c r="F97" s="348"/>
      <c r="G97" s="348"/>
      <c r="H97" s="348"/>
      <c r="I97" s="348"/>
      <c r="J97" s="348"/>
      <c r="K97" s="348"/>
      <c r="L97" s="348"/>
      <c r="M97" s="348"/>
      <c r="N97" s="348"/>
      <c r="O97" s="348"/>
      <c r="P97" s="348"/>
      <c r="Q97" s="348"/>
      <c r="R97" s="348"/>
      <c r="S97" s="348"/>
    </row>
    <row r="98" spans="1:19" x14ac:dyDescent="0.2">
      <c r="A98" s="348"/>
      <c r="B98" s="348"/>
      <c r="C98" s="348"/>
      <c r="D98" s="348"/>
      <c r="E98" s="348"/>
      <c r="F98" s="348"/>
      <c r="G98" s="348"/>
      <c r="H98" s="348"/>
      <c r="I98" s="348"/>
      <c r="J98" s="348"/>
      <c r="K98" s="348"/>
      <c r="L98" s="348"/>
      <c r="M98" s="348"/>
      <c r="N98" s="348"/>
      <c r="O98" s="348"/>
      <c r="P98" s="348"/>
      <c r="Q98" s="348"/>
      <c r="R98" s="348"/>
      <c r="S98" s="348"/>
    </row>
    <row r="99" spans="1:19" x14ac:dyDescent="0.2">
      <c r="A99" s="348"/>
      <c r="B99" s="348"/>
      <c r="C99" s="348"/>
      <c r="D99" s="348"/>
      <c r="E99" s="348"/>
      <c r="F99" s="348"/>
      <c r="G99" s="348"/>
      <c r="H99" s="348"/>
      <c r="I99" s="348"/>
      <c r="J99" s="348"/>
      <c r="K99" s="348"/>
      <c r="L99" s="348"/>
      <c r="M99" s="348"/>
      <c r="N99" s="348"/>
      <c r="O99" s="348"/>
      <c r="P99" s="348"/>
      <c r="Q99" s="348"/>
      <c r="R99" s="348"/>
      <c r="S99" s="348"/>
    </row>
    <row r="100" spans="1:19" x14ac:dyDescent="0.2">
      <c r="H100" s="574">
        <f>+G94-G69</f>
        <v>719938069</v>
      </c>
    </row>
    <row r="101" spans="1:19" x14ac:dyDescent="0.2">
      <c r="C101" s="574">
        <f>+C90-C65</f>
        <v>651296</v>
      </c>
      <c r="D101" s="574">
        <f t="shared" ref="D101:S101" si="5">+D90-D65</f>
        <v>109992</v>
      </c>
      <c r="E101" s="574">
        <f t="shared" si="5"/>
        <v>184473283</v>
      </c>
      <c r="F101" s="574">
        <f t="shared" si="5"/>
        <v>0</v>
      </c>
      <c r="G101" s="574">
        <f t="shared" si="5"/>
        <v>314453529</v>
      </c>
      <c r="H101" s="574">
        <f t="shared" si="5"/>
        <v>220255346</v>
      </c>
      <c r="I101" s="574">
        <f t="shared" si="5"/>
        <v>-104826835</v>
      </c>
      <c r="J101" s="574">
        <f t="shared" si="5"/>
        <v>2708495</v>
      </c>
      <c r="K101" s="574">
        <f t="shared" si="5"/>
        <v>102112963</v>
      </c>
      <c r="L101" s="574">
        <f t="shared" si="5"/>
        <v>154061515</v>
      </c>
      <c r="M101" s="574">
        <f t="shared" si="5"/>
        <v>54720000</v>
      </c>
      <c r="N101" s="574">
        <f t="shared" si="5"/>
        <v>326043619</v>
      </c>
      <c r="O101" s="574">
        <f t="shared" si="5"/>
        <v>53760224</v>
      </c>
      <c r="P101" s="574">
        <f t="shared" si="5"/>
        <v>-50724281</v>
      </c>
      <c r="Q101" s="574">
        <f t="shared" si="5"/>
        <v>500000</v>
      </c>
      <c r="R101" s="574">
        <f t="shared" si="5"/>
        <v>2380000</v>
      </c>
      <c r="S101" s="574">
        <f t="shared" si="5"/>
        <v>179196992</v>
      </c>
    </row>
  </sheetData>
  <mergeCells count="76">
    <mergeCell ref="D69:F69"/>
    <mergeCell ref="G69:H69"/>
    <mergeCell ref="M69:O69"/>
    <mergeCell ref="P69:Q69"/>
    <mergeCell ref="D70:F70"/>
    <mergeCell ref="G70:H70"/>
    <mergeCell ref="M70:O70"/>
    <mergeCell ref="P70:Q70"/>
    <mergeCell ref="A65:B65"/>
    <mergeCell ref="D68:F68"/>
    <mergeCell ref="G68:H68"/>
    <mergeCell ref="M68:O68"/>
    <mergeCell ref="P68:Q68"/>
    <mergeCell ref="A49:S49"/>
    <mergeCell ref="A51:S51"/>
    <mergeCell ref="A53:A54"/>
    <mergeCell ref="B53:B54"/>
    <mergeCell ref="C53:J53"/>
    <mergeCell ref="L53:S53"/>
    <mergeCell ref="D44:F44"/>
    <mergeCell ref="G44:H44"/>
    <mergeCell ref="M44:O44"/>
    <mergeCell ref="P44:Q44"/>
    <mergeCell ref="D45:F45"/>
    <mergeCell ref="G45:H45"/>
    <mergeCell ref="M45:O45"/>
    <mergeCell ref="P45:Q45"/>
    <mergeCell ref="A40:B40"/>
    <mergeCell ref="D43:F43"/>
    <mergeCell ref="G43:H43"/>
    <mergeCell ref="M43:O43"/>
    <mergeCell ref="P43:Q43"/>
    <mergeCell ref="A24:S24"/>
    <mergeCell ref="A26:S26"/>
    <mergeCell ref="A28:A29"/>
    <mergeCell ref="B28:B29"/>
    <mergeCell ref="C28:J28"/>
    <mergeCell ref="L28:S28"/>
    <mergeCell ref="D22:F22"/>
    <mergeCell ref="G22:H22"/>
    <mergeCell ref="M22:O22"/>
    <mergeCell ref="P22:Q22"/>
    <mergeCell ref="A17:B17"/>
    <mergeCell ref="D20:F20"/>
    <mergeCell ref="G20:H20"/>
    <mergeCell ref="M20:O20"/>
    <mergeCell ref="P20:Q20"/>
    <mergeCell ref="D21:F21"/>
    <mergeCell ref="G21:H21"/>
    <mergeCell ref="M21:O21"/>
    <mergeCell ref="P21:Q21"/>
    <mergeCell ref="A1:S1"/>
    <mergeCell ref="A3:S3"/>
    <mergeCell ref="A5:A6"/>
    <mergeCell ref="B5:B6"/>
    <mergeCell ref="C5:J5"/>
    <mergeCell ref="L5:S5"/>
    <mergeCell ref="A74:S74"/>
    <mergeCell ref="A76:S76"/>
    <mergeCell ref="A78:A79"/>
    <mergeCell ref="B78:B79"/>
    <mergeCell ref="C78:J78"/>
    <mergeCell ref="L78:S78"/>
    <mergeCell ref="A90:B90"/>
    <mergeCell ref="D93:F93"/>
    <mergeCell ref="G93:H93"/>
    <mergeCell ref="M93:O93"/>
    <mergeCell ref="P93:Q93"/>
    <mergeCell ref="D94:F94"/>
    <mergeCell ref="G94:H94"/>
    <mergeCell ref="M94:O94"/>
    <mergeCell ref="P94:Q94"/>
    <mergeCell ref="D95:F95"/>
    <mergeCell ref="G95:H95"/>
    <mergeCell ref="M95:O95"/>
    <mergeCell ref="P95:Q95"/>
  </mergeCells>
  <pageMargins left="0.51181102362204722" right="0.11811023622047245" top="0.74803149606299213" bottom="0.74803149606299213" header="0.31496062992125984" footer="0.31496062992125984"/>
  <pageSetup paperSize="9" scale="52" orientation="landscape" r:id="rId1"/>
  <headerFooter>
    <oddHeader>&amp;C2023. évi költségvetés&amp;RVárosi mindösszesen előirányzat-módosítása</oddHeader>
    <oddFooter>&amp;C&amp;P/&amp;N</oddFooter>
  </headerFooter>
  <rowBreaks count="3" manualBreakCount="3">
    <brk id="22" max="18" man="1"/>
    <brk id="45" max="18" man="1"/>
    <brk id="70" max="1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U366"/>
  <sheetViews>
    <sheetView view="pageBreakPreview" zoomScaleNormal="100" zoomScaleSheetLayoutView="100" workbookViewId="0">
      <pane ySplit="3" topLeftCell="A358" activePane="bottomLeft" state="frozen"/>
      <selection pane="bottomLeft" activeCell="A363" sqref="A363:XFD363"/>
    </sheetView>
  </sheetViews>
  <sheetFormatPr defaultRowHeight="12.75" x14ac:dyDescent="0.2"/>
  <cols>
    <col min="1" max="2" width="4.5703125" customWidth="1"/>
    <col min="3" max="3" width="40.5703125" customWidth="1"/>
    <col min="4" max="4" width="15.7109375" customWidth="1"/>
    <col min="5" max="5" width="16.85546875" customWidth="1"/>
    <col min="6" max="7" width="14.7109375" customWidth="1"/>
    <col min="8" max="8" width="18.5703125" customWidth="1"/>
    <col min="9" max="9" width="15.42578125" customWidth="1"/>
    <col min="10" max="10" width="15.5703125" customWidth="1"/>
    <col min="11" max="11" width="14.85546875" customWidth="1"/>
    <col min="12" max="12" width="15.85546875" customWidth="1"/>
    <col min="13" max="13" width="21.42578125" customWidth="1"/>
    <col min="14" max="15" width="18.7109375" customWidth="1"/>
    <col min="16" max="17" width="18.85546875" customWidth="1"/>
    <col min="18" max="18" width="15" customWidth="1"/>
    <col min="19" max="19" width="16.85546875" customWidth="1"/>
    <col min="20" max="20" width="18.28515625" customWidth="1"/>
    <col min="21" max="21" width="15.7109375" customWidth="1"/>
    <col min="22" max="22" width="17.7109375" customWidth="1"/>
    <col min="23" max="23" width="21.28515625" customWidth="1"/>
    <col min="24" max="24" width="17.85546875" customWidth="1"/>
    <col min="25" max="25" width="17.5703125" customWidth="1"/>
    <col min="26" max="26" width="14.7109375" customWidth="1"/>
    <col min="27" max="28" width="15.42578125" customWidth="1"/>
    <col min="29" max="29" width="17.28515625" customWidth="1"/>
    <col min="30" max="30" width="15.42578125" customWidth="1"/>
    <col min="31" max="31" width="21.42578125" customWidth="1"/>
    <col min="32" max="32" width="18.28515625" customWidth="1"/>
    <col min="33" max="33" width="21.7109375" customWidth="1"/>
    <col min="34" max="34" width="17.140625" customWidth="1"/>
    <col min="35" max="35" width="19.7109375" customWidth="1"/>
    <col min="36" max="36" width="20.85546875" customWidth="1"/>
    <col min="37" max="37" width="20" customWidth="1"/>
    <col min="38" max="39" width="14.28515625" customWidth="1"/>
    <col min="40" max="40" width="19.85546875" customWidth="1"/>
    <col min="41" max="41" width="17.28515625" customWidth="1"/>
    <col min="42" max="45" width="13.5703125" customWidth="1"/>
    <col min="46" max="46" width="14.28515625" customWidth="1"/>
    <col min="47" max="47" width="15" customWidth="1"/>
  </cols>
  <sheetData>
    <row r="1" spans="1:47" ht="15.75" x14ac:dyDescent="0.2">
      <c r="A1" s="2203" t="s">
        <v>1811</v>
      </c>
      <c r="B1" s="2203"/>
      <c r="C1" s="2203"/>
      <c r="D1" s="2203"/>
      <c r="E1" s="2203"/>
      <c r="F1" s="2203"/>
      <c r="G1" s="2203"/>
      <c r="H1" s="2203"/>
      <c r="I1" s="2203"/>
      <c r="J1" s="2203"/>
      <c r="K1" s="2203"/>
      <c r="L1" s="2203"/>
      <c r="M1" s="2203"/>
      <c r="N1" s="2203" t="s">
        <v>1811</v>
      </c>
      <c r="O1" s="2203"/>
      <c r="P1" s="2203"/>
      <c r="Q1" s="2203"/>
      <c r="R1" s="2203"/>
      <c r="S1" s="2203"/>
      <c r="T1" s="2203"/>
      <c r="U1" s="2203"/>
      <c r="V1" s="2203"/>
      <c r="W1" s="2203"/>
      <c r="X1" s="2203" t="s">
        <v>1811</v>
      </c>
      <c r="Y1" s="2203"/>
      <c r="Z1" s="2203"/>
      <c r="AA1" s="2203"/>
      <c r="AB1" s="2203"/>
      <c r="AC1" s="2203"/>
      <c r="AD1" s="2203"/>
      <c r="AE1" s="2203"/>
      <c r="AF1" s="2203"/>
      <c r="AG1" s="2203"/>
      <c r="AH1" s="2203"/>
      <c r="AI1" s="2203" t="s">
        <v>1811</v>
      </c>
      <c r="AJ1" s="2203"/>
      <c r="AK1" s="2203"/>
      <c r="AL1" s="2203"/>
      <c r="AM1" s="2203"/>
      <c r="AN1" s="2203"/>
      <c r="AO1" s="2203"/>
      <c r="AP1" s="2203"/>
      <c r="AQ1" s="2203"/>
      <c r="AR1" s="2203"/>
      <c r="AS1" s="2203"/>
      <c r="AT1" s="2203"/>
      <c r="AU1" s="2203"/>
    </row>
    <row r="2" spans="1:47" ht="159" customHeight="1" x14ac:dyDescent="0.2">
      <c r="A2" s="1325" t="s">
        <v>53</v>
      </c>
      <c r="B2" s="1326" t="s">
        <v>1726</v>
      </c>
      <c r="C2" s="1327" t="s">
        <v>2</v>
      </c>
      <c r="D2" s="1484" t="s">
        <v>826</v>
      </c>
      <c r="E2" s="1484" t="s">
        <v>827</v>
      </c>
      <c r="F2" s="1327" t="s">
        <v>182</v>
      </c>
      <c r="G2" s="1327" t="s">
        <v>1812</v>
      </c>
      <c r="H2" s="812" t="s">
        <v>1813</v>
      </c>
      <c r="I2" s="812" t="s">
        <v>356</v>
      </c>
      <c r="J2" s="812" t="s">
        <v>3272</v>
      </c>
      <c r="K2" s="812" t="s">
        <v>1814</v>
      </c>
      <c r="L2" s="812" t="s">
        <v>359</v>
      </c>
      <c r="M2" s="1504" t="s">
        <v>1815</v>
      </c>
      <c r="N2" s="969" t="s">
        <v>712</v>
      </c>
      <c r="O2" s="812" t="s">
        <v>2108</v>
      </c>
      <c r="P2" s="1327" t="s">
        <v>48</v>
      </c>
      <c r="Q2" s="1484" t="s">
        <v>881</v>
      </c>
      <c r="R2" s="1327" t="s">
        <v>43</v>
      </c>
      <c r="S2" s="1327" t="s">
        <v>44</v>
      </c>
      <c r="T2" s="1327" t="s">
        <v>45</v>
      </c>
      <c r="U2" s="1327" t="s">
        <v>46</v>
      </c>
      <c r="V2" s="1327" t="s">
        <v>47</v>
      </c>
      <c r="W2" s="1504" t="s">
        <v>518</v>
      </c>
      <c r="X2" s="969" t="s">
        <v>592</v>
      </c>
      <c r="Y2" s="1485" t="s">
        <v>824</v>
      </c>
      <c r="Z2" s="1485" t="s">
        <v>823</v>
      </c>
      <c r="AA2" s="1485" t="s">
        <v>1290</v>
      </c>
      <c r="AB2" s="1485" t="s">
        <v>1455</v>
      </c>
      <c r="AC2" s="1327" t="s">
        <v>115</v>
      </c>
      <c r="AD2" s="1327" t="s">
        <v>645</v>
      </c>
      <c r="AE2" s="1327" t="s">
        <v>646</v>
      </c>
      <c r="AF2" s="1327" t="s">
        <v>39</v>
      </c>
      <c r="AG2" s="1327" t="s">
        <v>641</v>
      </c>
      <c r="AH2" s="1329" t="s">
        <v>390</v>
      </c>
      <c r="AI2" s="1496" t="s">
        <v>42</v>
      </c>
      <c r="AJ2" s="1327" t="s">
        <v>858</v>
      </c>
      <c r="AK2" s="1484" t="s">
        <v>1407</v>
      </c>
      <c r="AL2" s="1327" t="s">
        <v>638</v>
      </c>
      <c r="AM2" s="1327" t="s">
        <v>3003</v>
      </c>
      <c r="AN2" s="1327" t="s">
        <v>3252</v>
      </c>
      <c r="AO2" s="1327" t="s">
        <v>552</v>
      </c>
      <c r="AP2" s="1486" t="s">
        <v>764</v>
      </c>
      <c r="AQ2" s="812" t="s">
        <v>765</v>
      </c>
      <c r="AR2" s="812" t="s">
        <v>1408</v>
      </c>
      <c r="AS2" s="812" t="s">
        <v>1450</v>
      </c>
      <c r="AT2" s="1327" t="s">
        <v>49</v>
      </c>
      <c r="AU2" s="1329" t="s">
        <v>50</v>
      </c>
    </row>
    <row r="3" spans="1:47" x14ac:dyDescent="0.2">
      <c r="A3" s="1330" t="s">
        <v>1816</v>
      </c>
      <c r="B3" s="1381" t="s">
        <v>188</v>
      </c>
      <c r="C3" s="1382" t="s">
        <v>273</v>
      </c>
      <c r="D3" s="1383">
        <v>5000000</v>
      </c>
      <c r="E3" s="1383">
        <v>5000000</v>
      </c>
      <c r="F3" s="1384">
        <v>10000000</v>
      </c>
      <c r="G3" s="1384">
        <v>15000000</v>
      </c>
      <c r="H3" s="1385">
        <v>2044893</v>
      </c>
      <c r="I3" s="1385">
        <v>659324</v>
      </c>
      <c r="J3" s="1385">
        <v>4074055</v>
      </c>
      <c r="K3" s="1385">
        <v>2373132</v>
      </c>
      <c r="L3" s="1385">
        <v>10494228</v>
      </c>
      <c r="M3" s="1505">
        <v>18146313</v>
      </c>
      <c r="N3" s="1500">
        <v>308324</v>
      </c>
      <c r="O3" s="1385">
        <v>34976162</v>
      </c>
      <c r="P3" s="1384">
        <v>230000000</v>
      </c>
      <c r="Q3" s="1384">
        <v>10000000</v>
      </c>
      <c r="R3" s="1384">
        <v>3000000</v>
      </c>
      <c r="S3" s="1384">
        <v>3000000</v>
      </c>
      <c r="T3" s="1384">
        <v>2500000</v>
      </c>
      <c r="U3" s="1384">
        <v>3000000</v>
      </c>
      <c r="V3" s="1384">
        <v>2000000</v>
      </c>
      <c r="W3" s="1510">
        <v>16564354</v>
      </c>
      <c r="X3" s="1383">
        <v>10000000</v>
      </c>
      <c r="Y3" s="1384">
        <v>35000000</v>
      </c>
      <c r="Z3" s="1384">
        <v>75000000</v>
      </c>
      <c r="AA3" s="1384">
        <v>2000000</v>
      </c>
      <c r="AB3" s="1384">
        <v>2260000</v>
      </c>
      <c r="AC3" s="1384">
        <v>50000000</v>
      </c>
      <c r="AD3" s="1384">
        <v>50000000</v>
      </c>
      <c r="AE3" s="1384">
        <v>15000000</v>
      </c>
      <c r="AF3" s="1384">
        <v>1000000</v>
      </c>
      <c r="AG3" s="1384">
        <v>2000000</v>
      </c>
      <c r="AH3" s="1386">
        <v>10000000</v>
      </c>
      <c r="AI3" s="1383">
        <v>50000000</v>
      </c>
      <c r="AJ3" s="1384">
        <v>67820881</v>
      </c>
      <c r="AK3" s="1384">
        <v>55711824</v>
      </c>
      <c r="AL3" s="1384">
        <v>20000000</v>
      </c>
      <c r="AM3" s="1384">
        <v>0</v>
      </c>
      <c r="AN3" s="1384">
        <v>0</v>
      </c>
      <c r="AO3" s="1384">
        <v>50000000</v>
      </c>
      <c r="AP3" s="1384">
        <v>0</v>
      </c>
      <c r="AQ3" s="1384">
        <v>0</v>
      </c>
      <c r="AR3" s="1384">
        <v>88242000</v>
      </c>
      <c r="AS3" s="1384">
        <v>30000000</v>
      </c>
      <c r="AT3" s="1384">
        <v>25000000</v>
      </c>
      <c r="AU3" s="1386">
        <v>6000000</v>
      </c>
    </row>
    <row r="4" spans="1:47" ht="57" customHeight="1" x14ac:dyDescent="0.2">
      <c r="A4" s="1376" t="s">
        <v>194</v>
      </c>
      <c r="B4" s="1377" t="s">
        <v>741</v>
      </c>
      <c r="C4" s="1161" t="s">
        <v>1869</v>
      </c>
      <c r="D4" s="1333"/>
      <c r="E4" s="1333"/>
      <c r="F4" s="1333"/>
      <c r="G4" s="1333"/>
      <c r="H4" s="1378"/>
      <c r="I4" s="1378"/>
      <c r="J4" s="1378"/>
      <c r="K4" s="1378"/>
      <c r="L4" s="1378"/>
      <c r="M4" s="1506"/>
      <c r="N4" s="1501"/>
      <c r="O4" s="1378">
        <v>-1942776</v>
      </c>
      <c r="P4" s="1333"/>
      <c r="Q4" s="1333"/>
      <c r="R4" s="1333"/>
      <c r="S4" s="1333"/>
      <c r="T4" s="1333"/>
      <c r="U4" s="1333"/>
      <c r="V4" s="1333"/>
      <c r="W4" s="1380"/>
      <c r="X4" s="1508"/>
      <c r="Y4" s="1333"/>
      <c r="Z4" s="1333"/>
      <c r="AA4" s="1333"/>
      <c r="AB4" s="1333"/>
      <c r="AC4" s="1379"/>
      <c r="AD4" s="1333"/>
      <c r="AE4" s="1333"/>
      <c r="AF4" s="1333"/>
      <c r="AG4" s="1333"/>
      <c r="AH4" s="1380"/>
      <c r="AI4" s="1508"/>
      <c r="AJ4" s="1333"/>
      <c r="AK4" s="1333"/>
      <c r="AL4" s="1333"/>
      <c r="AM4" s="1333"/>
      <c r="AN4" s="1333"/>
      <c r="AO4" s="1333"/>
      <c r="AP4" s="1333"/>
      <c r="AQ4" s="1333"/>
      <c r="AR4" s="1333"/>
      <c r="AS4" s="1333"/>
      <c r="AT4" s="1333"/>
      <c r="AU4" s="1380"/>
    </row>
    <row r="5" spans="1:47" ht="40.5" customHeight="1" x14ac:dyDescent="0.2">
      <c r="A5" s="1335" t="s">
        <v>198</v>
      </c>
      <c r="B5" s="1336" t="s">
        <v>874</v>
      </c>
      <c r="C5" s="1169" t="s">
        <v>1874</v>
      </c>
      <c r="D5" s="1331"/>
      <c r="E5" s="1331"/>
      <c r="F5" s="1331"/>
      <c r="G5" s="1331"/>
      <c r="H5" s="1332"/>
      <c r="I5" s="1332"/>
      <c r="J5" s="1332"/>
      <c r="K5" s="1332"/>
      <c r="L5" s="1332"/>
      <c r="M5" s="1507"/>
      <c r="N5" s="1502"/>
      <c r="O5" s="1332"/>
      <c r="P5" s="1331"/>
      <c r="Q5" s="1331"/>
      <c r="R5" s="1331"/>
      <c r="S5" s="1331"/>
      <c r="T5" s="1331"/>
      <c r="U5" s="1331"/>
      <c r="V5" s="1331"/>
      <c r="W5" s="1334"/>
      <c r="X5" s="1509"/>
      <c r="Y5" s="1331"/>
      <c r="Z5" s="1331"/>
      <c r="AA5" s="1331"/>
      <c r="AB5" s="1331"/>
      <c r="AC5" s="1331"/>
      <c r="AD5" s="1331"/>
      <c r="AE5" s="1331"/>
      <c r="AF5" s="1331"/>
      <c r="AG5" s="1331"/>
      <c r="AH5" s="1334"/>
      <c r="AI5" s="1509"/>
      <c r="AJ5" s="1331"/>
      <c r="AK5" s="1331"/>
      <c r="AL5" s="1331"/>
      <c r="AM5" s="1331"/>
      <c r="AN5" s="1331"/>
      <c r="AO5" s="1331"/>
      <c r="AP5" s="1331"/>
      <c r="AQ5" s="1331"/>
      <c r="AR5" s="1331"/>
      <c r="AS5" s="1331"/>
      <c r="AT5" s="1331"/>
      <c r="AU5" s="1334">
        <v>-150000</v>
      </c>
    </row>
    <row r="6" spans="1:47" ht="54.75" customHeight="1" x14ac:dyDescent="0.2">
      <c r="A6" s="1335" t="s">
        <v>225</v>
      </c>
      <c r="B6" s="1336" t="s">
        <v>321</v>
      </c>
      <c r="C6" s="1169" t="s">
        <v>2159</v>
      </c>
      <c r="D6" s="1331"/>
      <c r="E6" s="1331"/>
      <c r="F6" s="1331"/>
      <c r="G6" s="1331"/>
      <c r="H6" s="1332"/>
      <c r="I6" s="1332"/>
      <c r="J6" s="1332"/>
      <c r="K6" s="1332"/>
      <c r="L6" s="1332"/>
      <c r="M6" s="1507"/>
      <c r="N6" s="1502"/>
      <c r="O6" s="1332"/>
      <c r="P6" s="1331">
        <v>-4445000</v>
      </c>
      <c r="Q6" s="1331"/>
      <c r="R6" s="1331"/>
      <c r="S6" s="1331"/>
      <c r="T6" s="1331"/>
      <c r="U6" s="1331"/>
      <c r="V6" s="1331"/>
      <c r="W6" s="1334"/>
      <c r="X6" s="1509"/>
      <c r="Y6" s="1331"/>
      <c r="Z6" s="1331"/>
      <c r="AA6" s="1331"/>
      <c r="AB6" s="1331"/>
      <c r="AC6" s="1331"/>
      <c r="AD6" s="1331"/>
      <c r="AE6" s="1331"/>
      <c r="AF6" s="1331"/>
      <c r="AG6" s="1331"/>
      <c r="AH6" s="1334"/>
      <c r="AI6" s="1509"/>
      <c r="AJ6" s="1331"/>
      <c r="AK6" s="1331"/>
      <c r="AL6" s="1331"/>
      <c r="AM6" s="1331"/>
      <c r="AN6" s="1331"/>
      <c r="AO6" s="1331"/>
      <c r="AP6" s="1331"/>
      <c r="AQ6" s="1331"/>
      <c r="AR6" s="1331"/>
      <c r="AS6" s="1331"/>
      <c r="AT6" s="1331"/>
      <c r="AU6" s="1334"/>
    </row>
    <row r="7" spans="1:47" ht="54" customHeight="1" x14ac:dyDescent="0.2">
      <c r="A7" s="1335" t="s">
        <v>226</v>
      </c>
      <c r="B7" s="1336" t="s">
        <v>322</v>
      </c>
      <c r="C7" s="1169" t="s">
        <v>2165</v>
      </c>
      <c r="D7" s="1331"/>
      <c r="E7" s="1331"/>
      <c r="F7" s="1331"/>
      <c r="G7" s="1331"/>
      <c r="H7" s="1332"/>
      <c r="I7" s="1332"/>
      <c r="J7" s="1332"/>
      <c r="K7" s="1332"/>
      <c r="L7" s="1332"/>
      <c r="M7" s="1507"/>
      <c r="N7" s="1502"/>
      <c r="O7" s="1332"/>
      <c r="P7" s="1331">
        <v>-1752600</v>
      </c>
      <c r="Q7" s="1331"/>
      <c r="R7" s="1331"/>
      <c r="S7" s="1331"/>
      <c r="T7" s="1331"/>
      <c r="U7" s="1331"/>
      <c r="V7" s="1331"/>
      <c r="W7" s="1334"/>
      <c r="X7" s="1509"/>
      <c r="Y7" s="1331"/>
      <c r="Z7" s="1331"/>
      <c r="AA7" s="1331"/>
      <c r="AB7" s="1331"/>
      <c r="AC7" s="1331"/>
      <c r="AD7" s="1331"/>
      <c r="AE7" s="1331"/>
      <c r="AF7" s="1331"/>
      <c r="AG7" s="1331"/>
      <c r="AH7" s="1334"/>
      <c r="AI7" s="1509"/>
      <c r="AJ7" s="1331"/>
      <c r="AK7" s="1331"/>
      <c r="AL7" s="1331"/>
      <c r="AM7" s="1331"/>
      <c r="AN7" s="1331"/>
      <c r="AO7" s="1331"/>
      <c r="AP7" s="1331"/>
      <c r="AQ7" s="1331"/>
      <c r="AR7" s="1331"/>
      <c r="AS7" s="1331"/>
      <c r="AT7" s="1331"/>
      <c r="AU7" s="1334"/>
    </row>
    <row r="8" spans="1:47" ht="54" customHeight="1" x14ac:dyDescent="0.2">
      <c r="A8" s="1335" t="s">
        <v>227</v>
      </c>
      <c r="B8" s="1336" t="s">
        <v>323</v>
      </c>
      <c r="C8" s="1169" t="s">
        <v>2203</v>
      </c>
      <c r="D8" s="1331"/>
      <c r="E8" s="1331"/>
      <c r="F8" s="1331"/>
      <c r="G8" s="1331"/>
      <c r="H8" s="1332"/>
      <c r="I8" s="1332"/>
      <c r="J8" s="1332"/>
      <c r="K8" s="1332"/>
      <c r="L8" s="1332"/>
      <c r="M8" s="1507"/>
      <c r="N8" s="1502"/>
      <c r="O8" s="1332"/>
      <c r="P8" s="1331">
        <v>-2535300</v>
      </c>
      <c r="Q8" s="1331"/>
      <c r="R8" s="1331"/>
      <c r="S8" s="1331"/>
      <c r="T8" s="1331"/>
      <c r="U8" s="1331"/>
      <c r="V8" s="1331"/>
      <c r="W8" s="1334"/>
      <c r="X8" s="1509"/>
      <c r="Y8" s="1331"/>
      <c r="Z8" s="1331"/>
      <c r="AA8" s="1331"/>
      <c r="AB8" s="1331"/>
      <c r="AC8" s="1331"/>
      <c r="AD8" s="1331"/>
      <c r="AE8" s="1331"/>
      <c r="AF8" s="1331"/>
      <c r="AG8" s="1331"/>
      <c r="AH8" s="1334"/>
      <c r="AI8" s="1509"/>
      <c r="AJ8" s="1331"/>
      <c r="AK8" s="1331"/>
      <c r="AL8" s="1331"/>
      <c r="AM8" s="1331"/>
      <c r="AN8" s="1331"/>
      <c r="AO8" s="1331"/>
      <c r="AP8" s="1331"/>
      <c r="AQ8" s="1331"/>
      <c r="AR8" s="1331"/>
      <c r="AS8" s="1331"/>
      <c r="AT8" s="1331"/>
      <c r="AU8" s="1334"/>
    </row>
    <row r="9" spans="1:47" ht="43.5" customHeight="1" x14ac:dyDescent="0.2">
      <c r="A9" s="1335" t="s">
        <v>228</v>
      </c>
      <c r="B9" s="1336" t="s">
        <v>324</v>
      </c>
      <c r="C9" s="1169" t="s">
        <v>1877</v>
      </c>
      <c r="D9" s="1331"/>
      <c r="E9" s="1331"/>
      <c r="F9" s="1331"/>
      <c r="G9" s="1331"/>
      <c r="H9" s="1332"/>
      <c r="I9" s="1332"/>
      <c r="J9" s="1332"/>
      <c r="K9" s="1332"/>
      <c r="L9" s="1332"/>
      <c r="M9" s="1507"/>
      <c r="N9" s="1502"/>
      <c r="O9" s="1332"/>
      <c r="P9" s="1331"/>
      <c r="Q9" s="1331"/>
      <c r="R9" s="1331"/>
      <c r="S9" s="1331"/>
      <c r="T9" s="1331"/>
      <c r="U9" s="1331"/>
      <c r="V9" s="1331"/>
      <c r="W9" s="1334">
        <v>2341175</v>
      </c>
      <c r="X9" s="1509"/>
      <c r="Y9" s="1331"/>
      <c r="Z9" s="1331"/>
      <c r="AA9" s="1331"/>
      <c r="AB9" s="1331"/>
      <c r="AC9" s="1331"/>
      <c r="AD9" s="1331"/>
      <c r="AE9" s="1331"/>
      <c r="AF9" s="1331"/>
      <c r="AG9" s="1331"/>
      <c r="AH9" s="1334"/>
      <c r="AI9" s="1509"/>
      <c r="AJ9" s="1331"/>
      <c r="AK9" s="1331"/>
      <c r="AL9" s="1331"/>
      <c r="AM9" s="1331"/>
      <c r="AN9" s="1331"/>
      <c r="AO9" s="1331"/>
      <c r="AP9" s="1331"/>
      <c r="AQ9" s="1331"/>
      <c r="AR9" s="1331"/>
      <c r="AS9" s="1331"/>
      <c r="AT9" s="1331"/>
      <c r="AU9" s="1334"/>
    </row>
    <row r="10" spans="1:47" ht="46.5" customHeight="1" x14ac:dyDescent="0.2">
      <c r="A10" s="1335" t="s">
        <v>229</v>
      </c>
      <c r="B10" s="1336" t="s">
        <v>325</v>
      </c>
      <c r="C10" s="1169" t="s">
        <v>1879</v>
      </c>
      <c r="D10" s="1331"/>
      <c r="E10" s="1331"/>
      <c r="F10" s="1331"/>
      <c r="G10" s="1331"/>
      <c r="H10" s="1332"/>
      <c r="I10" s="1332"/>
      <c r="J10" s="1332"/>
      <c r="K10" s="1332"/>
      <c r="L10" s="1332"/>
      <c r="M10" s="1507"/>
      <c r="N10" s="1502"/>
      <c r="O10" s="1332"/>
      <c r="P10" s="1331"/>
      <c r="Q10" s="1331"/>
      <c r="R10" s="1331"/>
      <c r="S10" s="1331"/>
      <c r="T10" s="1331"/>
      <c r="U10" s="1331"/>
      <c r="V10" s="1331"/>
      <c r="W10" s="1334">
        <v>2438905</v>
      </c>
      <c r="X10" s="1509"/>
      <c r="Y10" s="1331"/>
      <c r="Z10" s="1331"/>
      <c r="AA10" s="1331"/>
      <c r="AB10" s="1331"/>
      <c r="AC10" s="1331"/>
      <c r="AD10" s="1331"/>
      <c r="AE10" s="1331"/>
      <c r="AF10" s="1331"/>
      <c r="AG10" s="1331"/>
      <c r="AH10" s="1334"/>
      <c r="AI10" s="1509"/>
      <c r="AJ10" s="1331"/>
      <c r="AK10" s="1331"/>
      <c r="AL10" s="1331"/>
      <c r="AM10" s="1331"/>
      <c r="AN10" s="1331"/>
      <c r="AO10" s="1331"/>
      <c r="AP10" s="1331"/>
      <c r="AQ10" s="1331"/>
      <c r="AR10" s="1331"/>
      <c r="AS10" s="1331"/>
      <c r="AT10" s="1331"/>
      <c r="AU10" s="1334"/>
    </row>
    <row r="11" spans="1:47" ht="31.5" customHeight="1" x14ac:dyDescent="0.2">
      <c r="A11" s="1335" t="s">
        <v>232</v>
      </c>
      <c r="B11" s="1336" t="s">
        <v>769</v>
      </c>
      <c r="C11" s="1169" t="s">
        <v>1884</v>
      </c>
      <c r="D11" s="1331"/>
      <c r="E11" s="1331"/>
      <c r="F11" s="1331">
        <v>-1172200</v>
      </c>
      <c r="G11" s="1331"/>
      <c r="H11" s="1332"/>
      <c r="I11" s="1332"/>
      <c r="J11" s="1332"/>
      <c r="K11" s="1332"/>
      <c r="L11" s="1332"/>
      <c r="M11" s="1507"/>
      <c r="N11" s="1502"/>
      <c r="O11" s="1332"/>
      <c r="P11" s="1331"/>
      <c r="Q11" s="1331"/>
      <c r="R11" s="1331"/>
      <c r="S11" s="1331"/>
      <c r="T11" s="1331"/>
      <c r="U11" s="1331"/>
      <c r="V11" s="1331"/>
      <c r="W11" s="1334"/>
      <c r="X11" s="1509"/>
      <c r="Y11" s="1331"/>
      <c r="Z11" s="1331"/>
      <c r="AA11" s="1331"/>
      <c r="AB11" s="1331"/>
      <c r="AC11" s="1331"/>
      <c r="AD11" s="1331"/>
      <c r="AE11" s="1331"/>
      <c r="AF11" s="1331"/>
      <c r="AG11" s="1331"/>
      <c r="AH11" s="1334"/>
      <c r="AI11" s="1509"/>
      <c r="AJ11" s="1331"/>
      <c r="AK11" s="1331"/>
      <c r="AL11" s="1331"/>
      <c r="AM11" s="1331"/>
      <c r="AN11" s="1331"/>
      <c r="AO11" s="1331"/>
      <c r="AP11" s="1331"/>
      <c r="AQ11" s="1331"/>
      <c r="AR11" s="1331"/>
      <c r="AS11" s="1331"/>
      <c r="AT11" s="1331"/>
      <c r="AU11" s="1334"/>
    </row>
    <row r="12" spans="1:47" ht="34.5" customHeight="1" x14ac:dyDescent="0.2">
      <c r="A12" s="1335" t="s">
        <v>262</v>
      </c>
      <c r="B12" s="1387" t="s">
        <v>775</v>
      </c>
      <c r="C12" s="1169" t="s">
        <v>1887</v>
      </c>
      <c r="D12" s="1331"/>
      <c r="E12" s="1331"/>
      <c r="F12" s="1331"/>
      <c r="G12" s="1331"/>
      <c r="H12" s="1332"/>
      <c r="I12" s="1332"/>
      <c r="J12" s="1332"/>
      <c r="K12" s="1332"/>
      <c r="L12" s="1332"/>
      <c r="M12" s="1507"/>
      <c r="N12" s="1502"/>
      <c r="O12" s="1332"/>
      <c r="P12" s="1331"/>
      <c r="Q12" s="1331"/>
      <c r="R12" s="1331"/>
      <c r="S12" s="1331"/>
      <c r="T12" s="1331"/>
      <c r="U12" s="1331"/>
      <c r="V12" s="1331"/>
      <c r="W12" s="1334"/>
      <c r="X12" s="1509"/>
      <c r="Y12" s="1331"/>
      <c r="Z12" s="1331"/>
      <c r="AA12" s="1331"/>
      <c r="AB12" s="1331"/>
      <c r="AC12" s="1331"/>
      <c r="AD12" s="1331"/>
      <c r="AE12" s="1331"/>
      <c r="AF12" s="1331"/>
      <c r="AG12" s="1331"/>
      <c r="AH12" s="1334"/>
      <c r="AI12" s="1509">
        <v>-11045040</v>
      </c>
      <c r="AJ12" s="1331"/>
      <c r="AK12" s="1331"/>
      <c r="AL12" s="1331"/>
      <c r="AM12" s="1331"/>
      <c r="AN12" s="1331"/>
      <c r="AO12" s="1331"/>
      <c r="AP12" s="1331"/>
      <c r="AQ12" s="1331"/>
      <c r="AR12" s="1331"/>
      <c r="AS12" s="1331"/>
      <c r="AT12" s="1331"/>
      <c r="AU12" s="1334"/>
    </row>
    <row r="13" spans="1:47" ht="41.25" customHeight="1" x14ac:dyDescent="0.2">
      <c r="A13" s="1335" t="s">
        <v>263</v>
      </c>
      <c r="B13" s="1387" t="s">
        <v>776</v>
      </c>
      <c r="C13" s="1169" t="s">
        <v>1888</v>
      </c>
      <c r="D13" s="1331"/>
      <c r="E13" s="1331"/>
      <c r="F13" s="1331"/>
      <c r="G13" s="1331"/>
      <c r="H13" s="1332"/>
      <c r="I13" s="1332"/>
      <c r="J13" s="1332"/>
      <c r="K13" s="1332"/>
      <c r="L13" s="1332"/>
      <c r="M13" s="1507"/>
      <c r="N13" s="1502"/>
      <c r="O13" s="1332"/>
      <c r="P13" s="1331">
        <v>-86995</v>
      </c>
      <c r="Q13" s="1331"/>
      <c r="R13" s="1331"/>
      <c r="S13" s="1331"/>
      <c r="T13" s="1331"/>
      <c r="U13" s="1331"/>
      <c r="V13" s="1331"/>
      <c r="W13" s="1334"/>
      <c r="X13" s="1509"/>
      <c r="Y13" s="1331"/>
      <c r="Z13" s="1331"/>
      <c r="AA13" s="1331"/>
      <c r="AB13" s="1331"/>
      <c r="AC13" s="1331"/>
      <c r="AD13" s="1331"/>
      <c r="AE13" s="1331"/>
      <c r="AF13" s="1331"/>
      <c r="AG13" s="1331"/>
      <c r="AH13" s="1334"/>
      <c r="AI13" s="1509"/>
      <c r="AJ13" s="1331"/>
      <c r="AK13" s="1331"/>
      <c r="AL13" s="1331"/>
      <c r="AM13" s="1331"/>
      <c r="AN13" s="1331"/>
      <c r="AO13" s="1331"/>
      <c r="AP13" s="1331"/>
      <c r="AQ13" s="1331"/>
      <c r="AR13" s="1331"/>
      <c r="AS13" s="1331"/>
      <c r="AT13" s="1331"/>
      <c r="AU13" s="1334"/>
    </row>
    <row r="14" spans="1:47" ht="32.25" customHeight="1" x14ac:dyDescent="0.2">
      <c r="A14" s="1335" t="s">
        <v>267</v>
      </c>
      <c r="B14" s="1387" t="s">
        <v>778</v>
      </c>
      <c r="C14" s="1169" t="s">
        <v>1894</v>
      </c>
      <c r="D14" s="1331"/>
      <c r="E14" s="1331"/>
      <c r="F14" s="1331"/>
      <c r="G14" s="1331"/>
      <c r="H14" s="1332"/>
      <c r="I14" s="1332"/>
      <c r="J14" s="1332"/>
      <c r="K14" s="1332"/>
      <c r="L14" s="1332">
        <v>143000</v>
      </c>
      <c r="M14" s="1507"/>
      <c r="N14" s="1502"/>
      <c r="O14" s="1332"/>
      <c r="P14" s="1331"/>
      <c r="Q14" s="1331"/>
      <c r="R14" s="1331"/>
      <c r="S14" s="1331"/>
      <c r="T14" s="1331"/>
      <c r="U14" s="1331"/>
      <c r="V14" s="1331"/>
      <c r="W14" s="1334"/>
      <c r="X14" s="1509"/>
      <c r="Y14" s="1331"/>
      <c r="Z14" s="1331"/>
      <c r="AA14" s="1331"/>
      <c r="AB14" s="1331"/>
      <c r="AC14" s="1331"/>
      <c r="AD14" s="1331"/>
      <c r="AE14" s="1331"/>
      <c r="AF14" s="1331"/>
      <c r="AG14" s="1331"/>
      <c r="AH14" s="1334"/>
      <c r="AI14" s="1509"/>
      <c r="AJ14" s="1331"/>
      <c r="AK14" s="1331"/>
      <c r="AL14" s="1331"/>
      <c r="AM14" s="1331"/>
      <c r="AN14" s="1331"/>
      <c r="AO14" s="1331"/>
      <c r="AP14" s="1331"/>
      <c r="AQ14" s="1331"/>
      <c r="AR14" s="1331"/>
      <c r="AS14" s="1331"/>
      <c r="AT14" s="1331"/>
      <c r="AU14" s="1334"/>
    </row>
    <row r="15" spans="1:47" ht="33.75" customHeight="1" x14ac:dyDescent="0.2">
      <c r="A15" s="1335" t="s">
        <v>271</v>
      </c>
      <c r="B15" s="1387" t="s">
        <v>783</v>
      </c>
      <c r="C15" s="1169" t="s">
        <v>1898</v>
      </c>
      <c r="D15" s="1331"/>
      <c r="E15" s="1331"/>
      <c r="F15" s="1331"/>
      <c r="G15" s="1331"/>
      <c r="H15" s="1332"/>
      <c r="I15" s="1332"/>
      <c r="J15" s="1332"/>
      <c r="K15" s="1332"/>
      <c r="L15" s="1332"/>
      <c r="M15" s="1507"/>
      <c r="N15" s="1502"/>
      <c r="O15" s="1332"/>
      <c r="P15" s="1331"/>
      <c r="Q15" s="1331"/>
      <c r="R15" s="1331"/>
      <c r="S15" s="1331"/>
      <c r="T15" s="1331"/>
      <c r="U15" s="1331"/>
      <c r="V15" s="1331"/>
      <c r="W15" s="1334"/>
      <c r="X15" s="1509"/>
      <c r="Y15" s="1331"/>
      <c r="Z15" s="1331"/>
      <c r="AA15" s="1331"/>
      <c r="AB15" s="1331"/>
      <c r="AC15" s="1331"/>
      <c r="AD15" s="1331"/>
      <c r="AE15" s="1331"/>
      <c r="AF15" s="1331"/>
      <c r="AG15" s="1331"/>
      <c r="AH15" s="1334"/>
      <c r="AI15" s="1509">
        <v>-445156</v>
      </c>
      <c r="AJ15" s="1331"/>
      <c r="AK15" s="1331"/>
      <c r="AL15" s="1331"/>
      <c r="AM15" s="1331"/>
      <c r="AN15" s="1331"/>
      <c r="AO15" s="1331"/>
      <c r="AP15" s="1331"/>
      <c r="AQ15" s="1331"/>
      <c r="AR15" s="1331"/>
      <c r="AS15" s="1331"/>
      <c r="AT15" s="1331"/>
      <c r="AU15" s="1334"/>
    </row>
    <row r="16" spans="1:47" ht="57" customHeight="1" x14ac:dyDescent="0.2">
      <c r="A16" s="1335" t="s">
        <v>272</v>
      </c>
      <c r="B16" s="1387" t="s">
        <v>784</v>
      </c>
      <c r="C16" s="1169" t="s">
        <v>1901</v>
      </c>
      <c r="D16" s="1331"/>
      <c r="E16" s="1331"/>
      <c r="F16" s="1331"/>
      <c r="G16" s="1331"/>
      <c r="H16" s="1332"/>
      <c r="I16" s="1332"/>
      <c r="J16" s="1332"/>
      <c r="K16" s="1332"/>
      <c r="L16" s="1332"/>
      <c r="M16" s="1507"/>
      <c r="N16" s="1502"/>
      <c r="O16" s="1332">
        <v>-2032000</v>
      </c>
      <c r="P16" s="1331"/>
      <c r="Q16" s="1331"/>
      <c r="R16" s="1331"/>
      <c r="S16" s="1331"/>
      <c r="T16" s="1331"/>
      <c r="U16" s="1331"/>
      <c r="V16" s="1331"/>
      <c r="W16" s="1334"/>
      <c r="X16" s="1509"/>
      <c r="Y16" s="1331"/>
      <c r="Z16" s="1331"/>
      <c r="AA16" s="1331"/>
      <c r="AB16" s="1331"/>
      <c r="AC16" s="1331"/>
      <c r="AD16" s="1331"/>
      <c r="AE16" s="1331"/>
      <c r="AF16" s="1331"/>
      <c r="AG16" s="1331"/>
      <c r="AH16" s="1334"/>
      <c r="AI16" s="1509"/>
      <c r="AJ16" s="1331"/>
      <c r="AK16" s="1331"/>
      <c r="AL16" s="1331"/>
      <c r="AM16" s="1331"/>
      <c r="AN16" s="1331"/>
      <c r="AO16" s="1331"/>
      <c r="AP16" s="1331"/>
      <c r="AQ16" s="1331"/>
      <c r="AR16" s="1331"/>
      <c r="AS16" s="1331"/>
      <c r="AT16" s="1331"/>
      <c r="AU16" s="1334"/>
    </row>
    <row r="17" spans="1:47" ht="79.5" customHeight="1" x14ac:dyDescent="0.2">
      <c r="A17" s="1335" t="s">
        <v>276</v>
      </c>
      <c r="B17" s="1409" t="s">
        <v>1995</v>
      </c>
      <c r="C17" s="1169" t="s">
        <v>2160</v>
      </c>
      <c r="D17" s="1331"/>
      <c r="E17" s="1331"/>
      <c r="F17" s="1331"/>
      <c r="G17" s="1331"/>
      <c r="H17" s="1332"/>
      <c r="I17" s="1332"/>
      <c r="J17" s="1332"/>
      <c r="K17" s="1332"/>
      <c r="L17" s="1332"/>
      <c r="M17" s="1507"/>
      <c r="N17" s="1502"/>
      <c r="O17" s="1332"/>
      <c r="P17" s="1331"/>
      <c r="Q17" s="1331"/>
      <c r="R17" s="1331"/>
      <c r="S17" s="1331"/>
      <c r="T17" s="1331"/>
      <c r="U17" s="1331"/>
      <c r="V17" s="1331"/>
      <c r="W17" s="1334"/>
      <c r="X17" s="1509"/>
      <c r="Y17" s="1331"/>
      <c r="Z17" s="1331"/>
      <c r="AA17" s="1331"/>
      <c r="AB17" s="1331"/>
      <c r="AC17" s="1331"/>
      <c r="AD17" s="1331"/>
      <c r="AE17" s="1331"/>
      <c r="AF17" s="1331"/>
      <c r="AG17" s="1331"/>
      <c r="AH17" s="1334"/>
      <c r="AI17" s="1509"/>
      <c r="AJ17" s="1331"/>
      <c r="AK17" s="1331"/>
      <c r="AL17" s="1331"/>
      <c r="AM17" s="1331"/>
      <c r="AN17" s="1331"/>
      <c r="AO17" s="1331"/>
      <c r="AP17" s="1331"/>
      <c r="AQ17" s="1331"/>
      <c r="AR17" s="1331">
        <v>-15368553</v>
      </c>
      <c r="AS17" s="1331"/>
      <c r="AT17" s="1331"/>
      <c r="AU17" s="1334"/>
    </row>
    <row r="18" spans="1:47" ht="50.25" customHeight="1" x14ac:dyDescent="0.2">
      <c r="A18" s="1335" t="s">
        <v>278</v>
      </c>
      <c r="B18" s="1387" t="s">
        <v>788</v>
      </c>
      <c r="C18" s="1169" t="s">
        <v>1904</v>
      </c>
      <c r="D18" s="1331"/>
      <c r="E18" s="1331"/>
      <c r="F18" s="1331"/>
      <c r="G18" s="1331"/>
      <c r="H18" s="1332"/>
      <c r="I18" s="1332"/>
      <c r="J18" s="1332"/>
      <c r="K18" s="1332"/>
      <c r="L18" s="1332"/>
      <c r="M18" s="1507"/>
      <c r="N18" s="1502"/>
      <c r="O18" s="1332"/>
      <c r="P18" s="1331"/>
      <c r="Q18" s="1331"/>
      <c r="R18" s="1331"/>
      <c r="S18" s="1331"/>
      <c r="T18" s="1331"/>
      <c r="U18" s="1331"/>
      <c r="V18" s="1331"/>
      <c r="W18" s="1334">
        <v>154229795</v>
      </c>
      <c r="X18" s="1509"/>
      <c r="Y18" s="1331"/>
      <c r="Z18" s="1331"/>
      <c r="AA18" s="1331"/>
      <c r="AB18" s="1331"/>
      <c r="AC18" s="1331"/>
      <c r="AD18" s="1331"/>
      <c r="AE18" s="1331"/>
      <c r="AF18" s="1331"/>
      <c r="AG18" s="1331"/>
      <c r="AH18" s="1334"/>
      <c r="AI18" s="1509"/>
      <c r="AJ18" s="1331"/>
      <c r="AK18" s="1331"/>
      <c r="AL18" s="1331"/>
      <c r="AM18" s="1331"/>
      <c r="AN18" s="1331"/>
      <c r="AO18" s="1331"/>
      <c r="AP18" s="1331"/>
      <c r="AQ18" s="1331"/>
      <c r="AR18" s="1331"/>
      <c r="AS18" s="1331"/>
      <c r="AT18" s="1331"/>
      <c r="AU18" s="1334"/>
    </row>
    <row r="19" spans="1:47" ht="68.25" customHeight="1" x14ac:dyDescent="0.2">
      <c r="A19" s="1335" t="s">
        <v>279</v>
      </c>
      <c r="B19" s="1387" t="s">
        <v>789</v>
      </c>
      <c r="C19" s="1169" t="s">
        <v>1919</v>
      </c>
      <c r="D19" s="1331"/>
      <c r="E19" s="1331"/>
      <c r="F19" s="1331"/>
      <c r="G19" s="1331"/>
      <c r="H19" s="1332"/>
      <c r="I19" s="1332"/>
      <c r="J19" s="1332"/>
      <c r="K19" s="1332"/>
      <c r="L19" s="1332"/>
      <c r="M19" s="1507"/>
      <c r="N19" s="1502"/>
      <c r="O19" s="1332"/>
      <c r="P19" s="1331">
        <v>-130000000</v>
      </c>
      <c r="Q19" s="1331"/>
      <c r="R19" s="1331"/>
      <c r="S19" s="1331"/>
      <c r="T19" s="1331"/>
      <c r="U19" s="1331"/>
      <c r="V19" s="1331"/>
      <c r="W19" s="1334"/>
      <c r="X19" s="1509"/>
      <c r="Y19" s="1331"/>
      <c r="Z19" s="1331"/>
      <c r="AA19" s="1331"/>
      <c r="AB19" s="1331"/>
      <c r="AC19" s="1331"/>
      <c r="AD19" s="1331"/>
      <c r="AE19" s="1331"/>
      <c r="AF19" s="1331"/>
      <c r="AG19" s="1331"/>
      <c r="AH19" s="1334"/>
      <c r="AI19" s="1509"/>
      <c r="AJ19" s="1331"/>
      <c r="AK19" s="1331">
        <v>-40025971</v>
      </c>
      <c r="AL19" s="1331"/>
      <c r="AM19" s="1331"/>
      <c r="AN19" s="1331"/>
      <c r="AO19" s="1331"/>
      <c r="AP19" s="1331"/>
      <c r="AQ19" s="1331"/>
      <c r="AR19" s="1331"/>
      <c r="AS19" s="1331"/>
      <c r="AT19" s="1331"/>
      <c r="AU19" s="1334"/>
    </row>
    <row r="20" spans="1:47" ht="42.75" customHeight="1" x14ac:dyDescent="0.2">
      <c r="A20" s="1335" t="s">
        <v>281</v>
      </c>
      <c r="B20" s="1387" t="s">
        <v>791</v>
      </c>
      <c r="C20" s="1169" t="s">
        <v>1920</v>
      </c>
      <c r="D20" s="1331"/>
      <c r="E20" s="1331"/>
      <c r="F20" s="1331"/>
      <c r="G20" s="1331"/>
      <c r="H20" s="1332"/>
      <c r="I20" s="1332"/>
      <c r="J20" s="1332"/>
      <c r="K20" s="1332"/>
      <c r="L20" s="1332"/>
      <c r="M20" s="1507"/>
      <c r="N20" s="1502"/>
      <c r="O20" s="1332"/>
      <c r="P20" s="1331"/>
      <c r="Q20" s="1331"/>
      <c r="R20" s="1331"/>
      <c r="S20" s="1331"/>
      <c r="T20" s="1331"/>
      <c r="U20" s="1331"/>
      <c r="V20" s="1331"/>
      <c r="W20" s="1334"/>
      <c r="X20" s="1509"/>
      <c r="Y20" s="1331"/>
      <c r="Z20" s="1331"/>
      <c r="AA20" s="1331"/>
      <c r="AB20" s="1331"/>
      <c r="AC20" s="1331"/>
      <c r="AD20" s="1331"/>
      <c r="AE20" s="1331"/>
      <c r="AF20" s="1331"/>
      <c r="AG20" s="1331"/>
      <c r="AH20" s="1334"/>
      <c r="AI20" s="1509">
        <v>-3000000</v>
      </c>
      <c r="AJ20" s="1331"/>
      <c r="AK20" s="1331"/>
      <c r="AL20" s="1331"/>
      <c r="AM20" s="1331"/>
      <c r="AN20" s="1331"/>
      <c r="AO20" s="1331"/>
      <c r="AP20" s="1331"/>
      <c r="AQ20" s="1331"/>
      <c r="AR20" s="1331"/>
      <c r="AS20" s="1331"/>
      <c r="AT20" s="1331"/>
      <c r="AU20" s="1334"/>
    </row>
    <row r="21" spans="1:47" ht="57" customHeight="1" x14ac:dyDescent="0.2">
      <c r="A21" s="1335" t="s">
        <v>282</v>
      </c>
      <c r="B21" s="1387" t="s">
        <v>792</v>
      </c>
      <c r="C21" s="1169" t="s">
        <v>1921</v>
      </c>
      <c r="D21" s="1331"/>
      <c r="E21" s="1331"/>
      <c r="F21" s="1331"/>
      <c r="G21" s="1331"/>
      <c r="H21" s="1332"/>
      <c r="I21" s="1332"/>
      <c r="J21" s="1332"/>
      <c r="K21" s="1332"/>
      <c r="L21" s="1332"/>
      <c r="M21" s="1507"/>
      <c r="N21" s="1502"/>
      <c r="O21" s="1332"/>
      <c r="P21" s="1331"/>
      <c r="Q21" s="1331"/>
      <c r="R21" s="1331"/>
      <c r="S21" s="1331"/>
      <c r="T21" s="1331"/>
      <c r="U21" s="1331"/>
      <c r="V21" s="1331"/>
      <c r="W21" s="1334"/>
      <c r="X21" s="1509"/>
      <c r="Y21" s="1331"/>
      <c r="Z21" s="1331"/>
      <c r="AA21" s="1331"/>
      <c r="AB21" s="1331"/>
      <c r="AC21" s="1331"/>
      <c r="AD21" s="1331"/>
      <c r="AE21" s="1331"/>
      <c r="AF21" s="1331"/>
      <c r="AG21" s="1331"/>
      <c r="AH21" s="1334"/>
      <c r="AI21" s="1509">
        <v>-500000</v>
      </c>
      <c r="AJ21" s="1331"/>
      <c r="AK21" s="1331"/>
      <c r="AL21" s="1331"/>
      <c r="AM21" s="1331"/>
      <c r="AN21" s="1331"/>
      <c r="AO21" s="1331"/>
      <c r="AP21" s="1331"/>
      <c r="AQ21" s="1331"/>
      <c r="AR21" s="1331"/>
      <c r="AS21" s="1331"/>
      <c r="AT21" s="1331"/>
      <c r="AU21" s="1334"/>
    </row>
    <row r="22" spans="1:47" ht="30" customHeight="1" x14ac:dyDescent="0.2">
      <c r="A22" s="1388" t="s">
        <v>284</v>
      </c>
      <c r="B22" s="1389" t="s">
        <v>801</v>
      </c>
      <c r="C22" s="1169" t="s">
        <v>1925</v>
      </c>
      <c r="D22" s="1331"/>
      <c r="E22" s="1331"/>
      <c r="F22" s="1331"/>
      <c r="G22" s="1331"/>
      <c r="H22" s="1332"/>
      <c r="I22" s="1332"/>
      <c r="J22" s="1332"/>
      <c r="K22" s="1332"/>
      <c r="L22" s="1332"/>
      <c r="M22" s="1507"/>
      <c r="N22" s="1502"/>
      <c r="O22" s="1332"/>
      <c r="P22" s="1331"/>
      <c r="Q22" s="1331"/>
      <c r="R22" s="1331"/>
      <c r="S22" s="1331"/>
      <c r="T22" s="1331"/>
      <c r="U22" s="1331"/>
      <c r="V22" s="1331"/>
      <c r="W22" s="1334"/>
      <c r="X22" s="1509"/>
      <c r="Y22" s="1331"/>
      <c r="Z22" s="1331"/>
      <c r="AA22" s="1331"/>
      <c r="AB22" s="1331"/>
      <c r="AC22" s="1331"/>
      <c r="AD22" s="1331"/>
      <c r="AE22" s="1331"/>
      <c r="AF22" s="1331"/>
      <c r="AG22" s="1331"/>
      <c r="AH22" s="1334"/>
      <c r="AI22" s="1509"/>
      <c r="AJ22" s="1331"/>
      <c r="AK22" s="1331"/>
      <c r="AL22" s="1331"/>
      <c r="AM22" s="1331"/>
      <c r="AN22" s="1331"/>
      <c r="AO22" s="1331"/>
      <c r="AP22" s="1331">
        <v>665000</v>
      </c>
      <c r="AQ22" s="1331"/>
      <c r="AR22" s="1331"/>
      <c r="AS22" s="1331"/>
      <c r="AT22" s="1331"/>
      <c r="AU22" s="1334"/>
    </row>
    <row r="23" spans="1:47" ht="69" customHeight="1" x14ac:dyDescent="0.2">
      <c r="A23" s="1335" t="s">
        <v>286</v>
      </c>
      <c r="B23" s="1336" t="s">
        <v>802</v>
      </c>
      <c r="C23" s="1169" t="s">
        <v>1957</v>
      </c>
      <c r="D23" s="1331"/>
      <c r="E23" s="1331"/>
      <c r="F23" s="1331"/>
      <c r="G23" s="1331"/>
      <c r="H23" s="1332"/>
      <c r="I23" s="1332"/>
      <c r="J23" s="1332"/>
      <c r="K23" s="1332"/>
      <c r="L23" s="1332"/>
      <c r="M23" s="1507"/>
      <c r="N23" s="1502"/>
      <c r="O23" s="1332"/>
      <c r="P23" s="1331"/>
      <c r="Q23" s="1331"/>
      <c r="R23" s="1331"/>
      <c r="S23" s="1331"/>
      <c r="T23" s="1331"/>
      <c r="U23" s="1331"/>
      <c r="V23" s="1331"/>
      <c r="W23" s="1334"/>
      <c r="X23" s="1509"/>
      <c r="Y23" s="1331"/>
      <c r="Z23" s="1331"/>
      <c r="AA23" s="1331"/>
      <c r="AB23" s="1331"/>
      <c r="AC23" s="1331"/>
      <c r="AD23" s="1331"/>
      <c r="AE23" s="1331"/>
      <c r="AF23" s="1331">
        <v>-100000</v>
      </c>
      <c r="AG23" s="1331"/>
      <c r="AH23" s="1334"/>
      <c r="AI23" s="1509"/>
      <c r="AJ23" s="1331"/>
      <c r="AK23" s="1331"/>
      <c r="AL23" s="1331"/>
      <c r="AM23" s="1331"/>
      <c r="AN23" s="1331"/>
      <c r="AO23" s="1331"/>
      <c r="AP23" s="1331"/>
      <c r="AQ23" s="1331"/>
      <c r="AR23" s="1331"/>
      <c r="AS23" s="1331"/>
      <c r="AT23" s="1331"/>
      <c r="AU23" s="1334"/>
    </row>
    <row r="24" spans="1:47" ht="79.5" customHeight="1" x14ac:dyDescent="0.2">
      <c r="A24" s="1335" t="s">
        <v>288</v>
      </c>
      <c r="B24" s="1336" t="s">
        <v>804</v>
      </c>
      <c r="C24" s="1492" t="s">
        <v>2149</v>
      </c>
      <c r="D24" s="1331"/>
      <c r="E24" s="1331"/>
      <c r="F24" s="1331"/>
      <c r="G24" s="1331"/>
      <c r="H24" s="1332"/>
      <c r="I24" s="1332"/>
      <c r="J24" s="1332"/>
      <c r="K24" s="1332"/>
      <c r="L24" s="1332"/>
      <c r="M24" s="1507"/>
      <c r="N24" s="1502"/>
      <c r="O24" s="1332"/>
      <c r="P24" s="1331"/>
      <c r="Q24" s="1331"/>
      <c r="R24" s="1331"/>
      <c r="S24" s="1331"/>
      <c r="T24" s="1331"/>
      <c r="U24" s="1331"/>
      <c r="V24" s="1331"/>
      <c r="W24" s="1334"/>
      <c r="X24" s="1509"/>
      <c r="Y24" s="1331"/>
      <c r="Z24" s="1331"/>
      <c r="AA24" s="1331"/>
      <c r="AB24" s="1331"/>
      <c r="AC24" s="1331"/>
      <c r="AD24" s="1331"/>
      <c r="AE24" s="1331"/>
      <c r="AF24" s="1331"/>
      <c r="AG24" s="1331"/>
      <c r="AH24" s="1334"/>
      <c r="AI24" s="1509"/>
      <c r="AJ24" s="1331"/>
      <c r="AK24" s="1331"/>
      <c r="AL24" s="1331"/>
      <c r="AM24" s="1331"/>
      <c r="AN24" s="1331"/>
      <c r="AO24" s="1331"/>
      <c r="AP24" s="1331"/>
      <c r="AQ24" s="1331"/>
      <c r="AR24" s="1331">
        <v>-4874282</v>
      </c>
      <c r="AS24" s="1331"/>
      <c r="AT24" s="1331"/>
      <c r="AU24" s="1334"/>
    </row>
    <row r="25" spans="1:47" ht="45.75" customHeight="1" x14ac:dyDescent="0.2">
      <c r="A25" s="1335" t="s">
        <v>289</v>
      </c>
      <c r="B25" s="1336" t="s">
        <v>798</v>
      </c>
      <c r="C25" s="1169" t="s">
        <v>2158</v>
      </c>
      <c r="D25" s="1331"/>
      <c r="E25" s="1331"/>
      <c r="F25" s="1331"/>
      <c r="G25" s="1331"/>
      <c r="H25" s="1332"/>
      <c r="I25" s="1332"/>
      <c r="J25" s="1332"/>
      <c r="K25" s="1332"/>
      <c r="L25" s="1332"/>
      <c r="M25" s="1507"/>
      <c r="N25" s="1502"/>
      <c r="O25" s="1332"/>
      <c r="P25" s="1331"/>
      <c r="Q25" s="1331"/>
      <c r="R25" s="1331"/>
      <c r="S25" s="1331"/>
      <c r="T25" s="1331"/>
      <c r="U25" s="1331"/>
      <c r="V25" s="1331"/>
      <c r="W25" s="1334"/>
      <c r="X25" s="1509"/>
      <c r="Y25" s="1331"/>
      <c r="Z25" s="1331"/>
      <c r="AA25" s="1331"/>
      <c r="AB25" s="1331"/>
      <c r="AC25" s="1331"/>
      <c r="AD25" s="1331"/>
      <c r="AE25" s="1331"/>
      <c r="AF25" s="1331"/>
      <c r="AG25" s="1331"/>
      <c r="AH25" s="1334"/>
      <c r="AI25" s="1509"/>
      <c r="AJ25" s="1331"/>
      <c r="AK25" s="1331"/>
      <c r="AL25" s="1331"/>
      <c r="AM25" s="1331"/>
      <c r="AN25" s="1331"/>
      <c r="AO25" s="1331"/>
      <c r="AP25" s="1331"/>
      <c r="AQ25" s="1331"/>
      <c r="AR25" s="1331">
        <v>-540291</v>
      </c>
      <c r="AS25" s="1331"/>
      <c r="AT25" s="1331"/>
      <c r="AU25" s="1334"/>
    </row>
    <row r="26" spans="1:47" ht="40.5" customHeight="1" x14ac:dyDescent="0.2">
      <c r="A26" s="1335" t="s">
        <v>290</v>
      </c>
      <c r="B26" s="1410" t="s">
        <v>1988</v>
      </c>
      <c r="C26" s="1169" t="s">
        <v>1959</v>
      </c>
      <c r="D26" s="1331"/>
      <c r="E26" s="1331"/>
      <c r="F26" s="1331"/>
      <c r="G26" s="1331"/>
      <c r="H26" s="1332"/>
      <c r="I26" s="1332"/>
      <c r="J26" s="1332"/>
      <c r="K26" s="1332"/>
      <c r="L26" s="1332"/>
      <c r="M26" s="1507"/>
      <c r="N26" s="1502"/>
      <c r="O26" s="1332"/>
      <c r="P26" s="1331"/>
      <c r="Q26" s="1331"/>
      <c r="R26" s="1331"/>
      <c r="S26" s="1331"/>
      <c r="T26" s="1331"/>
      <c r="U26" s="1331"/>
      <c r="V26" s="1331"/>
      <c r="W26" s="1334"/>
      <c r="X26" s="1509"/>
      <c r="Y26" s="1331"/>
      <c r="Z26" s="1331"/>
      <c r="AA26" s="1331"/>
      <c r="AB26" s="1331"/>
      <c r="AC26" s="1331"/>
      <c r="AD26" s="1331"/>
      <c r="AE26" s="1331"/>
      <c r="AF26" s="1331"/>
      <c r="AG26" s="1331"/>
      <c r="AH26" s="1334"/>
      <c r="AI26" s="1509"/>
      <c r="AJ26" s="1331"/>
      <c r="AK26" s="1331"/>
      <c r="AL26" s="1331"/>
      <c r="AM26" s="1331"/>
      <c r="AN26" s="1331"/>
      <c r="AO26" s="1331"/>
      <c r="AP26" s="1331"/>
      <c r="AQ26" s="1331"/>
      <c r="AR26" s="1331"/>
      <c r="AS26" s="1331"/>
      <c r="AT26" s="1331"/>
      <c r="AU26" s="1334">
        <v>-1000000</v>
      </c>
    </row>
    <row r="27" spans="1:47" ht="48.75" customHeight="1" x14ac:dyDescent="0.2">
      <c r="A27" s="1335" t="s">
        <v>292</v>
      </c>
      <c r="B27" s="1336" t="s">
        <v>796</v>
      </c>
      <c r="C27" s="1169" t="s">
        <v>1963</v>
      </c>
      <c r="D27" s="1331"/>
      <c r="E27" s="1331"/>
      <c r="F27" s="1331"/>
      <c r="G27" s="1331"/>
      <c r="H27" s="1332"/>
      <c r="I27" s="1332"/>
      <c r="J27" s="1332"/>
      <c r="K27" s="1332"/>
      <c r="L27" s="1332"/>
      <c r="M27" s="1507"/>
      <c r="N27" s="1502"/>
      <c r="O27" s="1332"/>
      <c r="P27" s="1331"/>
      <c r="Q27" s="1331"/>
      <c r="R27" s="1331"/>
      <c r="S27" s="1331"/>
      <c r="T27" s="1331"/>
      <c r="U27" s="1331"/>
      <c r="V27" s="1331"/>
      <c r="W27" s="1334"/>
      <c r="X27" s="1509"/>
      <c r="Y27" s="1331"/>
      <c r="Z27" s="1331"/>
      <c r="AA27" s="1331"/>
      <c r="AB27" s="1331"/>
      <c r="AC27" s="1331"/>
      <c r="AD27" s="1331">
        <v>-2004484</v>
      </c>
      <c r="AE27" s="1331"/>
      <c r="AF27" s="1331"/>
      <c r="AG27" s="1331"/>
      <c r="AH27" s="1334"/>
      <c r="AI27" s="1509"/>
      <c r="AJ27" s="1331"/>
      <c r="AK27" s="1331"/>
      <c r="AL27" s="1331"/>
      <c r="AM27" s="1331"/>
      <c r="AN27" s="1331"/>
      <c r="AO27" s="1331"/>
      <c r="AP27" s="1331"/>
      <c r="AQ27" s="1331"/>
      <c r="AR27" s="1331"/>
      <c r="AS27" s="1331"/>
      <c r="AT27" s="1331"/>
      <c r="AU27" s="1334"/>
    </row>
    <row r="28" spans="1:47" ht="45" customHeight="1" x14ac:dyDescent="0.2">
      <c r="A28" s="1335" t="s">
        <v>293</v>
      </c>
      <c r="B28" s="1336" t="s">
        <v>795</v>
      </c>
      <c r="C28" s="1169" t="s">
        <v>1965</v>
      </c>
      <c r="D28" s="1331"/>
      <c r="E28" s="1331"/>
      <c r="F28" s="1331"/>
      <c r="G28" s="1331"/>
      <c r="H28" s="1332"/>
      <c r="I28" s="1332"/>
      <c r="J28" s="1332"/>
      <c r="K28" s="1332"/>
      <c r="L28" s="1332"/>
      <c r="M28" s="1507"/>
      <c r="N28" s="1502"/>
      <c r="O28" s="1332"/>
      <c r="P28" s="1331">
        <v>-228600</v>
      </c>
      <c r="Q28" s="1331"/>
      <c r="R28" s="1331"/>
      <c r="S28" s="1331"/>
      <c r="T28" s="1331"/>
      <c r="U28" s="1331"/>
      <c r="V28" s="1331"/>
      <c r="W28" s="1334"/>
      <c r="X28" s="1509"/>
      <c r="Y28" s="1331"/>
      <c r="Z28" s="1331"/>
      <c r="AA28" s="1331"/>
      <c r="AB28" s="1331"/>
      <c r="AC28" s="1331"/>
      <c r="AD28" s="1331"/>
      <c r="AE28" s="1331"/>
      <c r="AF28" s="1331"/>
      <c r="AG28" s="1331"/>
      <c r="AH28" s="1334"/>
      <c r="AI28" s="1509"/>
      <c r="AJ28" s="1331"/>
      <c r="AK28" s="1331"/>
      <c r="AL28" s="1331"/>
      <c r="AM28" s="1331"/>
      <c r="AN28" s="1331"/>
      <c r="AO28" s="1331"/>
      <c r="AP28" s="1331"/>
      <c r="AQ28" s="1331"/>
      <c r="AR28" s="1331"/>
      <c r="AS28" s="1331"/>
      <c r="AT28" s="1331"/>
      <c r="AU28" s="1334"/>
    </row>
    <row r="29" spans="1:47" ht="45" customHeight="1" x14ac:dyDescent="0.2">
      <c r="A29" s="1411" t="s">
        <v>1997</v>
      </c>
      <c r="B29" s="1410" t="s">
        <v>1996</v>
      </c>
      <c r="C29" s="1169" t="s">
        <v>1968</v>
      </c>
      <c r="D29" s="1331"/>
      <c r="E29" s="1331"/>
      <c r="F29" s="1331"/>
      <c r="G29" s="1331">
        <v>-109804</v>
      </c>
      <c r="H29" s="1332"/>
      <c r="I29" s="1332"/>
      <c r="J29" s="1332"/>
      <c r="K29" s="1332"/>
      <c r="L29" s="1332"/>
      <c r="M29" s="1507"/>
      <c r="N29" s="1502"/>
      <c r="O29" s="1332"/>
      <c r="P29" s="1331"/>
      <c r="Q29" s="1331"/>
      <c r="R29" s="1331"/>
      <c r="S29" s="1331"/>
      <c r="T29" s="1331"/>
      <c r="U29" s="1331"/>
      <c r="V29" s="1331"/>
      <c r="W29" s="1334"/>
      <c r="X29" s="1509"/>
      <c r="Y29" s="1331"/>
      <c r="Z29" s="1331"/>
      <c r="AA29" s="1331"/>
      <c r="AB29" s="1331"/>
      <c r="AC29" s="1331"/>
      <c r="AD29" s="1331"/>
      <c r="AE29" s="1331"/>
      <c r="AF29" s="1331"/>
      <c r="AG29" s="1331"/>
      <c r="AH29" s="1334"/>
      <c r="AI29" s="1509"/>
      <c r="AJ29" s="1331"/>
      <c r="AK29" s="1331"/>
      <c r="AL29" s="1331"/>
      <c r="AM29" s="1331"/>
      <c r="AN29" s="1331"/>
      <c r="AO29" s="1331"/>
      <c r="AP29" s="1331"/>
      <c r="AQ29" s="1331"/>
      <c r="AR29" s="1331"/>
      <c r="AS29" s="1331"/>
      <c r="AT29" s="1331"/>
      <c r="AU29" s="1334"/>
    </row>
    <row r="30" spans="1:47" ht="42.75" customHeight="1" x14ac:dyDescent="0.2">
      <c r="A30" s="1335" t="s">
        <v>295</v>
      </c>
      <c r="B30" s="1336" t="s">
        <v>808</v>
      </c>
      <c r="C30" s="1169" t="s">
        <v>1969</v>
      </c>
      <c r="D30" s="1331">
        <v>-4274261</v>
      </c>
      <c r="E30" s="1331"/>
      <c r="F30" s="1331"/>
      <c r="G30" s="1331"/>
      <c r="H30" s="1332"/>
      <c r="I30" s="1332"/>
      <c r="J30" s="1332"/>
      <c r="K30" s="1332"/>
      <c r="L30" s="1332"/>
      <c r="M30" s="1507"/>
      <c r="N30" s="1502"/>
      <c r="O30" s="1332"/>
      <c r="P30" s="1331"/>
      <c r="Q30" s="1331"/>
      <c r="R30" s="1331"/>
      <c r="S30" s="1331"/>
      <c r="T30" s="1331"/>
      <c r="U30" s="1331"/>
      <c r="V30" s="1331"/>
      <c r="W30" s="1334"/>
      <c r="X30" s="1509"/>
      <c r="Y30" s="1331"/>
      <c r="Z30" s="1331"/>
      <c r="AA30" s="1331"/>
      <c r="AB30" s="1331"/>
      <c r="AC30" s="1331"/>
      <c r="AD30" s="1331"/>
      <c r="AE30" s="1331"/>
      <c r="AF30" s="1331"/>
      <c r="AG30" s="1331"/>
      <c r="AH30" s="1334"/>
      <c r="AI30" s="1509"/>
      <c r="AJ30" s="1331"/>
      <c r="AK30" s="1331"/>
      <c r="AL30" s="1331"/>
      <c r="AM30" s="1331"/>
      <c r="AN30" s="1331"/>
      <c r="AO30" s="1331"/>
      <c r="AP30" s="1331"/>
      <c r="AQ30" s="1331"/>
      <c r="AR30" s="1331"/>
      <c r="AS30" s="1331"/>
      <c r="AT30" s="1331"/>
      <c r="AU30" s="1334"/>
    </row>
    <row r="31" spans="1:47" ht="45" customHeight="1" x14ac:dyDescent="0.2">
      <c r="A31" s="1335" t="s">
        <v>299</v>
      </c>
      <c r="B31" s="1336" t="s">
        <v>1364</v>
      </c>
      <c r="C31" s="1403" t="s">
        <v>1975</v>
      </c>
      <c r="D31" s="1331"/>
      <c r="E31" s="1331"/>
      <c r="F31" s="1331"/>
      <c r="G31" s="1331"/>
      <c r="H31" s="1332"/>
      <c r="I31" s="1332"/>
      <c r="J31" s="1332"/>
      <c r="K31" s="1332"/>
      <c r="L31" s="1332"/>
      <c r="M31" s="1507"/>
      <c r="N31" s="1502"/>
      <c r="O31" s="1332"/>
      <c r="P31" s="1331"/>
      <c r="Q31" s="1331"/>
      <c r="R31" s="1331"/>
      <c r="S31" s="1331"/>
      <c r="T31" s="1331"/>
      <c r="U31" s="1331"/>
      <c r="V31" s="1331"/>
      <c r="W31" s="1334">
        <v>2415415</v>
      </c>
      <c r="X31" s="1509"/>
      <c r="Y31" s="1331"/>
      <c r="Z31" s="1331"/>
      <c r="AA31" s="1331"/>
      <c r="AB31" s="1331"/>
      <c r="AC31" s="1331"/>
      <c r="AD31" s="1331"/>
      <c r="AE31" s="1331"/>
      <c r="AF31" s="1331"/>
      <c r="AG31" s="1331"/>
      <c r="AH31" s="1334"/>
      <c r="AI31" s="1509"/>
      <c r="AJ31" s="1331"/>
      <c r="AK31" s="1331"/>
      <c r="AL31" s="1331"/>
      <c r="AM31" s="1331"/>
      <c r="AN31" s="1331"/>
      <c r="AO31" s="1331"/>
      <c r="AP31" s="1331"/>
      <c r="AQ31" s="1331"/>
      <c r="AR31" s="1331"/>
      <c r="AS31" s="1331"/>
      <c r="AT31" s="1331"/>
      <c r="AU31" s="1334"/>
    </row>
    <row r="32" spans="1:47" ht="67.5" customHeight="1" x14ac:dyDescent="0.2">
      <c r="A32" s="1335" t="s">
        <v>300</v>
      </c>
      <c r="B32" s="1336" t="s">
        <v>1365</v>
      </c>
      <c r="C32" s="1169" t="s">
        <v>1978</v>
      </c>
      <c r="D32" s="1331"/>
      <c r="E32" s="1331"/>
      <c r="F32" s="1331"/>
      <c r="G32" s="1331"/>
      <c r="H32" s="1332"/>
      <c r="I32" s="1332"/>
      <c r="J32" s="1332"/>
      <c r="K32" s="1332"/>
      <c r="L32" s="1332"/>
      <c r="M32" s="1507"/>
      <c r="N32" s="1502"/>
      <c r="O32" s="1332"/>
      <c r="P32" s="1331"/>
      <c r="Q32" s="1331"/>
      <c r="R32" s="1331"/>
      <c r="S32" s="1331"/>
      <c r="T32" s="1331"/>
      <c r="U32" s="1331"/>
      <c r="V32" s="1331"/>
      <c r="W32" s="1334">
        <v>-83034886</v>
      </c>
      <c r="X32" s="1509"/>
      <c r="Y32" s="1331"/>
      <c r="Z32" s="1331"/>
      <c r="AA32" s="1331"/>
      <c r="AB32" s="1331"/>
      <c r="AC32" s="1331"/>
      <c r="AD32" s="1331"/>
      <c r="AE32" s="1331"/>
      <c r="AF32" s="1331"/>
      <c r="AG32" s="1331"/>
      <c r="AH32" s="1334"/>
      <c r="AI32" s="1509"/>
      <c r="AJ32" s="1331"/>
      <c r="AK32" s="1331"/>
      <c r="AL32" s="1331"/>
      <c r="AM32" s="1331"/>
      <c r="AN32" s="1331"/>
      <c r="AO32" s="1331"/>
      <c r="AP32" s="1331"/>
      <c r="AQ32" s="1331"/>
      <c r="AR32" s="1331"/>
      <c r="AS32" s="1331"/>
      <c r="AT32" s="1331"/>
      <c r="AU32" s="1334"/>
    </row>
    <row r="33" spans="1:47" ht="45" customHeight="1" x14ac:dyDescent="0.2">
      <c r="A33" s="1335" t="s">
        <v>301</v>
      </c>
      <c r="B33" s="1336" t="s">
        <v>1366</v>
      </c>
      <c r="C33" s="1169" t="s">
        <v>2146</v>
      </c>
      <c r="D33" s="1331"/>
      <c r="E33" s="1331"/>
      <c r="F33" s="1331"/>
      <c r="G33" s="1331"/>
      <c r="H33" s="1332"/>
      <c r="I33" s="1332"/>
      <c r="J33" s="1332"/>
      <c r="K33" s="1332"/>
      <c r="L33" s="1332"/>
      <c r="M33" s="1507"/>
      <c r="N33" s="1502"/>
      <c r="O33" s="1332"/>
      <c r="P33" s="1331"/>
      <c r="Q33" s="1331"/>
      <c r="R33" s="1331"/>
      <c r="S33" s="1331"/>
      <c r="T33" s="1331"/>
      <c r="U33" s="1331"/>
      <c r="V33" s="1331"/>
      <c r="W33" s="1334"/>
      <c r="X33" s="1509"/>
      <c r="Y33" s="1331"/>
      <c r="Z33" s="1331"/>
      <c r="AA33" s="1331"/>
      <c r="AB33" s="1331"/>
      <c r="AC33" s="1331"/>
      <c r="AD33" s="1331"/>
      <c r="AE33" s="1331"/>
      <c r="AF33" s="1331"/>
      <c r="AG33" s="1331"/>
      <c r="AH33" s="1334"/>
      <c r="AI33" s="1509"/>
      <c r="AJ33" s="1331"/>
      <c r="AK33" s="1331"/>
      <c r="AL33" s="1331"/>
      <c r="AM33" s="1331"/>
      <c r="AN33" s="1331"/>
      <c r="AO33" s="1331"/>
      <c r="AP33" s="1331"/>
      <c r="AQ33" s="1331"/>
      <c r="AR33" s="1331">
        <v>-1129588</v>
      </c>
      <c r="AS33" s="1331"/>
      <c r="AT33" s="1331"/>
      <c r="AU33" s="1334"/>
    </row>
    <row r="34" spans="1:47" ht="33.75" customHeight="1" x14ac:dyDescent="0.2">
      <c r="A34" s="1335" t="s">
        <v>305</v>
      </c>
      <c r="B34" s="1336" t="s">
        <v>1412</v>
      </c>
      <c r="C34" s="1169" t="s">
        <v>1983</v>
      </c>
      <c r="D34" s="1331"/>
      <c r="E34" s="1331"/>
      <c r="F34" s="1331"/>
      <c r="G34" s="1331"/>
      <c r="H34" s="1332"/>
      <c r="I34" s="1332"/>
      <c r="J34" s="1332"/>
      <c r="K34" s="1332"/>
      <c r="L34" s="1332"/>
      <c r="M34" s="1507"/>
      <c r="N34" s="1502"/>
      <c r="O34" s="1332"/>
      <c r="P34" s="1331"/>
      <c r="Q34" s="1331"/>
      <c r="R34" s="1331"/>
      <c r="S34" s="1331"/>
      <c r="T34" s="1331"/>
      <c r="U34" s="1331"/>
      <c r="V34" s="1331"/>
      <c r="W34" s="1334"/>
      <c r="X34" s="1509"/>
      <c r="Y34" s="1331"/>
      <c r="Z34" s="1331"/>
      <c r="AA34" s="1331"/>
      <c r="AB34" s="1331"/>
      <c r="AC34" s="1331"/>
      <c r="AD34" s="1331"/>
      <c r="AE34" s="1331"/>
      <c r="AF34" s="1331"/>
      <c r="AG34" s="1331"/>
      <c r="AH34" s="1334"/>
      <c r="AI34" s="1509">
        <v>-500000</v>
      </c>
      <c r="AJ34" s="1331"/>
      <c r="AK34" s="1331"/>
      <c r="AL34" s="1331"/>
      <c r="AM34" s="1331"/>
      <c r="AN34" s="1331"/>
      <c r="AO34" s="1331"/>
      <c r="AP34" s="1331"/>
      <c r="AQ34" s="1331"/>
      <c r="AR34" s="1331"/>
      <c r="AS34" s="1331"/>
      <c r="AT34" s="1331"/>
      <c r="AU34" s="1334"/>
    </row>
    <row r="35" spans="1:47" ht="40.5" customHeight="1" x14ac:dyDescent="0.2">
      <c r="A35" s="1335" t="s">
        <v>309</v>
      </c>
      <c r="B35" s="1336" t="s">
        <v>1472</v>
      </c>
      <c r="C35" s="1169" t="s">
        <v>1992</v>
      </c>
      <c r="D35" s="1331"/>
      <c r="E35" s="1331"/>
      <c r="F35" s="1331"/>
      <c r="G35" s="1331"/>
      <c r="H35" s="1332"/>
      <c r="I35" s="1332"/>
      <c r="J35" s="1332"/>
      <c r="K35" s="1332"/>
      <c r="L35" s="1332"/>
      <c r="M35" s="1507"/>
      <c r="N35" s="1502"/>
      <c r="O35" s="1332"/>
      <c r="P35" s="1331"/>
      <c r="Q35" s="1331"/>
      <c r="R35" s="1331"/>
      <c r="S35" s="1331"/>
      <c r="T35" s="1331"/>
      <c r="U35" s="1331"/>
      <c r="V35" s="1331"/>
      <c r="W35" s="1334"/>
      <c r="X35" s="1509"/>
      <c r="Y35" s="1331"/>
      <c r="Z35" s="1331"/>
      <c r="AA35" s="1331"/>
      <c r="AB35" s="1331"/>
      <c r="AC35" s="1331"/>
      <c r="AD35" s="1331"/>
      <c r="AE35" s="1331"/>
      <c r="AF35" s="1331"/>
      <c r="AG35" s="1331"/>
      <c r="AH35" s="1334"/>
      <c r="AI35" s="1509"/>
      <c r="AJ35" s="1331"/>
      <c r="AK35" s="1331"/>
      <c r="AL35" s="1331"/>
      <c r="AM35" s="1331"/>
      <c r="AN35" s="1331"/>
      <c r="AO35" s="1331"/>
      <c r="AP35" s="1331"/>
      <c r="AQ35" s="1331"/>
      <c r="AR35" s="1331">
        <v>4729641</v>
      </c>
      <c r="AS35" s="1331"/>
      <c r="AT35" s="1331"/>
      <c r="AU35" s="1334"/>
    </row>
    <row r="36" spans="1:47" ht="42" customHeight="1" x14ac:dyDescent="0.2">
      <c r="A36" s="1335" t="s">
        <v>732</v>
      </c>
      <c r="B36" s="1336" t="s">
        <v>1563</v>
      </c>
      <c r="C36" s="1169" t="s">
        <v>2204</v>
      </c>
      <c r="D36" s="1331"/>
      <c r="E36" s="1331"/>
      <c r="F36" s="1331"/>
      <c r="G36" s="1331"/>
      <c r="H36" s="1332"/>
      <c r="I36" s="1332"/>
      <c r="J36" s="1332"/>
      <c r="K36" s="1332"/>
      <c r="L36" s="1332"/>
      <c r="M36" s="1507"/>
      <c r="N36" s="1502"/>
      <c r="O36" s="1332"/>
      <c r="P36" s="1331">
        <v>-79347</v>
      </c>
      <c r="Q36" s="1331"/>
      <c r="R36" s="1331"/>
      <c r="S36" s="1331"/>
      <c r="T36" s="1331"/>
      <c r="U36" s="1331"/>
      <c r="V36" s="1331"/>
      <c r="W36" s="1334"/>
      <c r="X36" s="1509"/>
      <c r="Y36" s="1331"/>
      <c r="Z36" s="1331"/>
      <c r="AA36" s="1331"/>
      <c r="AB36" s="1331"/>
      <c r="AC36" s="1331"/>
      <c r="AD36" s="1331"/>
      <c r="AE36" s="1331"/>
      <c r="AF36" s="1331"/>
      <c r="AG36" s="1331"/>
      <c r="AH36" s="1334"/>
      <c r="AI36" s="1509"/>
      <c r="AJ36" s="1331"/>
      <c r="AK36" s="1331"/>
      <c r="AL36" s="1331"/>
      <c r="AM36" s="1331"/>
      <c r="AN36" s="1331"/>
      <c r="AO36" s="1331"/>
      <c r="AP36" s="1331"/>
      <c r="AQ36" s="1331"/>
      <c r="AR36" s="1331"/>
      <c r="AS36" s="1331"/>
      <c r="AT36" s="1331"/>
      <c r="AU36" s="1334"/>
    </row>
    <row r="37" spans="1:47" ht="30" customHeight="1" x14ac:dyDescent="0.2">
      <c r="A37" s="1335" t="s">
        <v>310</v>
      </c>
      <c r="B37" s="1336" t="s">
        <v>1564</v>
      </c>
      <c r="C37" s="1169" t="s">
        <v>1993</v>
      </c>
      <c r="D37" s="1331"/>
      <c r="E37" s="1331"/>
      <c r="F37" s="1331"/>
      <c r="G37" s="1331"/>
      <c r="H37" s="1332"/>
      <c r="I37" s="1332"/>
      <c r="J37" s="1332"/>
      <c r="K37" s="1332"/>
      <c r="L37" s="1332"/>
      <c r="M37" s="1507"/>
      <c r="N37" s="1502"/>
      <c r="O37" s="1332"/>
      <c r="P37" s="1331"/>
      <c r="Q37" s="1331"/>
      <c r="R37" s="1331"/>
      <c r="S37" s="1331"/>
      <c r="T37" s="1331"/>
      <c r="U37" s="1331"/>
      <c r="V37" s="1331"/>
      <c r="W37" s="1334"/>
      <c r="X37" s="1509"/>
      <c r="Y37" s="1331"/>
      <c r="Z37" s="1331"/>
      <c r="AA37" s="1331"/>
      <c r="AB37" s="1331"/>
      <c r="AC37" s="1331"/>
      <c r="AD37" s="1331"/>
      <c r="AE37" s="1331"/>
      <c r="AF37" s="1331"/>
      <c r="AG37" s="1331"/>
      <c r="AH37" s="1334"/>
      <c r="AI37" s="1509"/>
      <c r="AJ37" s="1331"/>
      <c r="AK37" s="1331"/>
      <c r="AL37" s="1331"/>
      <c r="AM37" s="1331"/>
      <c r="AN37" s="1331"/>
      <c r="AO37" s="1331"/>
      <c r="AP37" s="1331"/>
      <c r="AQ37" s="1331">
        <v>1083679</v>
      </c>
      <c r="AR37" s="1331"/>
      <c r="AS37" s="1331"/>
      <c r="AT37" s="1331"/>
      <c r="AU37" s="1334"/>
    </row>
    <row r="38" spans="1:47" ht="57" customHeight="1" x14ac:dyDescent="0.2">
      <c r="A38" s="1335" t="s">
        <v>311</v>
      </c>
      <c r="B38" s="1336" t="s">
        <v>1566</v>
      </c>
      <c r="C38" s="1492" t="s">
        <v>2156</v>
      </c>
      <c r="D38" s="1331"/>
      <c r="E38" s="1331"/>
      <c r="F38" s="1331"/>
      <c r="G38" s="1331"/>
      <c r="H38" s="1332"/>
      <c r="I38" s="1332"/>
      <c r="J38" s="1332"/>
      <c r="K38" s="1332"/>
      <c r="L38" s="1332"/>
      <c r="M38" s="1507"/>
      <c r="N38" s="1502"/>
      <c r="O38" s="1332"/>
      <c r="P38" s="1331"/>
      <c r="Q38" s="1331"/>
      <c r="R38" s="1331"/>
      <c r="S38" s="1331"/>
      <c r="T38" s="1331">
        <v>-320000</v>
      </c>
      <c r="U38" s="1331"/>
      <c r="V38" s="1331"/>
      <c r="W38" s="1334"/>
      <c r="X38" s="1509"/>
      <c r="Y38" s="1331"/>
      <c r="Z38" s="1331"/>
      <c r="AA38" s="1331"/>
      <c r="AB38" s="1331"/>
      <c r="AC38" s="1331"/>
      <c r="AD38" s="1331"/>
      <c r="AE38" s="1331"/>
      <c r="AF38" s="1331"/>
      <c r="AG38" s="1331"/>
      <c r="AH38" s="1334"/>
      <c r="AI38" s="1509"/>
      <c r="AJ38" s="1331"/>
      <c r="AK38" s="1331"/>
      <c r="AL38" s="1331"/>
      <c r="AM38" s="1331"/>
      <c r="AN38" s="1331"/>
      <c r="AO38" s="1331"/>
      <c r="AP38" s="1331"/>
      <c r="AQ38" s="1331"/>
      <c r="AR38" s="1331"/>
      <c r="AS38" s="1331"/>
      <c r="AT38" s="1331"/>
      <c r="AU38" s="1334"/>
    </row>
    <row r="39" spans="1:47" ht="64.5" customHeight="1" x14ac:dyDescent="0.2">
      <c r="A39" s="1335" t="s">
        <v>733</v>
      </c>
      <c r="B39" s="1336" t="s">
        <v>1567</v>
      </c>
      <c r="C39" s="1169" t="s">
        <v>2150</v>
      </c>
      <c r="D39" s="1331"/>
      <c r="E39" s="1331"/>
      <c r="F39" s="1331"/>
      <c r="G39" s="1331"/>
      <c r="H39" s="1332"/>
      <c r="I39" s="1332"/>
      <c r="J39" s="1332"/>
      <c r="K39" s="1332"/>
      <c r="L39" s="1332"/>
      <c r="M39" s="1507"/>
      <c r="N39" s="1502"/>
      <c r="O39" s="1332"/>
      <c r="P39" s="1331"/>
      <c r="Q39" s="1331"/>
      <c r="R39" s="1331"/>
      <c r="S39" s="1331"/>
      <c r="T39" s="1331">
        <v>-320000</v>
      </c>
      <c r="U39" s="1331"/>
      <c r="V39" s="1331"/>
      <c r="W39" s="1334"/>
      <c r="X39" s="1509"/>
      <c r="Y39" s="1331"/>
      <c r="Z39" s="1331"/>
      <c r="AA39" s="1331"/>
      <c r="AB39" s="1331"/>
      <c r="AC39" s="1331"/>
      <c r="AD39" s="1331"/>
      <c r="AE39" s="1331"/>
      <c r="AF39" s="1331"/>
      <c r="AG39" s="1331"/>
      <c r="AH39" s="1334"/>
      <c r="AI39" s="1509"/>
      <c r="AJ39" s="1331"/>
      <c r="AK39" s="1331"/>
      <c r="AL39" s="1331"/>
      <c r="AM39" s="1331"/>
      <c r="AN39" s="1331"/>
      <c r="AO39" s="1331"/>
      <c r="AP39" s="1331"/>
      <c r="AQ39" s="1331"/>
      <c r="AR39" s="1331"/>
      <c r="AS39" s="1331"/>
      <c r="AT39" s="1331"/>
      <c r="AU39" s="1334"/>
    </row>
    <row r="40" spans="1:47" ht="56.25" customHeight="1" x14ac:dyDescent="0.2">
      <c r="A40" s="1335" t="s">
        <v>734</v>
      </c>
      <c r="B40" s="1336" t="s">
        <v>1568</v>
      </c>
      <c r="C40" s="1169" t="s">
        <v>2172</v>
      </c>
      <c r="D40" s="1331"/>
      <c r="E40" s="1331"/>
      <c r="F40" s="1331"/>
      <c r="G40" s="1331"/>
      <c r="H40" s="1332"/>
      <c r="I40" s="1332"/>
      <c r="J40" s="1332"/>
      <c r="K40" s="1332"/>
      <c r="L40" s="1332"/>
      <c r="M40" s="1507"/>
      <c r="N40" s="1502"/>
      <c r="O40" s="1332"/>
      <c r="P40" s="1331"/>
      <c r="Q40" s="1331"/>
      <c r="R40" s="1331"/>
      <c r="S40" s="1331"/>
      <c r="T40" s="1331">
        <v>-320000</v>
      </c>
      <c r="U40" s="1331"/>
      <c r="V40" s="1331"/>
      <c r="W40" s="1334"/>
      <c r="X40" s="1509"/>
      <c r="Y40" s="1331"/>
      <c r="Z40" s="1331"/>
      <c r="AA40" s="1331"/>
      <c r="AB40" s="1331"/>
      <c r="AC40" s="1331"/>
      <c r="AD40" s="1331"/>
      <c r="AE40" s="1331"/>
      <c r="AF40" s="1331"/>
      <c r="AG40" s="1331"/>
      <c r="AH40" s="1334"/>
      <c r="AI40" s="1509"/>
      <c r="AJ40" s="1331"/>
      <c r="AK40" s="1331"/>
      <c r="AL40" s="1331"/>
      <c r="AM40" s="1331"/>
      <c r="AN40" s="1331"/>
      <c r="AO40" s="1331"/>
      <c r="AP40" s="1331"/>
      <c r="AQ40" s="1331"/>
      <c r="AR40" s="1331"/>
      <c r="AS40" s="1331"/>
      <c r="AT40" s="1331"/>
      <c r="AU40" s="1334"/>
    </row>
    <row r="41" spans="1:47" ht="107.25" customHeight="1" x14ac:dyDescent="0.2">
      <c r="A41" s="1335" t="s">
        <v>156</v>
      </c>
      <c r="B41" s="1336" t="s">
        <v>1569</v>
      </c>
      <c r="C41" s="1169" t="s">
        <v>2025</v>
      </c>
      <c r="D41" s="1331"/>
      <c r="E41" s="1331"/>
      <c r="F41" s="1331"/>
      <c r="G41" s="1331"/>
      <c r="H41" s="1332"/>
      <c r="I41" s="1332"/>
      <c r="J41" s="1332"/>
      <c r="K41" s="1332"/>
      <c r="L41" s="1332"/>
      <c r="M41" s="1507"/>
      <c r="N41" s="1502"/>
      <c r="O41" s="1332"/>
      <c r="P41" s="1331"/>
      <c r="Q41" s="1331"/>
      <c r="R41" s="1331"/>
      <c r="S41" s="1331"/>
      <c r="T41" s="1331">
        <v>-1540000</v>
      </c>
      <c r="U41" s="1331"/>
      <c r="V41" s="1331"/>
      <c r="W41" s="1334"/>
      <c r="X41" s="1509"/>
      <c r="Y41" s="1331"/>
      <c r="Z41" s="1331"/>
      <c r="AA41" s="1331"/>
      <c r="AB41" s="1331"/>
      <c r="AC41" s="1331"/>
      <c r="AD41" s="1331"/>
      <c r="AE41" s="1331"/>
      <c r="AF41" s="1331"/>
      <c r="AG41" s="1331"/>
      <c r="AH41" s="1334"/>
      <c r="AI41" s="1509"/>
      <c r="AJ41" s="1331"/>
      <c r="AK41" s="1331"/>
      <c r="AL41" s="1331"/>
      <c r="AM41" s="1331"/>
      <c r="AN41" s="1331"/>
      <c r="AO41" s="1331"/>
      <c r="AP41" s="1331"/>
      <c r="AQ41" s="1331"/>
      <c r="AR41" s="1331"/>
      <c r="AS41" s="1331"/>
      <c r="AT41" s="1331"/>
      <c r="AU41" s="1334"/>
    </row>
    <row r="42" spans="1:47" ht="55.5" customHeight="1" x14ac:dyDescent="0.2">
      <c r="A42" s="1335" t="s">
        <v>735</v>
      </c>
      <c r="B42" s="1336" t="s">
        <v>1572</v>
      </c>
      <c r="C42" s="1169" t="s">
        <v>2166</v>
      </c>
      <c r="D42" s="1331"/>
      <c r="E42" s="1331"/>
      <c r="F42" s="1331"/>
      <c r="G42" s="1331"/>
      <c r="H42" s="1332"/>
      <c r="I42" s="1332"/>
      <c r="J42" s="1332"/>
      <c r="K42" s="1332"/>
      <c r="L42" s="1332"/>
      <c r="M42" s="1507"/>
      <c r="N42" s="1502"/>
      <c r="O42" s="1332"/>
      <c r="P42" s="1331"/>
      <c r="Q42" s="1331"/>
      <c r="R42" s="1331"/>
      <c r="S42" s="1331">
        <v>-3000000</v>
      </c>
      <c r="T42" s="1331"/>
      <c r="U42" s="1331"/>
      <c r="V42" s="1331"/>
      <c r="W42" s="1334"/>
      <c r="X42" s="1509"/>
      <c r="Y42" s="1331"/>
      <c r="Z42" s="1331"/>
      <c r="AA42" s="1331"/>
      <c r="AB42" s="1331"/>
      <c r="AC42" s="1331"/>
      <c r="AD42" s="1331"/>
      <c r="AE42" s="1331"/>
      <c r="AF42" s="1331"/>
      <c r="AG42" s="1331"/>
      <c r="AH42" s="1334"/>
      <c r="AI42" s="1509"/>
      <c r="AJ42" s="1331"/>
      <c r="AK42" s="1331"/>
      <c r="AL42" s="1331"/>
      <c r="AM42" s="1331"/>
      <c r="AN42" s="1331"/>
      <c r="AO42" s="1331"/>
      <c r="AP42" s="1331"/>
      <c r="AQ42" s="1331"/>
      <c r="AR42" s="1331"/>
      <c r="AS42" s="1331"/>
      <c r="AT42" s="1331"/>
      <c r="AU42" s="1334"/>
    </row>
    <row r="43" spans="1:47" ht="54.75" customHeight="1" x14ac:dyDescent="0.2">
      <c r="A43" s="1335" t="s">
        <v>314</v>
      </c>
      <c r="B43" s="1336" t="s">
        <v>1575</v>
      </c>
      <c r="C43" s="1169" t="s">
        <v>2038</v>
      </c>
      <c r="D43" s="1331"/>
      <c r="E43" s="1331"/>
      <c r="F43" s="1331"/>
      <c r="G43" s="1331"/>
      <c r="H43" s="1332"/>
      <c r="I43" s="1332"/>
      <c r="J43" s="1332"/>
      <c r="K43" s="1332"/>
      <c r="L43" s="1332"/>
      <c r="M43" s="1507">
        <v>100778446</v>
      </c>
      <c r="N43" s="1502"/>
      <c r="O43" s="1332"/>
      <c r="P43" s="1331"/>
      <c r="Q43" s="1331"/>
      <c r="R43" s="1331"/>
      <c r="S43" s="1331"/>
      <c r="T43" s="1331"/>
      <c r="U43" s="1331"/>
      <c r="V43" s="1331"/>
      <c r="W43" s="1334"/>
      <c r="X43" s="1509"/>
      <c r="Y43" s="1331"/>
      <c r="Z43" s="1331"/>
      <c r="AA43" s="1331"/>
      <c r="AB43" s="1331"/>
      <c r="AC43" s="1331"/>
      <c r="AD43" s="1331"/>
      <c r="AE43" s="1331"/>
      <c r="AF43" s="1331"/>
      <c r="AG43" s="1331"/>
      <c r="AH43" s="1334"/>
      <c r="AI43" s="1509"/>
      <c r="AJ43" s="1331"/>
      <c r="AK43" s="1331"/>
      <c r="AL43" s="1331"/>
      <c r="AM43" s="1331"/>
      <c r="AN43" s="1331"/>
      <c r="AO43" s="1331"/>
      <c r="AP43" s="1331"/>
      <c r="AQ43" s="1331"/>
      <c r="AR43" s="1331"/>
      <c r="AS43" s="1331"/>
      <c r="AT43" s="1331"/>
      <c r="AU43" s="1334"/>
    </row>
    <row r="44" spans="1:47" ht="69.75" customHeight="1" x14ac:dyDescent="0.2">
      <c r="A44" s="1335" t="s">
        <v>315</v>
      </c>
      <c r="B44" s="1410" t="s">
        <v>2042</v>
      </c>
      <c r="C44" s="1169" t="s">
        <v>2040</v>
      </c>
      <c r="D44" s="1331"/>
      <c r="E44" s="1331"/>
      <c r="F44" s="1331"/>
      <c r="G44" s="1331"/>
      <c r="H44" s="1332"/>
      <c r="I44" s="1332"/>
      <c r="J44" s="1332"/>
      <c r="K44" s="1332"/>
      <c r="L44" s="1332"/>
      <c r="M44" s="1507"/>
      <c r="N44" s="1502"/>
      <c r="O44" s="1332"/>
      <c r="P44" s="1331"/>
      <c r="Q44" s="1331"/>
      <c r="R44" s="1331"/>
      <c r="S44" s="1331"/>
      <c r="T44" s="1331"/>
      <c r="U44" s="1331"/>
      <c r="V44" s="1331"/>
      <c r="W44" s="1334"/>
      <c r="X44" s="1509"/>
      <c r="Y44" s="1331"/>
      <c r="Z44" s="1331"/>
      <c r="AA44" s="1331"/>
      <c r="AB44" s="1331"/>
      <c r="AC44" s="1331"/>
      <c r="AD44" s="1331"/>
      <c r="AE44" s="1331">
        <v>-15000000</v>
      </c>
      <c r="AF44" s="1331"/>
      <c r="AG44" s="1331"/>
      <c r="AH44" s="1334"/>
      <c r="AI44" s="1509"/>
      <c r="AJ44" s="1331"/>
      <c r="AK44" s="1331"/>
      <c r="AL44" s="1331"/>
      <c r="AM44" s="1331"/>
      <c r="AN44" s="1331"/>
      <c r="AO44" s="1331"/>
      <c r="AP44" s="1331"/>
      <c r="AQ44" s="1331"/>
      <c r="AR44" s="1331"/>
      <c r="AS44" s="1331"/>
      <c r="AT44" s="1331"/>
      <c r="AU44" s="1334"/>
    </row>
    <row r="45" spans="1:47" ht="48" customHeight="1" x14ac:dyDescent="0.2">
      <c r="A45" s="1335" t="s">
        <v>316</v>
      </c>
      <c r="B45" s="1410" t="s">
        <v>2092</v>
      </c>
      <c r="C45" s="1169" t="s">
        <v>2091</v>
      </c>
      <c r="D45" s="1331"/>
      <c r="E45" s="1331"/>
      <c r="F45" s="1331"/>
      <c r="G45" s="1331"/>
      <c r="H45" s="1332"/>
      <c r="I45" s="1332"/>
      <c r="J45" s="1332"/>
      <c r="K45" s="1332"/>
      <c r="L45" s="1332"/>
      <c r="M45" s="1507"/>
      <c r="N45" s="1502"/>
      <c r="O45" s="1332"/>
      <c r="P45" s="1331">
        <v>-491490</v>
      </c>
      <c r="Q45" s="1331"/>
      <c r="R45" s="1331"/>
      <c r="S45" s="1331"/>
      <c r="T45" s="1331"/>
      <c r="U45" s="1331"/>
      <c r="V45" s="1331"/>
      <c r="W45" s="1334"/>
      <c r="X45" s="1509"/>
      <c r="Y45" s="1331"/>
      <c r="Z45" s="1331"/>
      <c r="AA45" s="1331"/>
      <c r="AB45" s="1331"/>
      <c r="AC45" s="1331"/>
      <c r="AD45" s="1331"/>
      <c r="AE45" s="1331"/>
      <c r="AF45" s="1331"/>
      <c r="AG45" s="1331"/>
      <c r="AH45" s="1334"/>
      <c r="AI45" s="1509"/>
      <c r="AJ45" s="1331"/>
      <c r="AK45" s="1331"/>
      <c r="AL45" s="1331"/>
      <c r="AM45" s="1331"/>
      <c r="AN45" s="1331"/>
      <c r="AO45" s="1331"/>
      <c r="AP45" s="1331"/>
      <c r="AQ45" s="1331"/>
      <c r="AR45" s="1331"/>
      <c r="AS45" s="1331"/>
      <c r="AT45" s="1331"/>
      <c r="AU45" s="1334"/>
    </row>
    <row r="46" spans="1:47" ht="47.25" customHeight="1" x14ac:dyDescent="0.2">
      <c r="A46" s="1335" t="s">
        <v>318</v>
      </c>
      <c r="B46" s="1336" t="s">
        <v>1580</v>
      </c>
      <c r="C46" s="1169" t="s">
        <v>2167</v>
      </c>
      <c r="D46" s="1331"/>
      <c r="E46" s="1331"/>
      <c r="F46" s="1331"/>
      <c r="G46" s="1331"/>
      <c r="H46" s="1332"/>
      <c r="I46" s="1332"/>
      <c r="J46" s="1332"/>
      <c r="K46" s="1332"/>
      <c r="L46" s="1332"/>
      <c r="M46" s="1507"/>
      <c r="N46" s="1502"/>
      <c r="O46" s="1332"/>
      <c r="P46" s="1331">
        <v>-197960</v>
      </c>
      <c r="Q46" s="1331"/>
      <c r="R46" s="1331"/>
      <c r="S46" s="1331"/>
      <c r="T46" s="1331"/>
      <c r="U46" s="1331"/>
      <c r="V46" s="1331"/>
      <c r="W46" s="1334"/>
      <c r="X46" s="1509"/>
      <c r="Y46" s="1331"/>
      <c r="Z46" s="1331"/>
      <c r="AA46" s="1331"/>
      <c r="AB46" s="1331"/>
      <c r="AC46" s="1331"/>
      <c r="AD46" s="1331"/>
      <c r="AE46" s="1331"/>
      <c r="AF46" s="1331"/>
      <c r="AG46" s="1331"/>
      <c r="AH46" s="1334"/>
      <c r="AI46" s="1509"/>
      <c r="AJ46" s="1331"/>
      <c r="AK46" s="1331"/>
      <c r="AL46" s="1331"/>
      <c r="AM46" s="1331"/>
      <c r="AN46" s="1331"/>
      <c r="AO46" s="1331"/>
      <c r="AP46" s="1331"/>
      <c r="AQ46" s="1331"/>
      <c r="AR46" s="1331"/>
      <c r="AS46" s="1331"/>
      <c r="AT46" s="1331"/>
      <c r="AU46" s="1334"/>
    </row>
    <row r="47" spans="1:47" ht="54.75" customHeight="1" x14ac:dyDescent="0.2">
      <c r="A47" s="1335" t="s">
        <v>319</v>
      </c>
      <c r="B47" s="1336" t="s">
        <v>1581</v>
      </c>
      <c r="C47" s="1169" t="s">
        <v>2163</v>
      </c>
      <c r="D47" s="1331"/>
      <c r="E47" s="1331"/>
      <c r="F47" s="1331"/>
      <c r="G47" s="1331"/>
      <c r="H47" s="1332"/>
      <c r="I47" s="1332"/>
      <c r="J47" s="1332"/>
      <c r="K47" s="1332"/>
      <c r="L47" s="1332"/>
      <c r="M47" s="1507"/>
      <c r="N47" s="1502"/>
      <c r="O47" s="1332"/>
      <c r="P47" s="1331">
        <v>-226721</v>
      </c>
      <c r="Q47" s="1331"/>
      <c r="R47" s="1331"/>
      <c r="S47" s="1331"/>
      <c r="T47" s="1331"/>
      <c r="U47" s="1331"/>
      <c r="V47" s="1331"/>
      <c r="W47" s="1334"/>
      <c r="X47" s="1509"/>
      <c r="Y47" s="1331"/>
      <c r="Z47" s="1331"/>
      <c r="AA47" s="1331"/>
      <c r="AB47" s="1331"/>
      <c r="AC47" s="1331"/>
      <c r="AD47" s="1331"/>
      <c r="AE47" s="1331"/>
      <c r="AF47" s="1331"/>
      <c r="AG47" s="1331"/>
      <c r="AH47" s="1334"/>
      <c r="AI47" s="1509"/>
      <c r="AJ47" s="1331"/>
      <c r="AK47" s="1331"/>
      <c r="AL47" s="1331"/>
      <c r="AM47" s="1331"/>
      <c r="AN47" s="1331"/>
      <c r="AO47" s="1331"/>
      <c r="AP47" s="1331"/>
      <c r="AQ47" s="1331"/>
      <c r="AR47" s="1331"/>
      <c r="AS47" s="1331"/>
      <c r="AT47" s="1331"/>
      <c r="AU47" s="1334"/>
    </row>
    <row r="48" spans="1:47" ht="53.25" customHeight="1" x14ac:dyDescent="0.2">
      <c r="A48" s="1335" t="s">
        <v>320</v>
      </c>
      <c r="B48" s="1336" t="s">
        <v>1582</v>
      </c>
      <c r="C48" s="1169" t="s">
        <v>2168</v>
      </c>
      <c r="D48" s="1331"/>
      <c r="E48" s="1331"/>
      <c r="F48" s="1331"/>
      <c r="G48" s="1331"/>
      <c r="H48" s="1332"/>
      <c r="I48" s="1332"/>
      <c r="J48" s="1332"/>
      <c r="K48" s="1332"/>
      <c r="L48" s="1332"/>
      <c r="M48" s="1507"/>
      <c r="N48" s="1502"/>
      <c r="O48" s="1332"/>
      <c r="P48" s="1331">
        <v>-129477</v>
      </c>
      <c r="Q48" s="1331"/>
      <c r="R48" s="1331"/>
      <c r="S48" s="1331"/>
      <c r="T48" s="1331"/>
      <c r="U48" s="1331"/>
      <c r="V48" s="1331"/>
      <c r="W48" s="1334"/>
      <c r="X48" s="1509"/>
      <c r="Y48" s="1331"/>
      <c r="Z48" s="1331"/>
      <c r="AA48" s="1331"/>
      <c r="AB48" s="1331"/>
      <c r="AC48" s="1331"/>
      <c r="AD48" s="1331"/>
      <c r="AE48" s="1331"/>
      <c r="AF48" s="1331"/>
      <c r="AG48" s="1331"/>
      <c r="AH48" s="1334"/>
      <c r="AI48" s="1509"/>
      <c r="AJ48" s="1331"/>
      <c r="AK48" s="1331"/>
      <c r="AL48" s="1331"/>
      <c r="AM48" s="1331"/>
      <c r="AN48" s="1331"/>
      <c r="AO48" s="1331"/>
      <c r="AP48" s="1331"/>
      <c r="AQ48" s="1331"/>
      <c r="AR48" s="1331"/>
      <c r="AS48" s="1331"/>
      <c r="AT48" s="1331"/>
      <c r="AU48" s="1334"/>
    </row>
    <row r="49" spans="1:47" ht="45" customHeight="1" x14ac:dyDescent="0.2">
      <c r="A49" s="1335" t="s">
        <v>737</v>
      </c>
      <c r="B49" s="1336" t="s">
        <v>1583</v>
      </c>
      <c r="C49" s="1169" t="s">
        <v>2151</v>
      </c>
      <c r="D49" s="1331"/>
      <c r="E49" s="1331"/>
      <c r="F49" s="1331"/>
      <c r="G49" s="1331"/>
      <c r="H49" s="1332"/>
      <c r="I49" s="1332"/>
      <c r="J49" s="1332"/>
      <c r="K49" s="1332"/>
      <c r="L49" s="1332"/>
      <c r="M49" s="1507"/>
      <c r="N49" s="1502"/>
      <c r="O49" s="1332"/>
      <c r="P49" s="1331">
        <v>-179305</v>
      </c>
      <c r="Q49" s="1331"/>
      <c r="R49" s="1331"/>
      <c r="S49" s="1331"/>
      <c r="T49" s="1331"/>
      <c r="U49" s="1331"/>
      <c r="V49" s="1331"/>
      <c r="W49" s="1334"/>
      <c r="X49" s="1509"/>
      <c r="Y49" s="1331"/>
      <c r="Z49" s="1331"/>
      <c r="AA49" s="1331"/>
      <c r="AB49" s="1331"/>
      <c r="AC49" s="1331"/>
      <c r="AD49" s="1331"/>
      <c r="AE49" s="1331"/>
      <c r="AF49" s="1331"/>
      <c r="AG49" s="1331"/>
      <c r="AH49" s="1334"/>
      <c r="AI49" s="1509"/>
      <c r="AJ49" s="1331"/>
      <c r="AK49" s="1331"/>
      <c r="AL49" s="1331"/>
      <c r="AM49" s="1331"/>
      <c r="AN49" s="1331"/>
      <c r="AO49" s="1331"/>
      <c r="AP49" s="1331"/>
      <c r="AQ49" s="1331"/>
      <c r="AR49" s="1331"/>
      <c r="AS49" s="1331"/>
      <c r="AT49" s="1331"/>
      <c r="AU49" s="1334"/>
    </row>
    <row r="50" spans="1:47" ht="67.5" customHeight="1" x14ac:dyDescent="0.2">
      <c r="A50" s="1335" t="s">
        <v>738</v>
      </c>
      <c r="B50" s="1336" t="s">
        <v>1584</v>
      </c>
      <c r="C50" s="1169" t="s">
        <v>2147</v>
      </c>
      <c r="D50" s="1331"/>
      <c r="E50" s="1331"/>
      <c r="F50" s="1331"/>
      <c r="G50" s="1331"/>
      <c r="H50" s="1332"/>
      <c r="I50" s="1332"/>
      <c r="J50" s="1332"/>
      <c r="K50" s="1332"/>
      <c r="L50" s="1332"/>
      <c r="M50" s="1507"/>
      <c r="N50" s="1502"/>
      <c r="O50" s="1332"/>
      <c r="P50" s="1331">
        <v>-98349</v>
      </c>
      <c r="Q50" s="1331"/>
      <c r="R50" s="1331"/>
      <c r="S50" s="1331"/>
      <c r="T50" s="1331"/>
      <c r="U50" s="1331"/>
      <c r="V50" s="1331"/>
      <c r="W50" s="1334"/>
      <c r="X50" s="1509"/>
      <c r="Y50" s="1331"/>
      <c r="Z50" s="1331"/>
      <c r="AA50" s="1331"/>
      <c r="AB50" s="1331"/>
      <c r="AC50" s="1331"/>
      <c r="AD50" s="1331"/>
      <c r="AE50" s="1331"/>
      <c r="AF50" s="1331"/>
      <c r="AG50" s="1331"/>
      <c r="AH50" s="1334"/>
      <c r="AI50" s="1509"/>
      <c r="AJ50" s="1331"/>
      <c r="AK50" s="1331"/>
      <c r="AL50" s="1331"/>
      <c r="AM50" s="1331"/>
      <c r="AN50" s="1331"/>
      <c r="AO50" s="1331"/>
      <c r="AP50" s="1331"/>
      <c r="AQ50" s="1331"/>
      <c r="AR50" s="1331"/>
      <c r="AS50" s="1331"/>
      <c r="AT50" s="1331"/>
      <c r="AU50" s="1334"/>
    </row>
    <row r="51" spans="1:47" ht="42" customHeight="1" x14ac:dyDescent="0.2">
      <c r="A51" s="1335" t="s">
        <v>740</v>
      </c>
      <c r="B51" s="1336" t="s">
        <v>1586</v>
      </c>
      <c r="C51" s="1169" t="s">
        <v>2153</v>
      </c>
      <c r="D51" s="1331"/>
      <c r="E51" s="1331"/>
      <c r="F51" s="1331">
        <v>-4471720</v>
      </c>
      <c r="G51" s="1331"/>
      <c r="H51" s="1332"/>
      <c r="I51" s="1332"/>
      <c r="J51" s="1332"/>
      <c r="K51" s="1332"/>
      <c r="L51" s="1332"/>
      <c r="M51" s="1507"/>
      <c r="N51" s="1502"/>
      <c r="O51" s="1332"/>
      <c r="P51" s="1331"/>
      <c r="Q51" s="1331"/>
      <c r="R51" s="1331"/>
      <c r="S51" s="1331"/>
      <c r="T51" s="1331"/>
      <c r="U51" s="1331"/>
      <c r="V51" s="1331"/>
      <c r="W51" s="1334"/>
      <c r="X51" s="1509"/>
      <c r="Y51" s="1331"/>
      <c r="Z51" s="1331"/>
      <c r="AA51" s="1331"/>
      <c r="AB51" s="1331"/>
      <c r="AC51" s="1331"/>
      <c r="AD51" s="1331"/>
      <c r="AE51" s="1331"/>
      <c r="AF51" s="1331"/>
      <c r="AG51" s="1331"/>
      <c r="AH51" s="1334"/>
      <c r="AI51" s="1509"/>
      <c r="AJ51" s="1331"/>
      <c r="AK51" s="1331"/>
      <c r="AL51" s="1331"/>
      <c r="AM51" s="1331"/>
      <c r="AN51" s="1331"/>
      <c r="AO51" s="1331"/>
      <c r="AP51" s="1331"/>
      <c r="AQ51" s="1331"/>
      <c r="AR51" s="1331"/>
      <c r="AS51" s="1331"/>
      <c r="AT51" s="1331"/>
      <c r="AU51" s="1334"/>
    </row>
    <row r="52" spans="1:47" ht="43.5" customHeight="1" x14ac:dyDescent="0.2">
      <c r="A52" s="1335" t="s">
        <v>741</v>
      </c>
      <c r="B52" s="1336" t="s">
        <v>1587</v>
      </c>
      <c r="C52" s="1169" t="s">
        <v>2154</v>
      </c>
      <c r="D52" s="1331"/>
      <c r="E52" s="1331"/>
      <c r="F52" s="1331"/>
      <c r="G52" s="1331"/>
      <c r="H52" s="1332"/>
      <c r="I52" s="1332"/>
      <c r="J52" s="1332"/>
      <c r="K52" s="1332"/>
      <c r="L52" s="1332"/>
      <c r="M52" s="1507"/>
      <c r="N52" s="1502"/>
      <c r="O52" s="1332"/>
      <c r="P52" s="1331"/>
      <c r="Q52" s="1331">
        <v>-7447280</v>
      </c>
      <c r="R52" s="1331"/>
      <c r="S52" s="1331"/>
      <c r="T52" s="1331"/>
      <c r="U52" s="1331"/>
      <c r="V52" s="1331"/>
      <c r="W52" s="1334"/>
      <c r="X52" s="1509"/>
      <c r="Y52" s="1331"/>
      <c r="Z52" s="1331"/>
      <c r="AA52" s="1331"/>
      <c r="AB52" s="1331"/>
      <c r="AC52" s="1331"/>
      <c r="AD52" s="1331"/>
      <c r="AE52" s="1331"/>
      <c r="AF52" s="1331"/>
      <c r="AG52" s="1331"/>
      <c r="AH52" s="1334"/>
      <c r="AI52" s="1509"/>
      <c r="AJ52" s="1331"/>
      <c r="AK52" s="1331"/>
      <c r="AL52" s="1331"/>
      <c r="AM52" s="1331"/>
      <c r="AN52" s="1331"/>
      <c r="AO52" s="1331"/>
      <c r="AP52" s="1331"/>
      <c r="AQ52" s="1331"/>
      <c r="AR52" s="1331"/>
      <c r="AS52" s="1331"/>
      <c r="AT52" s="1331"/>
      <c r="AU52" s="1334"/>
    </row>
    <row r="53" spans="1:47" ht="42" customHeight="1" x14ac:dyDescent="0.2">
      <c r="A53" s="1335" t="s">
        <v>742</v>
      </c>
      <c r="B53" s="1336" t="s">
        <v>1588</v>
      </c>
      <c r="C53" s="1169" t="s">
        <v>2169</v>
      </c>
      <c r="D53" s="1331"/>
      <c r="E53" s="1331"/>
      <c r="F53" s="1331">
        <v>-4356080</v>
      </c>
      <c r="G53" s="1331"/>
      <c r="H53" s="1332"/>
      <c r="I53" s="1332"/>
      <c r="J53" s="1332"/>
      <c r="K53" s="1332"/>
      <c r="L53" s="1332"/>
      <c r="M53" s="1507"/>
      <c r="N53" s="1502"/>
      <c r="O53" s="1332"/>
      <c r="P53" s="1331"/>
      <c r="Q53" s="1331"/>
      <c r="R53" s="1331"/>
      <c r="S53" s="1331"/>
      <c r="T53" s="1331"/>
      <c r="U53" s="1331"/>
      <c r="V53" s="1331"/>
      <c r="W53" s="1334"/>
      <c r="X53" s="1509"/>
      <c r="Y53" s="1331"/>
      <c r="Z53" s="1331"/>
      <c r="AA53" s="1331"/>
      <c r="AB53" s="1331"/>
      <c r="AC53" s="1331"/>
      <c r="AD53" s="1331"/>
      <c r="AE53" s="1331"/>
      <c r="AF53" s="1331"/>
      <c r="AG53" s="1331"/>
      <c r="AH53" s="1334"/>
      <c r="AI53" s="1509"/>
      <c r="AJ53" s="1331"/>
      <c r="AK53" s="1331"/>
      <c r="AL53" s="1331"/>
      <c r="AM53" s="1331"/>
      <c r="AN53" s="1331"/>
      <c r="AO53" s="1331"/>
      <c r="AP53" s="1331"/>
      <c r="AQ53" s="1331"/>
      <c r="AR53" s="1331"/>
      <c r="AS53" s="1331"/>
      <c r="AT53" s="1331"/>
      <c r="AU53" s="1334"/>
    </row>
    <row r="54" spans="1:47" ht="45" customHeight="1" x14ac:dyDescent="0.2">
      <c r="A54" s="1335" t="s">
        <v>1325</v>
      </c>
      <c r="B54" s="1336" t="s">
        <v>1589</v>
      </c>
      <c r="C54" s="1169" t="s">
        <v>2170</v>
      </c>
      <c r="D54" s="1331"/>
      <c r="E54" s="1331"/>
      <c r="F54" s="1331"/>
      <c r="G54" s="1331"/>
      <c r="H54" s="1332"/>
      <c r="I54" s="1332"/>
      <c r="J54" s="1332"/>
      <c r="K54" s="1332"/>
      <c r="L54" s="1332"/>
      <c r="M54" s="1507"/>
      <c r="N54" s="1502"/>
      <c r="O54" s="1332"/>
      <c r="P54" s="1331"/>
      <c r="Q54" s="1331">
        <v>-2552720</v>
      </c>
      <c r="R54" s="1331"/>
      <c r="S54" s="1331"/>
      <c r="T54" s="1331"/>
      <c r="U54" s="1331"/>
      <c r="V54" s="1331"/>
      <c r="W54" s="1334"/>
      <c r="X54" s="1509"/>
      <c r="Y54" s="1331"/>
      <c r="Z54" s="1331"/>
      <c r="AA54" s="1331"/>
      <c r="AB54" s="1331"/>
      <c r="AC54" s="1331"/>
      <c r="AD54" s="1331"/>
      <c r="AE54" s="1331"/>
      <c r="AF54" s="1331"/>
      <c r="AG54" s="1331"/>
      <c r="AH54" s="1334"/>
      <c r="AI54" s="1509"/>
      <c r="AJ54" s="1331"/>
      <c r="AK54" s="1331"/>
      <c r="AL54" s="1331"/>
      <c r="AM54" s="1331"/>
      <c r="AN54" s="1331"/>
      <c r="AO54" s="1331"/>
      <c r="AP54" s="1331"/>
      <c r="AQ54" s="1331"/>
      <c r="AR54" s="1331"/>
      <c r="AS54" s="1331"/>
      <c r="AT54" s="1331"/>
      <c r="AU54" s="1334"/>
    </row>
    <row r="55" spans="1:47" ht="43.5" customHeight="1" x14ac:dyDescent="0.2">
      <c r="A55" s="1335" t="s">
        <v>743</v>
      </c>
      <c r="B55" s="1336" t="s">
        <v>1591</v>
      </c>
      <c r="C55" s="1169" t="s">
        <v>2099</v>
      </c>
      <c r="D55" s="1331"/>
      <c r="E55" s="1331"/>
      <c r="F55" s="1331"/>
      <c r="G55" s="1331"/>
      <c r="H55" s="1332"/>
      <c r="I55" s="1332"/>
      <c r="J55" s="1332"/>
      <c r="K55" s="1332"/>
      <c r="L55" s="1332"/>
      <c r="M55" s="1507"/>
      <c r="N55" s="1502"/>
      <c r="O55" s="1332"/>
      <c r="P55" s="1331"/>
      <c r="Q55" s="1331"/>
      <c r="R55" s="1331"/>
      <c r="S55" s="1331"/>
      <c r="T55" s="1331"/>
      <c r="U55" s="1331"/>
      <c r="V55" s="1331"/>
      <c r="W55" s="1334"/>
      <c r="X55" s="1509"/>
      <c r="Y55" s="1331"/>
      <c r="Z55" s="1331"/>
      <c r="AA55" s="1331"/>
      <c r="AB55" s="1331"/>
      <c r="AC55" s="1331"/>
      <c r="AD55" s="1331"/>
      <c r="AE55" s="1331"/>
      <c r="AF55" s="1331"/>
      <c r="AG55" s="1331"/>
      <c r="AH55" s="1334">
        <v>-5711950</v>
      </c>
      <c r="AI55" s="1509"/>
      <c r="AJ55" s="1331"/>
      <c r="AK55" s="1331"/>
      <c r="AL55" s="1331"/>
      <c r="AM55" s="1331"/>
      <c r="AN55" s="1331"/>
      <c r="AO55" s="1331"/>
      <c r="AP55" s="1331"/>
      <c r="AQ55" s="1331"/>
      <c r="AR55" s="1331"/>
      <c r="AS55" s="1331"/>
      <c r="AT55" s="1331"/>
      <c r="AU55" s="1334"/>
    </row>
    <row r="56" spans="1:47" ht="52.5" customHeight="1" x14ac:dyDescent="0.2">
      <c r="A56" s="1335" t="s">
        <v>322</v>
      </c>
      <c r="B56" s="1336" t="s">
        <v>1594</v>
      </c>
      <c r="C56" s="1169" t="s">
        <v>2105</v>
      </c>
      <c r="D56" s="1331"/>
      <c r="E56" s="1331"/>
      <c r="F56" s="1331"/>
      <c r="G56" s="1331">
        <v>-2730500</v>
      </c>
      <c r="H56" s="1332"/>
      <c r="I56" s="1332"/>
      <c r="J56" s="1332"/>
      <c r="K56" s="1332"/>
      <c r="L56" s="1332"/>
      <c r="M56" s="1507"/>
      <c r="N56" s="1502"/>
      <c r="O56" s="1332"/>
      <c r="P56" s="1331"/>
      <c r="Q56" s="1331"/>
      <c r="R56" s="1331"/>
      <c r="S56" s="1331"/>
      <c r="T56" s="1331"/>
      <c r="U56" s="1331"/>
      <c r="V56" s="1331"/>
      <c r="W56" s="1334"/>
      <c r="X56" s="1509"/>
      <c r="Y56" s="1331"/>
      <c r="Z56" s="1331"/>
      <c r="AA56" s="1331"/>
      <c r="AB56" s="1331"/>
      <c r="AC56" s="1331"/>
      <c r="AD56" s="1331"/>
      <c r="AE56" s="1331"/>
      <c r="AF56" s="1331"/>
      <c r="AG56" s="1331"/>
      <c r="AH56" s="1334"/>
      <c r="AI56" s="1509"/>
      <c r="AJ56" s="1331"/>
      <c r="AK56" s="1331"/>
      <c r="AL56" s="1331"/>
      <c r="AM56" s="1331"/>
      <c r="AN56" s="1331"/>
      <c r="AO56" s="1331"/>
      <c r="AP56" s="1331"/>
      <c r="AQ56" s="1331"/>
      <c r="AR56" s="1331"/>
      <c r="AS56" s="1331"/>
      <c r="AT56" s="1331"/>
      <c r="AU56" s="1334"/>
    </row>
    <row r="57" spans="1:47" ht="45.75" customHeight="1" x14ac:dyDescent="0.2">
      <c r="A57" s="1335" t="s">
        <v>744</v>
      </c>
      <c r="B57" s="1336" t="s">
        <v>1598</v>
      </c>
      <c r="C57" s="1169" t="s">
        <v>2115</v>
      </c>
      <c r="D57" s="1331"/>
      <c r="E57" s="1331"/>
      <c r="F57" s="1331"/>
      <c r="G57" s="1331"/>
      <c r="H57" s="1332"/>
      <c r="I57" s="1332"/>
      <c r="J57" s="1332"/>
      <c r="K57" s="1332"/>
      <c r="L57" s="1332"/>
      <c r="M57" s="1507"/>
      <c r="N57" s="1502"/>
      <c r="O57" s="1332"/>
      <c r="P57" s="1331">
        <v>-144145</v>
      </c>
      <c r="Q57" s="1331"/>
      <c r="R57" s="1331"/>
      <c r="S57" s="1331"/>
      <c r="T57" s="1331"/>
      <c r="U57" s="1331"/>
      <c r="V57" s="1331"/>
      <c r="W57" s="1334"/>
      <c r="X57" s="1509"/>
      <c r="Y57" s="1331"/>
      <c r="Z57" s="1331"/>
      <c r="AA57" s="1331"/>
      <c r="AB57" s="1331"/>
      <c r="AC57" s="1331"/>
      <c r="AD57" s="1331"/>
      <c r="AE57" s="1331"/>
      <c r="AF57" s="1331"/>
      <c r="AG57" s="1331"/>
      <c r="AH57" s="1334"/>
      <c r="AI57" s="1509"/>
      <c r="AJ57" s="1331"/>
      <c r="AK57" s="1331"/>
      <c r="AL57" s="1331"/>
      <c r="AM57" s="1331"/>
      <c r="AN57" s="1331"/>
      <c r="AO57" s="1331"/>
      <c r="AP57" s="1331"/>
      <c r="AQ57" s="1331"/>
      <c r="AR57" s="1331"/>
      <c r="AS57" s="1331"/>
      <c r="AT57" s="1331"/>
      <c r="AU57" s="1334"/>
    </row>
    <row r="58" spans="1:47" ht="68.25" customHeight="1" x14ac:dyDescent="0.2">
      <c r="A58" s="1335" t="s">
        <v>770</v>
      </c>
      <c r="B58" s="1336" t="s">
        <v>1601</v>
      </c>
      <c r="C58" s="1460" t="s">
        <v>2120</v>
      </c>
      <c r="D58" s="1331"/>
      <c r="E58" s="1331"/>
      <c r="F58" s="1331"/>
      <c r="G58" s="1331"/>
      <c r="H58" s="1332"/>
      <c r="I58" s="1332"/>
      <c r="J58" s="1332"/>
      <c r="K58" s="1332"/>
      <c r="L58" s="1332"/>
      <c r="M58" s="1507"/>
      <c r="N58" s="1502"/>
      <c r="O58" s="1332">
        <v>-311150</v>
      </c>
      <c r="P58" s="1331"/>
      <c r="Q58" s="1331"/>
      <c r="R58" s="1331"/>
      <c r="S58" s="1331"/>
      <c r="T58" s="1331"/>
      <c r="U58" s="1331"/>
      <c r="V58" s="1331"/>
      <c r="W58" s="1334"/>
      <c r="X58" s="1509"/>
      <c r="Y58" s="1331"/>
      <c r="Z58" s="1331"/>
      <c r="AA58" s="1331"/>
      <c r="AB58" s="1331"/>
      <c r="AC58" s="1331"/>
      <c r="AD58" s="1331"/>
      <c r="AE58" s="1331"/>
      <c r="AF58" s="1331"/>
      <c r="AG58" s="1331"/>
      <c r="AH58" s="1334"/>
      <c r="AI58" s="1509"/>
      <c r="AJ58" s="1331"/>
      <c r="AK58" s="1331"/>
      <c r="AL58" s="1331"/>
      <c r="AM58" s="1331"/>
      <c r="AN58" s="1331"/>
      <c r="AO58" s="1331"/>
      <c r="AP58" s="1331"/>
      <c r="AQ58" s="1331"/>
      <c r="AR58" s="1331"/>
      <c r="AS58" s="1331"/>
      <c r="AT58" s="1331"/>
      <c r="AU58" s="1334"/>
    </row>
    <row r="59" spans="1:47" ht="66.75" customHeight="1" x14ac:dyDescent="0.2">
      <c r="A59" s="1335" t="s">
        <v>773</v>
      </c>
      <c r="B59" s="1336" t="s">
        <v>1602</v>
      </c>
      <c r="C59" s="1460" t="s">
        <v>2121</v>
      </c>
      <c r="D59" s="1331"/>
      <c r="E59" s="1331"/>
      <c r="F59" s="1331"/>
      <c r="G59" s="1331"/>
      <c r="H59" s="1332"/>
      <c r="I59" s="1332"/>
      <c r="J59" s="1332"/>
      <c r="K59" s="1332"/>
      <c r="L59" s="1332"/>
      <c r="M59" s="1507"/>
      <c r="N59" s="1502"/>
      <c r="O59" s="1332">
        <v>-150000</v>
      </c>
      <c r="P59" s="1331"/>
      <c r="Q59" s="1331"/>
      <c r="R59" s="1331"/>
      <c r="S59" s="1331"/>
      <c r="T59" s="1331"/>
      <c r="U59" s="1331"/>
      <c r="V59" s="1331"/>
      <c r="W59" s="1334"/>
      <c r="X59" s="1509"/>
      <c r="Y59" s="1331"/>
      <c r="Z59" s="1331"/>
      <c r="AA59" s="1331"/>
      <c r="AB59" s="1331"/>
      <c r="AC59" s="1331"/>
      <c r="AD59" s="1331"/>
      <c r="AE59" s="1331"/>
      <c r="AF59" s="1331"/>
      <c r="AG59" s="1331"/>
      <c r="AH59" s="1334"/>
      <c r="AI59" s="1509"/>
      <c r="AJ59" s="1331"/>
      <c r="AK59" s="1331"/>
      <c r="AL59" s="1331"/>
      <c r="AM59" s="1331"/>
      <c r="AN59" s="1331"/>
      <c r="AO59" s="1331"/>
      <c r="AP59" s="1331"/>
      <c r="AQ59" s="1331"/>
      <c r="AR59" s="1331"/>
      <c r="AS59" s="1331"/>
      <c r="AT59" s="1331"/>
      <c r="AU59" s="1334"/>
    </row>
    <row r="60" spans="1:47" ht="55.5" customHeight="1" x14ac:dyDescent="0.2">
      <c r="A60" s="1335" t="s">
        <v>777</v>
      </c>
      <c r="B60" s="1336" t="s">
        <v>1608</v>
      </c>
      <c r="C60" s="1169" t="s">
        <v>2164</v>
      </c>
      <c r="D60" s="1331"/>
      <c r="E60" s="1331"/>
      <c r="F60" s="1331"/>
      <c r="G60" s="1331"/>
      <c r="H60" s="1332"/>
      <c r="I60" s="1332"/>
      <c r="J60" s="1332"/>
      <c r="K60" s="1332"/>
      <c r="L60" s="1332"/>
      <c r="M60" s="1507"/>
      <c r="N60" s="1502"/>
      <c r="O60" s="1332"/>
      <c r="P60" s="1331">
        <v>-6411</v>
      </c>
      <c r="Q60" s="1331"/>
      <c r="R60" s="1331"/>
      <c r="S60" s="1331"/>
      <c r="T60" s="1331"/>
      <c r="U60" s="1331"/>
      <c r="V60" s="1331"/>
      <c r="W60" s="1334"/>
      <c r="X60" s="1509"/>
      <c r="Y60" s="1331"/>
      <c r="Z60" s="1331"/>
      <c r="AA60" s="1331"/>
      <c r="AB60" s="1331"/>
      <c r="AC60" s="1331"/>
      <c r="AD60" s="1331"/>
      <c r="AE60" s="1331"/>
      <c r="AF60" s="1331"/>
      <c r="AG60" s="1331"/>
      <c r="AH60" s="1334"/>
      <c r="AI60" s="1509"/>
      <c r="AJ60" s="1331"/>
      <c r="AK60" s="1331"/>
      <c r="AL60" s="1331"/>
      <c r="AM60" s="1331"/>
      <c r="AN60" s="1331"/>
      <c r="AO60" s="1331"/>
      <c r="AP60" s="1331"/>
      <c r="AQ60" s="1331"/>
      <c r="AR60" s="1331"/>
      <c r="AS60" s="1331"/>
      <c r="AT60" s="1331"/>
      <c r="AU60" s="1334"/>
    </row>
    <row r="61" spans="1:47" ht="53.25" customHeight="1" x14ac:dyDescent="0.2">
      <c r="A61" s="1335" t="s">
        <v>778</v>
      </c>
      <c r="B61" s="1336" t="s">
        <v>1609</v>
      </c>
      <c r="C61" s="1169" t="s">
        <v>2130</v>
      </c>
      <c r="D61" s="1331"/>
      <c r="E61" s="1331"/>
      <c r="F61" s="1331"/>
      <c r="G61" s="1331"/>
      <c r="H61" s="1332"/>
      <c r="I61" s="1332"/>
      <c r="J61" s="1332"/>
      <c r="K61" s="1332"/>
      <c r="L61" s="1332"/>
      <c r="M61" s="1507">
        <v>-50697800</v>
      </c>
      <c r="N61" s="1502"/>
      <c r="O61" s="1332"/>
      <c r="P61" s="1331"/>
      <c r="Q61" s="1331"/>
      <c r="R61" s="1331"/>
      <c r="S61" s="1331"/>
      <c r="T61" s="1331"/>
      <c r="U61" s="1331"/>
      <c r="V61" s="1331"/>
      <c r="W61" s="1334"/>
      <c r="X61" s="1509"/>
      <c r="Y61" s="1331"/>
      <c r="Z61" s="1331"/>
      <c r="AA61" s="1331"/>
      <c r="AB61" s="1331"/>
      <c r="AC61" s="1331"/>
      <c r="AD61" s="1331"/>
      <c r="AE61" s="1331"/>
      <c r="AF61" s="1331"/>
      <c r="AG61" s="1331"/>
      <c r="AH61" s="1334"/>
      <c r="AI61" s="1509"/>
      <c r="AJ61" s="1331"/>
      <c r="AK61" s="1331"/>
      <c r="AL61" s="1331"/>
      <c r="AM61" s="1331"/>
      <c r="AN61" s="1331"/>
      <c r="AO61" s="1331"/>
      <c r="AP61" s="1331"/>
      <c r="AQ61" s="1331"/>
      <c r="AR61" s="1331"/>
      <c r="AS61" s="1331"/>
      <c r="AT61" s="1331"/>
      <c r="AU61" s="1334"/>
    </row>
    <row r="62" spans="1:47" ht="36" customHeight="1" x14ac:dyDescent="0.2">
      <c r="A62" s="1335" t="s">
        <v>784</v>
      </c>
      <c r="B62" s="1336" t="s">
        <v>1615</v>
      </c>
      <c r="C62" s="1169" t="s">
        <v>2138</v>
      </c>
      <c r="D62" s="1331"/>
      <c r="E62" s="1331"/>
      <c r="F62" s="1331"/>
      <c r="G62" s="1331"/>
      <c r="H62" s="1332"/>
      <c r="I62" s="1332"/>
      <c r="J62" s="1332"/>
      <c r="K62" s="1332"/>
      <c r="L62" s="1332"/>
      <c r="M62" s="1507"/>
      <c r="N62" s="1502"/>
      <c r="O62" s="1332"/>
      <c r="P62" s="1331"/>
      <c r="Q62" s="1331"/>
      <c r="R62" s="1331"/>
      <c r="S62" s="1331"/>
      <c r="T62" s="1331"/>
      <c r="U62" s="1331"/>
      <c r="V62" s="1331"/>
      <c r="W62" s="1334"/>
      <c r="X62" s="1509"/>
      <c r="Y62" s="1331"/>
      <c r="Z62" s="1331"/>
      <c r="AA62" s="1331"/>
      <c r="AB62" s="1331"/>
      <c r="AC62" s="1331"/>
      <c r="AD62" s="1331"/>
      <c r="AE62" s="1331"/>
      <c r="AF62" s="1331"/>
      <c r="AG62" s="1331"/>
      <c r="AH62" s="1334"/>
      <c r="AI62" s="1509"/>
      <c r="AJ62" s="1331"/>
      <c r="AK62" s="1331"/>
      <c r="AL62" s="1331"/>
      <c r="AM62" s="1331"/>
      <c r="AN62" s="1331"/>
      <c r="AO62" s="1331"/>
      <c r="AP62" s="1331">
        <v>100000</v>
      </c>
      <c r="AQ62" s="1331"/>
      <c r="AR62" s="1331"/>
      <c r="AS62" s="1331"/>
      <c r="AT62" s="1331"/>
      <c r="AU62" s="1334"/>
    </row>
    <row r="63" spans="1:47" ht="45.75" customHeight="1" x14ac:dyDescent="0.2">
      <c r="A63" s="1335" t="s">
        <v>786</v>
      </c>
      <c r="B63" s="1336" t="s">
        <v>1617</v>
      </c>
      <c r="C63" s="1169" t="s">
        <v>2148</v>
      </c>
      <c r="D63" s="1331"/>
      <c r="E63" s="1331"/>
      <c r="F63" s="1331"/>
      <c r="G63" s="1331"/>
      <c r="H63" s="1332"/>
      <c r="I63" s="1332"/>
      <c r="J63" s="1332"/>
      <c r="K63" s="1332"/>
      <c r="L63" s="1332"/>
      <c r="M63" s="1507"/>
      <c r="N63" s="1502"/>
      <c r="O63" s="1332"/>
      <c r="P63" s="1331"/>
      <c r="Q63" s="1331"/>
      <c r="R63" s="1331"/>
      <c r="S63" s="1331"/>
      <c r="T63" s="1331"/>
      <c r="U63" s="1331"/>
      <c r="V63" s="1331"/>
      <c r="W63" s="1334"/>
      <c r="X63" s="1509"/>
      <c r="Y63" s="1331"/>
      <c r="Z63" s="1331"/>
      <c r="AA63" s="1331"/>
      <c r="AB63" s="1331"/>
      <c r="AC63" s="1331"/>
      <c r="AD63" s="1331"/>
      <c r="AE63" s="1331"/>
      <c r="AF63" s="1331"/>
      <c r="AG63" s="1331"/>
      <c r="AH63" s="1334"/>
      <c r="AI63" s="1509"/>
      <c r="AJ63" s="1331"/>
      <c r="AK63" s="1331"/>
      <c r="AL63" s="1331"/>
      <c r="AM63" s="1331"/>
      <c r="AN63" s="1331"/>
      <c r="AO63" s="1331"/>
      <c r="AP63" s="1331"/>
      <c r="AQ63" s="1331"/>
      <c r="AR63" s="1331">
        <v>-1270000</v>
      </c>
      <c r="AS63" s="1331"/>
      <c r="AT63" s="1331"/>
      <c r="AU63" s="1334"/>
    </row>
    <row r="64" spans="1:47" ht="43.5" customHeight="1" x14ac:dyDescent="0.2">
      <c r="A64" s="1335" t="s">
        <v>788</v>
      </c>
      <c r="B64" s="1336" t="s">
        <v>1619</v>
      </c>
      <c r="C64" s="1169" t="s">
        <v>2205</v>
      </c>
      <c r="D64" s="1331"/>
      <c r="E64" s="1331"/>
      <c r="F64" s="1331"/>
      <c r="G64" s="1331"/>
      <c r="H64" s="1332"/>
      <c r="I64" s="1332"/>
      <c r="J64" s="1332"/>
      <c r="K64" s="1332"/>
      <c r="L64" s="1332"/>
      <c r="M64" s="1507"/>
      <c r="N64" s="1502"/>
      <c r="O64" s="1332"/>
      <c r="P64" s="1331"/>
      <c r="Q64" s="1331"/>
      <c r="R64" s="1331"/>
      <c r="S64" s="1331"/>
      <c r="T64" s="1331"/>
      <c r="U64" s="1331"/>
      <c r="V64" s="1331"/>
      <c r="W64" s="1334">
        <v>2453191</v>
      </c>
      <c r="X64" s="1509"/>
      <c r="Y64" s="1331"/>
      <c r="Z64" s="1331"/>
      <c r="AA64" s="1331"/>
      <c r="AB64" s="1331"/>
      <c r="AC64" s="1331"/>
      <c r="AD64" s="1331"/>
      <c r="AE64" s="1331"/>
      <c r="AF64" s="1331"/>
      <c r="AG64" s="1331"/>
      <c r="AH64" s="1334"/>
      <c r="AI64" s="1509"/>
      <c r="AJ64" s="1331"/>
      <c r="AK64" s="1331"/>
      <c r="AL64" s="1331"/>
      <c r="AM64" s="1331"/>
      <c r="AN64" s="1331"/>
      <c r="AO64" s="1331"/>
      <c r="AP64" s="1331"/>
      <c r="AQ64" s="1331"/>
      <c r="AR64" s="1331"/>
      <c r="AS64" s="1331"/>
      <c r="AT64" s="1331"/>
      <c r="AU64" s="1334"/>
    </row>
    <row r="65" spans="1:47" ht="69" customHeight="1" x14ac:dyDescent="0.2">
      <c r="A65" s="1335" t="s">
        <v>792</v>
      </c>
      <c r="B65" s="1410" t="s">
        <v>2307</v>
      </c>
      <c r="C65" s="1169" t="s">
        <v>2348</v>
      </c>
      <c r="D65" s="1331"/>
      <c r="E65" s="1331"/>
      <c r="F65" s="1331"/>
      <c r="G65" s="1331"/>
      <c r="H65" s="1332"/>
      <c r="I65" s="1332"/>
      <c r="J65" s="1332"/>
      <c r="K65" s="1332"/>
      <c r="L65" s="1332"/>
      <c r="M65" s="1507"/>
      <c r="N65" s="1502"/>
      <c r="O65" s="1332"/>
      <c r="P65" s="1331">
        <v>-21590000</v>
      </c>
      <c r="Q65" s="1331"/>
      <c r="R65" s="1331"/>
      <c r="S65" s="1331"/>
      <c r="T65" s="1331"/>
      <c r="U65" s="1331"/>
      <c r="V65" s="1331"/>
      <c r="W65" s="1334"/>
      <c r="X65" s="1509"/>
      <c r="Y65" s="1331"/>
      <c r="Z65" s="1331"/>
      <c r="AA65" s="1331"/>
      <c r="AB65" s="1331"/>
      <c r="AC65" s="1331"/>
      <c r="AD65" s="1331"/>
      <c r="AE65" s="1331"/>
      <c r="AF65" s="1331"/>
      <c r="AG65" s="1331"/>
      <c r="AH65" s="1334"/>
      <c r="AI65" s="1509"/>
      <c r="AJ65" s="1331"/>
      <c r="AK65" s="1331"/>
      <c r="AL65" s="1331"/>
      <c r="AM65" s="1331"/>
      <c r="AN65" s="1331"/>
      <c r="AO65" s="1331"/>
      <c r="AP65" s="1331"/>
      <c r="AQ65" s="1331"/>
      <c r="AR65" s="1331"/>
      <c r="AS65" s="1331"/>
      <c r="AT65" s="1331"/>
      <c r="AU65" s="1334"/>
    </row>
    <row r="66" spans="1:47" ht="54.75" customHeight="1" x14ac:dyDescent="0.2">
      <c r="A66" s="1335" t="s">
        <v>793</v>
      </c>
      <c r="B66" s="1336" t="s">
        <v>1624</v>
      </c>
      <c r="C66" s="1169" t="s">
        <v>2237</v>
      </c>
      <c r="D66" s="1331"/>
      <c r="E66" s="1331"/>
      <c r="F66" s="1331"/>
      <c r="G66" s="1331"/>
      <c r="H66" s="1332"/>
      <c r="I66" s="1332"/>
      <c r="J66" s="1332"/>
      <c r="K66" s="1332"/>
      <c r="L66" s="1332"/>
      <c r="M66" s="1507"/>
      <c r="N66" s="1502"/>
      <c r="O66" s="1332"/>
      <c r="P66" s="1331">
        <v>-1981200</v>
      </c>
      <c r="Q66" s="1331"/>
      <c r="R66" s="1331"/>
      <c r="S66" s="1331"/>
      <c r="T66" s="1331"/>
      <c r="U66" s="1331"/>
      <c r="V66" s="1331"/>
      <c r="W66" s="1334"/>
      <c r="X66" s="1509"/>
      <c r="Y66" s="1331"/>
      <c r="Z66" s="1331"/>
      <c r="AA66" s="1331"/>
      <c r="AB66" s="1331"/>
      <c r="AC66" s="1331"/>
      <c r="AD66" s="1331"/>
      <c r="AE66" s="1331"/>
      <c r="AF66" s="1331"/>
      <c r="AG66" s="1331"/>
      <c r="AH66" s="1334"/>
      <c r="AI66" s="1509"/>
      <c r="AJ66" s="1331"/>
      <c r="AK66" s="1331"/>
      <c r="AL66" s="1331"/>
      <c r="AM66" s="1331"/>
      <c r="AN66" s="1331"/>
      <c r="AO66" s="1331"/>
      <c r="AP66" s="1331"/>
      <c r="AQ66" s="1331"/>
      <c r="AR66" s="1331"/>
      <c r="AS66" s="1331"/>
      <c r="AT66" s="1331"/>
      <c r="AU66" s="1334"/>
    </row>
    <row r="67" spans="1:47" ht="42.75" customHeight="1" x14ac:dyDescent="0.2">
      <c r="A67" s="1494" t="s">
        <v>801</v>
      </c>
      <c r="B67" s="1493" t="s">
        <v>1625</v>
      </c>
      <c r="C67" s="1169" t="s">
        <v>2239</v>
      </c>
      <c r="D67" s="1331"/>
      <c r="E67" s="1331"/>
      <c r="F67" s="1331"/>
      <c r="G67" s="1331"/>
      <c r="H67" s="1332"/>
      <c r="I67" s="1332"/>
      <c r="J67" s="1332"/>
      <c r="K67" s="1332"/>
      <c r="L67" s="1332"/>
      <c r="M67" s="1507"/>
      <c r="N67" s="1502"/>
      <c r="O67" s="1332"/>
      <c r="P67" s="1331">
        <v>-1739900</v>
      </c>
      <c r="Q67" s="1331"/>
      <c r="R67" s="1331"/>
      <c r="S67" s="1331"/>
      <c r="T67" s="1331"/>
      <c r="U67" s="1331"/>
      <c r="V67" s="1331"/>
      <c r="W67" s="1334"/>
      <c r="X67" s="1509"/>
      <c r="Y67" s="1331"/>
      <c r="Z67" s="1331"/>
      <c r="AA67" s="1331"/>
      <c r="AB67" s="1331"/>
      <c r="AC67" s="1331"/>
      <c r="AD67" s="1331"/>
      <c r="AE67" s="1331"/>
      <c r="AF67" s="1331"/>
      <c r="AG67" s="1331"/>
      <c r="AH67" s="1334"/>
      <c r="AI67" s="1509"/>
      <c r="AJ67" s="1331"/>
      <c r="AK67" s="1331"/>
      <c r="AL67" s="1331"/>
      <c r="AM67" s="1331"/>
      <c r="AN67" s="1331"/>
      <c r="AO67" s="1331"/>
      <c r="AP67" s="1331"/>
      <c r="AQ67" s="1331"/>
      <c r="AR67" s="1331"/>
      <c r="AS67" s="1331"/>
      <c r="AT67" s="1331"/>
      <c r="AU67" s="1334"/>
    </row>
    <row r="68" spans="1:47" ht="46.5" customHeight="1" x14ac:dyDescent="0.2">
      <c r="A68" s="1491" t="s">
        <v>800</v>
      </c>
      <c r="B68" s="1490" t="s">
        <v>1626</v>
      </c>
      <c r="C68" s="1169" t="s">
        <v>2355</v>
      </c>
      <c r="D68" s="1331"/>
      <c r="E68" s="1331"/>
      <c r="F68" s="1331"/>
      <c r="G68" s="1331">
        <v>-6062505</v>
      </c>
      <c r="H68" s="1332"/>
      <c r="I68" s="1332"/>
      <c r="J68" s="1332"/>
      <c r="K68" s="1332"/>
      <c r="L68" s="1332"/>
      <c r="M68" s="1507"/>
      <c r="N68" s="1502"/>
      <c r="O68" s="1332"/>
      <c r="P68" s="1331"/>
      <c r="Q68" s="1331"/>
      <c r="R68" s="1331"/>
      <c r="S68" s="1331"/>
      <c r="T68" s="1331"/>
      <c r="U68" s="1331"/>
      <c r="V68" s="1331"/>
      <c r="W68" s="1334"/>
      <c r="X68" s="1509"/>
      <c r="Y68" s="1331"/>
      <c r="Z68" s="1331"/>
      <c r="AA68" s="1331"/>
      <c r="AB68" s="1331"/>
      <c r="AC68" s="1331"/>
      <c r="AD68" s="1331"/>
      <c r="AE68" s="1331"/>
      <c r="AF68" s="1331"/>
      <c r="AG68" s="1331"/>
      <c r="AH68" s="1334"/>
      <c r="AI68" s="1509"/>
      <c r="AJ68" s="1331"/>
      <c r="AK68" s="1331"/>
      <c r="AL68" s="1331"/>
      <c r="AM68" s="1331"/>
      <c r="AN68" s="1331"/>
      <c r="AO68" s="1331"/>
      <c r="AP68" s="1331"/>
      <c r="AQ68" s="1331"/>
      <c r="AR68" s="1331"/>
      <c r="AS68" s="1331"/>
      <c r="AT68" s="1331"/>
      <c r="AU68" s="1334"/>
    </row>
    <row r="69" spans="1:47" ht="53.25" customHeight="1" x14ac:dyDescent="0.2">
      <c r="A69" s="1494" t="s">
        <v>799</v>
      </c>
      <c r="B69" s="1493" t="s">
        <v>1628</v>
      </c>
      <c r="C69" s="1169" t="s">
        <v>2244</v>
      </c>
      <c r="D69" s="1331">
        <v>-508000</v>
      </c>
      <c r="E69" s="1331"/>
      <c r="F69" s="1331"/>
      <c r="G69" s="1331"/>
      <c r="H69" s="1332"/>
      <c r="I69" s="1332"/>
      <c r="J69" s="1332"/>
      <c r="K69" s="1332"/>
      <c r="L69" s="1332"/>
      <c r="M69" s="1507"/>
      <c r="N69" s="1502"/>
      <c r="O69" s="1332"/>
      <c r="P69" s="1331"/>
      <c r="Q69" s="1331"/>
      <c r="R69" s="1331"/>
      <c r="S69" s="1331"/>
      <c r="T69" s="1331"/>
      <c r="U69" s="1331"/>
      <c r="V69" s="1331"/>
      <c r="W69" s="1334"/>
      <c r="X69" s="1509"/>
      <c r="Y69" s="1331"/>
      <c r="Z69" s="1331"/>
      <c r="AA69" s="1331"/>
      <c r="AB69" s="1331"/>
      <c r="AC69" s="1331"/>
      <c r="AD69" s="1331"/>
      <c r="AE69" s="1331"/>
      <c r="AF69" s="1331"/>
      <c r="AG69" s="1331"/>
      <c r="AH69" s="1334"/>
      <c r="AI69" s="1509"/>
      <c r="AJ69" s="1331"/>
      <c r="AK69" s="1331"/>
      <c r="AL69" s="1331"/>
      <c r="AM69" s="1331"/>
      <c r="AN69" s="1331"/>
      <c r="AO69" s="1331"/>
      <c r="AP69" s="1331"/>
      <c r="AQ69" s="1331"/>
      <c r="AR69" s="1331"/>
      <c r="AS69" s="1331"/>
      <c r="AT69" s="1331"/>
      <c r="AU69" s="1334"/>
    </row>
    <row r="70" spans="1:47" ht="43.5" customHeight="1" x14ac:dyDescent="0.2">
      <c r="A70" s="1494" t="s">
        <v>804</v>
      </c>
      <c r="B70" s="1493" t="s">
        <v>1629</v>
      </c>
      <c r="C70" s="1169" t="s">
        <v>2245</v>
      </c>
      <c r="D70" s="1331"/>
      <c r="E70" s="1331"/>
      <c r="F70" s="1331"/>
      <c r="G70" s="1331"/>
      <c r="H70" s="1332"/>
      <c r="I70" s="1332"/>
      <c r="J70" s="1332"/>
      <c r="K70" s="1332"/>
      <c r="L70" s="1332"/>
      <c r="M70" s="1507"/>
      <c r="N70" s="1502"/>
      <c r="O70" s="1332"/>
      <c r="P70" s="1331">
        <v>-1851264</v>
      </c>
      <c r="Q70" s="1331"/>
      <c r="R70" s="1331"/>
      <c r="S70" s="1331"/>
      <c r="T70" s="1331"/>
      <c r="U70" s="1331"/>
      <c r="V70" s="1331"/>
      <c r="W70" s="1334"/>
      <c r="X70" s="1509"/>
      <c r="Y70" s="1331"/>
      <c r="Z70" s="1331"/>
      <c r="AA70" s="1331"/>
      <c r="AB70" s="1331"/>
      <c r="AC70" s="1331"/>
      <c r="AD70" s="1331"/>
      <c r="AE70" s="1331"/>
      <c r="AF70" s="1331"/>
      <c r="AG70" s="1331"/>
      <c r="AH70" s="1334"/>
      <c r="AI70" s="1509"/>
      <c r="AJ70" s="1331"/>
      <c r="AK70" s="1331"/>
      <c r="AL70" s="1331"/>
      <c r="AM70" s="1331"/>
      <c r="AN70" s="1331"/>
      <c r="AO70" s="1331"/>
      <c r="AP70" s="1331"/>
      <c r="AQ70" s="1331"/>
      <c r="AR70" s="1331"/>
      <c r="AS70" s="1331"/>
      <c r="AT70" s="1331"/>
      <c r="AU70" s="1334"/>
    </row>
    <row r="71" spans="1:47" ht="56.25" customHeight="1" x14ac:dyDescent="0.2">
      <c r="A71" s="1494" t="s">
        <v>798</v>
      </c>
      <c r="B71" s="1493" t="s">
        <v>1630</v>
      </c>
      <c r="C71" s="1169" t="s">
        <v>2356</v>
      </c>
      <c r="D71" s="1331"/>
      <c r="E71" s="1331"/>
      <c r="F71" s="1331"/>
      <c r="G71" s="1331">
        <v>-1524000</v>
      </c>
      <c r="H71" s="1332"/>
      <c r="I71" s="1332"/>
      <c r="J71" s="1332"/>
      <c r="K71" s="1332"/>
      <c r="L71" s="1332"/>
      <c r="M71" s="1507"/>
      <c r="N71" s="1502"/>
      <c r="O71" s="1332"/>
      <c r="P71" s="1331"/>
      <c r="Q71" s="1331"/>
      <c r="R71" s="1331"/>
      <c r="S71" s="1331"/>
      <c r="T71" s="1331"/>
      <c r="U71" s="1331"/>
      <c r="V71" s="1331"/>
      <c r="W71" s="1334"/>
      <c r="X71" s="1509"/>
      <c r="Y71" s="1331"/>
      <c r="Z71" s="1331"/>
      <c r="AA71" s="1331"/>
      <c r="AB71" s="1331"/>
      <c r="AC71" s="1331"/>
      <c r="AD71" s="1331"/>
      <c r="AE71" s="1331"/>
      <c r="AF71" s="1331"/>
      <c r="AG71" s="1331"/>
      <c r="AH71" s="1334"/>
      <c r="AI71" s="1509"/>
      <c r="AJ71" s="1331"/>
      <c r="AK71" s="1331"/>
      <c r="AL71" s="1331"/>
      <c r="AM71" s="1331"/>
      <c r="AN71" s="1331"/>
      <c r="AO71" s="1331"/>
      <c r="AP71" s="1331"/>
      <c r="AQ71" s="1331"/>
      <c r="AR71" s="1331"/>
      <c r="AS71" s="1331"/>
      <c r="AT71" s="1331"/>
      <c r="AU71" s="1334"/>
    </row>
    <row r="72" spans="1:47" ht="54" customHeight="1" x14ac:dyDescent="0.2">
      <c r="A72" s="1494" t="s">
        <v>797</v>
      </c>
      <c r="B72" s="1493" t="s">
        <v>1631</v>
      </c>
      <c r="C72" s="1169" t="s">
        <v>2247</v>
      </c>
      <c r="D72" s="1331"/>
      <c r="E72" s="1331"/>
      <c r="F72" s="1331"/>
      <c r="G72" s="1331"/>
      <c r="H72" s="1332"/>
      <c r="I72" s="1332"/>
      <c r="J72" s="1332"/>
      <c r="K72" s="1332"/>
      <c r="L72" s="1332"/>
      <c r="M72" s="1507"/>
      <c r="N72" s="1502"/>
      <c r="O72" s="1332"/>
      <c r="P72" s="1331"/>
      <c r="Q72" s="1331"/>
      <c r="R72" s="1331"/>
      <c r="S72" s="1331"/>
      <c r="T72" s="1331"/>
      <c r="U72" s="1331"/>
      <c r="V72" s="1331"/>
      <c r="W72" s="1334">
        <v>-37007500</v>
      </c>
      <c r="X72" s="1509"/>
      <c r="Y72" s="1331"/>
      <c r="Z72" s="1331"/>
      <c r="AA72" s="1331"/>
      <c r="AB72" s="1331"/>
      <c r="AC72" s="1331"/>
      <c r="AD72" s="1331"/>
      <c r="AE72" s="1331"/>
      <c r="AF72" s="1331"/>
      <c r="AG72" s="1331"/>
      <c r="AH72" s="1334"/>
      <c r="AI72" s="1509"/>
      <c r="AJ72" s="1331"/>
      <c r="AK72" s="1331"/>
      <c r="AL72" s="1331"/>
      <c r="AM72" s="1331"/>
      <c r="AN72" s="1331"/>
      <c r="AO72" s="1331"/>
      <c r="AP72" s="1331"/>
      <c r="AQ72" s="1331"/>
      <c r="AR72" s="1331"/>
      <c r="AS72" s="1331"/>
      <c r="AT72" s="1331"/>
      <c r="AU72" s="1334"/>
    </row>
    <row r="73" spans="1:47" ht="69" customHeight="1" x14ac:dyDescent="0.2">
      <c r="A73" s="1494" t="s">
        <v>806</v>
      </c>
      <c r="B73" s="1493" t="s">
        <v>1632</v>
      </c>
      <c r="C73" s="1169" t="s">
        <v>2357</v>
      </c>
      <c r="D73" s="1331"/>
      <c r="E73" s="1331"/>
      <c r="F73" s="1331"/>
      <c r="G73" s="1331"/>
      <c r="H73" s="1332"/>
      <c r="I73" s="1332"/>
      <c r="J73" s="1332"/>
      <c r="K73" s="1332"/>
      <c r="L73" s="1332"/>
      <c r="M73" s="1507"/>
      <c r="N73" s="1502"/>
      <c r="O73" s="1332"/>
      <c r="P73" s="1331"/>
      <c r="Q73" s="1331"/>
      <c r="R73" s="1331"/>
      <c r="S73" s="1331"/>
      <c r="T73" s="1331"/>
      <c r="U73" s="1331"/>
      <c r="V73" s="1331"/>
      <c r="W73" s="1334"/>
      <c r="X73" s="1509"/>
      <c r="Y73" s="1331">
        <v>-35000000</v>
      </c>
      <c r="Z73" s="1331"/>
      <c r="AA73" s="1331"/>
      <c r="AB73" s="1331"/>
      <c r="AC73" s="1331"/>
      <c r="AD73" s="1331"/>
      <c r="AE73" s="1331"/>
      <c r="AF73" s="1331"/>
      <c r="AG73" s="1331"/>
      <c r="AH73" s="1334"/>
      <c r="AI73" s="1509"/>
      <c r="AJ73" s="1331"/>
      <c r="AK73" s="1331"/>
      <c r="AL73" s="1331"/>
      <c r="AM73" s="1331"/>
      <c r="AN73" s="1331"/>
      <c r="AO73" s="1331"/>
      <c r="AP73" s="1331"/>
      <c r="AQ73" s="1331"/>
      <c r="AR73" s="1331"/>
      <c r="AS73" s="1331"/>
      <c r="AT73" s="1331"/>
      <c r="AU73" s="1334"/>
    </row>
    <row r="74" spans="1:47" ht="43.5" customHeight="1" x14ac:dyDescent="0.2">
      <c r="A74" s="1494" t="s">
        <v>796</v>
      </c>
      <c r="B74" s="1493" t="s">
        <v>1633</v>
      </c>
      <c r="C74" s="1169" t="s">
        <v>2248</v>
      </c>
      <c r="D74" s="1331"/>
      <c r="E74" s="1331"/>
      <c r="F74" s="1331"/>
      <c r="G74" s="1331"/>
      <c r="H74" s="1332"/>
      <c r="I74" s="1332"/>
      <c r="J74" s="1332"/>
      <c r="K74" s="1332"/>
      <c r="L74" s="1332"/>
      <c r="M74" s="1507"/>
      <c r="N74" s="1502"/>
      <c r="O74" s="1332"/>
      <c r="P74" s="1331"/>
      <c r="Q74" s="1331"/>
      <c r="R74" s="1331"/>
      <c r="S74" s="1331"/>
      <c r="T74" s="1331"/>
      <c r="U74" s="1331"/>
      <c r="V74" s="1331"/>
      <c r="W74" s="1334"/>
      <c r="X74" s="1509"/>
      <c r="Y74" s="1331"/>
      <c r="Z74" s="1331">
        <v>-678000</v>
      </c>
      <c r="AA74" s="1331"/>
      <c r="AB74" s="1331"/>
      <c r="AC74" s="1331"/>
      <c r="AD74" s="1331"/>
      <c r="AE74" s="1331"/>
      <c r="AF74" s="1331"/>
      <c r="AG74" s="1331"/>
      <c r="AH74" s="1334"/>
      <c r="AI74" s="1509"/>
      <c r="AJ74" s="1331"/>
      <c r="AK74" s="1331"/>
      <c r="AL74" s="1331"/>
      <c r="AM74" s="1331"/>
      <c r="AN74" s="1331"/>
      <c r="AO74" s="1331"/>
      <c r="AP74" s="1331"/>
      <c r="AQ74" s="1331"/>
      <c r="AR74" s="1331"/>
      <c r="AS74" s="1331"/>
      <c r="AT74" s="1331"/>
      <c r="AU74" s="1334"/>
    </row>
    <row r="75" spans="1:47" ht="45.75" customHeight="1" x14ac:dyDescent="0.2">
      <c r="A75" s="1494" t="s">
        <v>795</v>
      </c>
      <c r="B75" s="1493" t="s">
        <v>1634</v>
      </c>
      <c r="C75" s="1169" t="s">
        <v>2249</v>
      </c>
      <c r="D75" s="1331"/>
      <c r="E75" s="1331"/>
      <c r="F75" s="1331"/>
      <c r="G75" s="1331"/>
      <c r="H75" s="1332"/>
      <c r="I75" s="1332"/>
      <c r="J75" s="1332"/>
      <c r="K75" s="1332"/>
      <c r="L75" s="1332"/>
      <c r="M75" s="1507"/>
      <c r="N75" s="1502"/>
      <c r="O75" s="1332"/>
      <c r="P75" s="1331"/>
      <c r="Q75" s="1331"/>
      <c r="R75" s="1331"/>
      <c r="S75" s="1331"/>
      <c r="T75" s="1331"/>
      <c r="U75" s="1331"/>
      <c r="V75" s="1331"/>
      <c r="W75" s="1334"/>
      <c r="X75" s="1509"/>
      <c r="Y75" s="1331"/>
      <c r="Z75" s="1331">
        <v>-5593500</v>
      </c>
      <c r="AA75" s="1331"/>
      <c r="AB75" s="1331"/>
      <c r="AC75" s="1331"/>
      <c r="AD75" s="1331"/>
      <c r="AE75" s="1331"/>
      <c r="AF75" s="1331"/>
      <c r="AG75" s="1331"/>
      <c r="AH75" s="1334"/>
      <c r="AI75" s="1509"/>
      <c r="AJ75" s="1331"/>
      <c r="AK75" s="1331"/>
      <c r="AL75" s="1331"/>
      <c r="AM75" s="1331"/>
      <c r="AN75" s="1331"/>
      <c r="AO75" s="1331"/>
      <c r="AP75" s="1331"/>
      <c r="AQ75" s="1331"/>
      <c r="AR75" s="1331"/>
      <c r="AS75" s="1331"/>
      <c r="AT75" s="1331"/>
      <c r="AU75" s="1334"/>
    </row>
    <row r="76" spans="1:47" ht="43.5" customHeight="1" x14ac:dyDescent="0.2">
      <c r="A76" s="1494" t="s">
        <v>794</v>
      </c>
      <c r="B76" s="1493" t="s">
        <v>1635</v>
      </c>
      <c r="C76" s="1169" t="s">
        <v>2251</v>
      </c>
      <c r="D76" s="1331"/>
      <c r="E76" s="1331"/>
      <c r="F76" s="1331"/>
      <c r="G76" s="1331"/>
      <c r="H76" s="1332"/>
      <c r="I76" s="1332"/>
      <c r="J76" s="1332"/>
      <c r="K76" s="1332"/>
      <c r="L76" s="1332"/>
      <c r="M76" s="1507"/>
      <c r="N76" s="1502"/>
      <c r="O76" s="1332"/>
      <c r="P76" s="1331"/>
      <c r="Q76" s="1331"/>
      <c r="R76" s="1331"/>
      <c r="S76" s="1331"/>
      <c r="T76" s="1331"/>
      <c r="U76" s="1331"/>
      <c r="V76" s="1331"/>
      <c r="W76" s="1334"/>
      <c r="X76" s="1509"/>
      <c r="Y76" s="1331"/>
      <c r="Z76" s="1331">
        <v>-1356000</v>
      </c>
      <c r="AA76" s="1331"/>
      <c r="AB76" s="1331"/>
      <c r="AC76" s="1331"/>
      <c r="AD76" s="1331"/>
      <c r="AE76" s="1331"/>
      <c r="AF76" s="1331"/>
      <c r="AG76" s="1331"/>
      <c r="AH76" s="1334"/>
      <c r="AI76" s="1509"/>
      <c r="AJ76" s="1331"/>
      <c r="AK76" s="1331"/>
      <c r="AL76" s="1331"/>
      <c r="AM76" s="1331"/>
      <c r="AN76" s="1331"/>
      <c r="AO76" s="1331"/>
      <c r="AP76" s="1331"/>
      <c r="AQ76" s="1331"/>
      <c r="AR76" s="1331"/>
      <c r="AS76" s="1331"/>
      <c r="AT76" s="1331"/>
      <c r="AU76" s="1334"/>
    </row>
    <row r="77" spans="1:47" ht="48" customHeight="1" x14ac:dyDescent="0.2">
      <c r="A77" s="1491" t="s">
        <v>807</v>
      </c>
      <c r="B77" s="1490" t="s">
        <v>1636</v>
      </c>
      <c r="C77" s="1169" t="s">
        <v>2253</v>
      </c>
      <c r="D77" s="1331"/>
      <c r="E77" s="1331"/>
      <c r="F77" s="1331"/>
      <c r="G77" s="1331"/>
      <c r="H77" s="1332"/>
      <c r="I77" s="1332"/>
      <c r="J77" s="1332"/>
      <c r="K77" s="1332"/>
      <c r="L77" s="1332"/>
      <c r="M77" s="1507"/>
      <c r="N77" s="1502"/>
      <c r="O77" s="1332"/>
      <c r="P77" s="1331"/>
      <c r="Q77" s="1331"/>
      <c r="R77" s="1331"/>
      <c r="S77" s="1331"/>
      <c r="T77" s="1331"/>
      <c r="U77" s="1331"/>
      <c r="V77" s="1331"/>
      <c r="W77" s="1334"/>
      <c r="X77" s="1509"/>
      <c r="Y77" s="1331"/>
      <c r="Z77" s="1331">
        <v>-1356000</v>
      </c>
      <c r="AA77" s="1331"/>
      <c r="AB77" s="1331"/>
      <c r="AC77" s="1331"/>
      <c r="AD77" s="1331"/>
      <c r="AE77" s="1331"/>
      <c r="AF77" s="1331"/>
      <c r="AG77" s="1331"/>
      <c r="AH77" s="1334"/>
      <c r="AI77" s="1509"/>
      <c r="AJ77" s="1331"/>
      <c r="AK77" s="1331"/>
      <c r="AL77" s="1331"/>
      <c r="AM77" s="1331"/>
      <c r="AN77" s="1331"/>
      <c r="AO77" s="1331"/>
      <c r="AP77" s="1331"/>
      <c r="AQ77" s="1331"/>
      <c r="AR77" s="1331"/>
      <c r="AS77" s="1331"/>
      <c r="AT77" s="1331"/>
      <c r="AU77" s="1334"/>
    </row>
    <row r="78" spans="1:47" ht="43.5" customHeight="1" x14ac:dyDescent="0.2">
      <c r="A78" s="1494" t="s">
        <v>808</v>
      </c>
      <c r="B78" s="1493" t="s">
        <v>1637</v>
      </c>
      <c r="C78" s="1169" t="s">
        <v>2254</v>
      </c>
      <c r="D78" s="1331"/>
      <c r="E78" s="1331"/>
      <c r="F78" s="1331"/>
      <c r="G78" s="1331"/>
      <c r="H78" s="1332"/>
      <c r="I78" s="1332"/>
      <c r="J78" s="1332"/>
      <c r="K78" s="1332"/>
      <c r="L78" s="1332"/>
      <c r="M78" s="1507"/>
      <c r="N78" s="1502"/>
      <c r="O78" s="1332"/>
      <c r="P78" s="1331"/>
      <c r="Q78" s="1331"/>
      <c r="R78" s="1331"/>
      <c r="S78" s="1331"/>
      <c r="T78" s="1331"/>
      <c r="U78" s="1331"/>
      <c r="V78" s="1331"/>
      <c r="W78" s="1334"/>
      <c r="X78" s="1509"/>
      <c r="Y78" s="1331"/>
      <c r="Z78" s="1331">
        <v>-12119250</v>
      </c>
      <c r="AA78" s="1331"/>
      <c r="AB78" s="1331"/>
      <c r="AC78" s="1331"/>
      <c r="AD78" s="1331"/>
      <c r="AE78" s="1331"/>
      <c r="AF78" s="1331"/>
      <c r="AG78" s="1331"/>
      <c r="AH78" s="1334"/>
      <c r="AI78" s="1509"/>
      <c r="AJ78" s="1331"/>
      <c r="AK78" s="1331"/>
      <c r="AL78" s="1331"/>
      <c r="AM78" s="1331"/>
      <c r="AN78" s="1331"/>
      <c r="AO78" s="1331"/>
      <c r="AP78" s="1331"/>
      <c r="AQ78" s="1331"/>
      <c r="AR78" s="1331"/>
      <c r="AS78" s="1331"/>
      <c r="AT78" s="1331"/>
      <c r="AU78" s="1334"/>
    </row>
    <row r="79" spans="1:47" ht="43.5" customHeight="1" x14ac:dyDescent="0.2">
      <c r="A79" s="1491" t="s">
        <v>809</v>
      </c>
      <c r="B79" s="1490" t="s">
        <v>1638</v>
      </c>
      <c r="C79" s="1169" t="s">
        <v>2257</v>
      </c>
      <c r="D79" s="1331"/>
      <c r="E79" s="1331"/>
      <c r="F79" s="1331"/>
      <c r="G79" s="1331"/>
      <c r="H79" s="1332"/>
      <c r="I79" s="1332"/>
      <c r="J79" s="1332"/>
      <c r="K79" s="1332"/>
      <c r="L79" s="1332"/>
      <c r="M79" s="1507"/>
      <c r="N79" s="1502"/>
      <c r="O79" s="1332"/>
      <c r="P79" s="1331"/>
      <c r="Q79" s="1331"/>
      <c r="R79" s="1331"/>
      <c r="S79" s="1331"/>
      <c r="T79" s="1331"/>
      <c r="U79" s="1331"/>
      <c r="V79" s="1331"/>
      <c r="W79" s="1334"/>
      <c r="X79" s="1509"/>
      <c r="Y79" s="1331"/>
      <c r="Z79" s="1331">
        <v>-8136000</v>
      </c>
      <c r="AA79" s="1331"/>
      <c r="AB79" s="1331"/>
      <c r="AC79" s="1331"/>
      <c r="AD79" s="1331"/>
      <c r="AE79" s="1331"/>
      <c r="AF79" s="1331"/>
      <c r="AG79" s="1331"/>
      <c r="AH79" s="1334"/>
      <c r="AI79" s="1509"/>
      <c r="AJ79" s="1331"/>
      <c r="AK79" s="1331"/>
      <c r="AL79" s="1331"/>
      <c r="AM79" s="1331"/>
      <c r="AN79" s="1331"/>
      <c r="AO79" s="1331"/>
      <c r="AP79" s="1331"/>
      <c r="AQ79" s="1331"/>
      <c r="AR79" s="1331"/>
      <c r="AS79" s="1331"/>
      <c r="AT79" s="1331"/>
      <c r="AU79" s="1334"/>
    </row>
    <row r="80" spans="1:47" ht="43.5" customHeight="1" x14ac:dyDescent="0.2">
      <c r="A80" s="1494" t="s">
        <v>1295</v>
      </c>
      <c r="B80" s="1493" t="s">
        <v>1639</v>
      </c>
      <c r="C80" s="1169" t="s">
        <v>2259</v>
      </c>
      <c r="D80" s="1331"/>
      <c r="E80" s="1331"/>
      <c r="F80" s="1331"/>
      <c r="G80" s="1331"/>
      <c r="H80" s="1332"/>
      <c r="I80" s="1332"/>
      <c r="J80" s="1332"/>
      <c r="K80" s="1332"/>
      <c r="L80" s="1332"/>
      <c r="M80" s="1507"/>
      <c r="N80" s="1502"/>
      <c r="O80" s="1332"/>
      <c r="P80" s="1331"/>
      <c r="Q80" s="1331"/>
      <c r="R80" s="1331"/>
      <c r="S80" s="1331"/>
      <c r="T80" s="1331"/>
      <c r="U80" s="1331"/>
      <c r="V80" s="1331"/>
      <c r="W80" s="1334"/>
      <c r="X80" s="1509"/>
      <c r="Y80" s="1331"/>
      <c r="Z80" s="1331">
        <v>-8136000</v>
      </c>
      <c r="AA80" s="1331"/>
      <c r="AB80" s="1331"/>
      <c r="AC80" s="1331"/>
      <c r="AD80" s="1331"/>
      <c r="AE80" s="1331"/>
      <c r="AF80" s="1331"/>
      <c r="AG80" s="1331"/>
      <c r="AH80" s="1334"/>
      <c r="AI80" s="1509"/>
      <c r="AJ80" s="1331"/>
      <c r="AK80" s="1331"/>
      <c r="AL80" s="1331"/>
      <c r="AM80" s="1331"/>
      <c r="AN80" s="1331"/>
      <c r="AO80" s="1331"/>
      <c r="AP80" s="1331"/>
      <c r="AQ80" s="1331"/>
      <c r="AR80" s="1331"/>
      <c r="AS80" s="1331"/>
      <c r="AT80" s="1331"/>
      <c r="AU80" s="1334"/>
    </row>
    <row r="81" spans="1:47" ht="56.25" customHeight="1" x14ac:dyDescent="0.2">
      <c r="A81" s="1494" t="s">
        <v>1362</v>
      </c>
      <c r="B81" s="1493" t="s">
        <v>1640</v>
      </c>
      <c r="C81" s="1169" t="s">
        <v>2262</v>
      </c>
      <c r="D81" s="1331"/>
      <c r="E81" s="1331"/>
      <c r="F81" s="1331"/>
      <c r="G81" s="1331"/>
      <c r="H81" s="1332"/>
      <c r="I81" s="1332"/>
      <c r="J81" s="1332"/>
      <c r="K81" s="1332"/>
      <c r="L81" s="1332"/>
      <c r="M81" s="1507"/>
      <c r="N81" s="1502"/>
      <c r="O81" s="1332"/>
      <c r="P81" s="1331"/>
      <c r="Q81" s="1331"/>
      <c r="R81" s="1331"/>
      <c r="S81" s="1331"/>
      <c r="T81" s="1331"/>
      <c r="U81" s="1331"/>
      <c r="V81" s="1331"/>
      <c r="W81" s="1334"/>
      <c r="X81" s="1509"/>
      <c r="Y81" s="1331"/>
      <c r="Z81" s="1331">
        <v>-7034250</v>
      </c>
      <c r="AA81" s="1331"/>
      <c r="AB81" s="1331"/>
      <c r="AC81" s="1331"/>
      <c r="AD81" s="1331"/>
      <c r="AE81" s="1331"/>
      <c r="AF81" s="1331"/>
      <c r="AG81" s="1331"/>
      <c r="AH81" s="1334"/>
      <c r="AI81" s="1509"/>
      <c r="AJ81" s="1331"/>
      <c r="AK81" s="1331"/>
      <c r="AL81" s="1331"/>
      <c r="AM81" s="1331"/>
      <c r="AN81" s="1331"/>
      <c r="AO81" s="1331"/>
      <c r="AP81" s="1331"/>
      <c r="AQ81" s="1331"/>
      <c r="AR81" s="1331"/>
      <c r="AS81" s="1331"/>
      <c r="AT81" s="1331"/>
      <c r="AU81" s="1334"/>
    </row>
    <row r="82" spans="1:47" ht="43.5" customHeight="1" x14ac:dyDescent="0.2">
      <c r="A82" s="1494" t="s">
        <v>1363</v>
      </c>
      <c r="B82" s="1493" t="s">
        <v>1641</v>
      </c>
      <c r="C82" s="1169" t="s">
        <v>2358</v>
      </c>
      <c r="D82" s="1331"/>
      <c r="E82" s="1331"/>
      <c r="F82" s="1331"/>
      <c r="G82" s="1331"/>
      <c r="H82" s="1332"/>
      <c r="I82" s="1332"/>
      <c r="J82" s="1332"/>
      <c r="K82" s="1332"/>
      <c r="L82" s="1332"/>
      <c r="M82" s="1507"/>
      <c r="N82" s="1502"/>
      <c r="O82" s="1332"/>
      <c r="P82" s="1331"/>
      <c r="Q82" s="1331"/>
      <c r="R82" s="1331"/>
      <c r="S82" s="1331"/>
      <c r="T82" s="1331"/>
      <c r="U82" s="1331"/>
      <c r="V82" s="1331"/>
      <c r="W82" s="1334"/>
      <c r="X82" s="1509"/>
      <c r="Y82" s="1331"/>
      <c r="Z82" s="1331">
        <v>-2034000</v>
      </c>
      <c r="AA82" s="1331"/>
      <c r="AB82" s="1331"/>
      <c r="AC82" s="1331"/>
      <c r="AD82" s="1331"/>
      <c r="AE82" s="1331"/>
      <c r="AF82" s="1331"/>
      <c r="AG82" s="1331"/>
      <c r="AH82" s="1334"/>
      <c r="AI82" s="1509"/>
      <c r="AJ82" s="1331"/>
      <c r="AK82" s="1331"/>
      <c r="AL82" s="1331"/>
      <c r="AM82" s="1331"/>
      <c r="AN82" s="1331"/>
      <c r="AO82" s="1331"/>
      <c r="AP82" s="1331"/>
      <c r="AQ82" s="1331"/>
      <c r="AR82" s="1331"/>
      <c r="AS82" s="1331"/>
      <c r="AT82" s="1331"/>
      <c r="AU82" s="1334"/>
    </row>
    <row r="83" spans="1:47" ht="70.5" customHeight="1" x14ac:dyDescent="0.2">
      <c r="A83" s="1494" t="s">
        <v>1367</v>
      </c>
      <c r="B83" s="1493" t="s">
        <v>1645</v>
      </c>
      <c r="C83" s="1169" t="s">
        <v>2276</v>
      </c>
      <c r="D83" s="1331"/>
      <c r="E83" s="1331"/>
      <c r="F83" s="1331"/>
      <c r="G83" s="1331"/>
      <c r="H83" s="1332"/>
      <c r="I83" s="1332"/>
      <c r="J83" s="1332"/>
      <c r="K83" s="1332"/>
      <c r="L83" s="1332"/>
      <c r="M83" s="1507"/>
      <c r="N83" s="1502"/>
      <c r="O83" s="1332"/>
      <c r="P83" s="1331"/>
      <c r="Q83" s="1331"/>
      <c r="R83" s="1331"/>
      <c r="S83" s="1331"/>
      <c r="T83" s="1331"/>
      <c r="U83" s="1331"/>
      <c r="V83" s="1331"/>
      <c r="W83" s="1334"/>
      <c r="X83" s="1509"/>
      <c r="Y83" s="1331"/>
      <c r="Z83" s="1331"/>
      <c r="AA83" s="1331"/>
      <c r="AB83" s="1331"/>
      <c r="AC83" s="1331"/>
      <c r="AD83" s="1331"/>
      <c r="AE83" s="1331"/>
      <c r="AF83" s="1331">
        <v>-150000</v>
      </c>
      <c r="AG83" s="1331"/>
      <c r="AH83" s="1334"/>
      <c r="AI83" s="1509"/>
      <c r="AJ83" s="1331"/>
      <c r="AK83" s="1331"/>
      <c r="AL83" s="1331"/>
      <c r="AM83" s="1331"/>
      <c r="AN83" s="1331"/>
      <c r="AO83" s="1331"/>
      <c r="AP83" s="1331"/>
      <c r="AQ83" s="1331"/>
      <c r="AR83" s="1331"/>
      <c r="AS83" s="1331"/>
      <c r="AT83" s="1331"/>
      <c r="AU83" s="1334"/>
    </row>
    <row r="84" spans="1:47" ht="69.75" customHeight="1" x14ac:dyDescent="0.2">
      <c r="A84" s="1494" t="s">
        <v>1306</v>
      </c>
      <c r="B84" s="1493" t="s">
        <v>1646</v>
      </c>
      <c r="C84" s="1169" t="s">
        <v>2277</v>
      </c>
      <c r="D84" s="1331"/>
      <c r="E84" s="1331"/>
      <c r="F84" s="1331"/>
      <c r="G84" s="1331"/>
      <c r="H84" s="1332"/>
      <c r="I84" s="1332"/>
      <c r="J84" s="1332"/>
      <c r="K84" s="1332"/>
      <c r="L84" s="1332"/>
      <c r="M84" s="1507"/>
      <c r="N84" s="1502"/>
      <c r="O84" s="1332"/>
      <c r="P84" s="1331"/>
      <c r="Q84" s="1331"/>
      <c r="R84" s="1331"/>
      <c r="S84" s="1331"/>
      <c r="T84" s="1331"/>
      <c r="U84" s="1331"/>
      <c r="V84" s="1331"/>
      <c r="W84" s="1334"/>
      <c r="X84" s="1509"/>
      <c r="Y84" s="1331"/>
      <c r="Z84" s="1331"/>
      <c r="AA84" s="1331"/>
      <c r="AB84" s="1331"/>
      <c r="AC84" s="1331"/>
      <c r="AD84" s="1331"/>
      <c r="AE84" s="1331"/>
      <c r="AF84" s="1331"/>
      <c r="AG84" s="1331">
        <v>-150000</v>
      </c>
      <c r="AH84" s="1334"/>
      <c r="AI84" s="1509"/>
      <c r="AJ84" s="1331"/>
      <c r="AK84" s="1331"/>
      <c r="AL84" s="1331"/>
      <c r="AM84" s="1331"/>
      <c r="AN84" s="1331"/>
      <c r="AO84" s="1331"/>
      <c r="AP84" s="1331"/>
      <c r="AQ84" s="1331"/>
      <c r="AR84" s="1331"/>
      <c r="AS84" s="1331"/>
      <c r="AT84" s="1331"/>
      <c r="AU84" s="1334"/>
    </row>
    <row r="85" spans="1:47" ht="71.25" customHeight="1" x14ac:dyDescent="0.2">
      <c r="A85" s="1494" t="s">
        <v>1413</v>
      </c>
      <c r="B85" s="1493" t="s">
        <v>1651</v>
      </c>
      <c r="C85" s="1169" t="s">
        <v>2285</v>
      </c>
      <c r="D85" s="1331"/>
      <c r="E85" s="1331"/>
      <c r="F85" s="1331"/>
      <c r="G85" s="1331"/>
      <c r="H85" s="1332"/>
      <c r="I85" s="1332"/>
      <c r="J85" s="1332"/>
      <c r="K85" s="1332"/>
      <c r="L85" s="1332"/>
      <c r="M85" s="1507"/>
      <c r="N85" s="1502"/>
      <c r="O85" s="1332"/>
      <c r="P85" s="1331"/>
      <c r="Q85" s="1331"/>
      <c r="R85" s="1331"/>
      <c r="S85" s="1331"/>
      <c r="T85" s="1331"/>
      <c r="U85" s="1331"/>
      <c r="V85" s="1331"/>
      <c r="W85" s="1334"/>
      <c r="X85" s="1509"/>
      <c r="Y85" s="1331"/>
      <c r="Z85" s="1331"/>
      <c r="AA85" s="1331"/>
      <c r="AB85" s="1331"/>
      <c r="AC85" s="1331"/>
      <c r="AD85" s="1331"/>
      <c r="AE85" s="1331"/>
      <c r="AF85" s="1331"/>
      <c r="AG85" s="1331"/>
      <c r="AH85" s="1334"/>
      <c r="AI85" s="1509">
        <v>-7500000</v>
      </c>
      <c r="AJ85" s="1331"/>
      <c r="AK85" s="1331"/>
      <c r="AL85" s="1331"/>
      <c r="AM85" s="1331"/>
      <c r="AN85" s="1331"/>
      <c r="AO85" s="1331"/>
      <c r="AP85" s="1331"/>
      <c r="AQ85" s="1331"/>
      <c r="AR85" s="1331"/>
      <c r="AS85" s="1331"/>
      <c r="AT85" s="1331"/>
      <c r="AU85" s="1334"/>
    </row>
    <row r="86" spans="1:47" ht="43.5" customHeight="1" x14ac:dyDescent="0.2">
      <c r="A86" s="1494" t="s">
        <v>1414</v>
      </c>
      <c r="B86" s="1493" t="s">
        <v>1652</v>
      </c>
      <c r="C86" s="1169" t="s">
        <v>2286</v>
      </c>
      <c r="D86" s="1331"/>
      <c r="E86" s="1331"/>
      <c r="F86" s="1331"/>
      <c r="G86" s="1331"/>
      <c r="H86" s="1332"/>
      <c r="I86" s="1332"/>
      <c r="J86" s="1332"/>
      <c r="K86" s="1332"/>
      <c r="L86" s="1332"/>
      <c r="M86" s="1507"/>
      <c r="N86" s="1502"/>
      <c r="O86" s="1332"/>
      <c r="P86" s="1331"/>
      <c r="Q86" s="1331"/>
      <c r="R86" s="1331"/>
      <c r="S86" s="1331"/>
      <c r="T86" s="1331"/>
      <c r="U86" s="1331"/>
      <c r="V86" s="1331"/>
      <c r="W86" s="1334"/>
      <c r="X86" s="1509"/>
      <c r="Y86" s="1331"/>
      <c r="Z86" s="1331"/>
      <c r="AA86" s="1331"/>
      <c r="AB86" s="1331"/>
      <c r="AC86" s="1331"/>
      <c r="AD86" s="1331"/>
      <c r="AE86" s="1331"/>
      <c r="AF86" s="1331"/>
      <c r="AG86" s="1331"/>
      <c r="AH86" s="1334"/>
      <c r="AI86" s="1509"/>
      <c r="AJ86" s="1331"/>
      <c r="AK86" s="1331"/>
      <c r="AL86" s="1331"/>
      <c r="AM86" s="1331"/>
      <c r="AN86" s="1331"/>
      <c r="AO86" s="1331"/>
      <c r="AP86" s="1331"/>
      <c r="AQ86" s="1331"/>
      <c r="AR86" s="1331"/>
      <c r="AS86" s="1331"/>
      <c r="AT86" s="1331"/>
      <c r="AU86" s="1334">
        <v>-400000</v>
      </c>
    </row>
    <row r="87" spans="1:47" ht="42.75" customHeight="1" x14ac:dyDescent="0.2">
      <c r="A87" s="1491" t="s">
        <v>1424</v>
      </c>
      <c r="B87" s="1490" t="s">
        <v>1653</v>
      </c>
      <c r="C87" s="1169" t="s">
        <v>2288</v>
      </c>
      <c r="D87" s="1331"/>
      <c r="E87" s="1331"/>
      <c r="F87" s="1331"/>
      <c r="G87" s="1331"/>
      <c r="H87" s="1332"/>
      <c r="I87" s="1332"/>
      <c r="J87" s="1332"/>
      <c r="K87" s="1332"/>
      <c r="L87" s="1332"/>
      <c r="M87" s="1507"/>
      <c r="N87" s="1502"/>
      <c r="O87" s="1332"/>
      <c r="P87" s="1331">
        <v>-158750</v>
      </c>
      <c r="Q87" s="1331"/>
      <c r="R87" s="1331"/>
      <c r="S87" s="1331"/>
      <c r="T87" s="1331"/>
      <c r="U87" s="1331"/>
      <c r="V87" s="1331"/>
      <c r="W87" s="1334"/>
      <c r="X87" s="1509"/>
      <c r="Y87" s="1331"/>
      <c r="Z87" s="1331"/>
      <c r="AA87" s="1331"/>
      <c r="AB87" s="1331"/>
      <c r="AC87" s="1331"/>
      <c r="AD87" s="1331"/>
      <c r="AE87" s="1331"/>
      <c r="AF87" s="1331"/>
      <c r="AG87" s="1331"/>
      <c r="AH87" s="1334"/>
      <c r="AI87" s="1509"/>
      <c r="AJ87" s="1331"/>
      <c r="AK87" s="1331"/>
      <c r="AL87" s="1331"/>
      <c r="AM87" s="1331"/>
      <c r="AN87" s="1331"/>
      <c r="AO87" s="1331"/>
      <c r="AP87" s="1331"/>
      <c r="AQ87" s="1331"/>
      <c r="AR87" s="1331"/>
      <c r="AS87" s="1331"/>
      <c r="AT87" s="1331"/>
      <c r="AU87" s="1334"/>
    </row>
    <row r="88" spans="1:47" ht="55.5" customHeight="1" x14ac:dyDescent="0.2">
      <c r="A88" s="1494" t="s">
        <v>1472</v>
      </c>
      <c r="B88" s="1493" t="s">
        <v>2308</v>
      </c>
      <c r="C88" s="1169" t="s">
        <v>2349</v>
      </c>
      <c r="D88" s="1331"/>
      <c r="E88" s="1331"/>
      <c r="F88" s="1331"/>
      <c r="G88" s="1331"/>
      <c r="H88" s="1332"/>
      <c r="I88" s="1332"/>
      <c r="J88" s="1332"/>
      <c r="K88" s="1332"/>
      <c r="L88" s="1332"/>
      <c r="M88" s="1507"/>
      <c r="N88" s="1502"/>
      <c r="O88" s="1332"/>
      <c r="P88" s="1331">
        <v>-17780000</v>
      </c>
      <c r="Q88" s="1331"/>
      <c r="R88" s="1331"/>
      <c r="S88" s="1331"/>
      <c r="T88" s="1331"/>
      <c r="U88" s="1331"/>
      <c r="V88" s="1331"/>
      <c r="W88" s="1334"/>
      <c r="X88" s="1509"/>
      <c r="Y88" s="1331"/>
      <c r="Z88" s="1331"/>
      <c r="AA88" s="1331"/>
      <c r="AB88" s="1331"/>
      <c r="AC88" s="1331"/>
      <c r="AD88" s="1331"/>
      <c r="AE88" s="1331"/>
      <c r="AF88" s="1331"/>
      <c r="AG88" s="1331"/>
      <c r="AH88" s="1334"/>
      <c r="AI88" s="1509"/>
      <c r="AJ88" s="1331"/>
      <c r="AK88" s="1331"/>
      <c r="AL88" s="1331"/>
      <c r="AM88" s="1331"/>
      <c r="AN88" s="1331"/>
      <c r="AO88" s="1331"/>
      <c r="AP88" s="1331"/>
      <c r="AQ88" s="1331"/>
      <c r="AR88" s="1331"/>
      <c r="AS88" s="1331"/>
      <c r="AT88" s="1331"/>
      <c r="AU88" s="1334"/>
    </row>
    <row r="89" spans="1:47" ht="43.5" customHeight="1" x14ac:dyDescent="0.2">
      <c r="A89" s="1494" t="s">
        <v>1565</v>
      </c>
      <c r="B89" s="1493" t="s">
        <v>1659</v>
      </c>
      <c r="C89" s="1169" t="s">
        <v>2298</v>
      </c>
      <c r="D89" s="1331"/>
      <c r="E89" s="1331"/>
      <c r="F89" s="1331"/>
      <c r="G89" s="1331"/>
      <c r="H89" s="1332"/>
      <c r="I89" s="1332"/>
      <c r="J89" s="1332"/>
      <c r="K89" s="1332"/>
      <c r="L89" s="1332"/>
      <c r="M89" s="1507"/>
      <c r="N89" s="1502"/>
      <c r="O89" s="1332"/>
      <c r="P89" s="1331"/>
      <c r="Q89" s="1331"/>
      <c r="R89" s="1331"/>
      <c r="S89" s="1331"/>
      <c r="T89" s="1331"/>
      <c r="U89" s="1331"/>
      <c r="V89" s="1331"/>
      <c r="W89" s="1334"/>
      <c r="X89" s="1509"/>
      <c r="Y89" s="1331"/>
      <c r="Z89" s="1331"/>
      <c r="AA89" s="1331"/>
      <c r="AB89" s="1331"/>
      <c r="AC89" s="1331"/>
      <c r="AD89" s="1331"/>
      <c r="AE89" s="1331"/>
      <c r="AF89" s="1331"/>
      <c r="AG89" s="1331"/>
      <c r="AH89" s="1334"/>
      <c r="AI89" s="1509"/>
      <c r="AJ89" s="1331"/>
      <c r="AK89" s="1331"/>
      <c r="AL89" s="1331"/>
      <c r="AM89" s="1331"/>
      <c r="AN89" s="1331"/>
      <c r="AO89" s="1331"/>
      <c r="AP89" s="1331"/>
      <c r="AQ89" s="1331"/>
      <c r="AR89" s="1331">
        <v>-3357201</v>
      </c>
      <c r="AS89" s="1331"/>
      <c r="AT89" s="1331"/>
      <c r="AU89" s="1334"/>
    </row>
    <row r="90" spans="1:47" ht="43.5" customHeight="1" x14ac:dyDescent="0.2">
      <c r="A90" s="1494" t="s">
        <v>1566</v>
      </c>
      <c r="B90" s="1493" t="s">
        <v>1660</v>
      </c>
      <c r="C90" s="1169" t="s">
        <v>2299</v>
      </c>
      <c r="D90" s="1331"/>
      <c r="E90" s="1331"/>
      <c r="F90" s="1331"/>
      <c r="G90" s="1331">
        <v>-614629</v>
      </c>
      <c r="H90" s="1332"/>
      <c r="I90" s="1332"/>
      <c r="J90" s="1332"/>
      <c r="K90" s="1332"/>
      <c r="L90" s="1332"/>
      <c r="M90" s="1507"/>
      <c r="N90" s="1502"/>
      <c r="O90" s="1332"/>
      <c r="P90" s="1331"/>
      <c r="Q90" s="1331"/>
      <c r="R90" s="1331"/>
      <c r="S90" s="1331"/>
      <c r="T90" s="1331"/>
      <c r="U90" s="1331"/>
      <c r="V90" s="1331"/>
      <c r="W90" s="1334"/>
      <c r="X90" s="1509"/>
      <c r="Y90" s="1331"/>
      <c r="Z90" s="1331"/>
      <c r="AA90" s="1331"/>
      <c r="AB90" s="1331"/>
      <c r="AC90" s="1331"/>
      <c r="AD90" s="1331"/>
      <c r="AE90" s="1331"/>
      <c r="AF90" s="1331"/>
      <c r="AG90" s="1331"/>
      <c r="AH90" s="1334"/>
      <c r="AI90" s="1509"/>
      <c r="AJ90" s="1331"/>
      <c r="AK90" s="1331"/>
      <c r="AL90" s="1331"/>
      <c r="AM90" s="1331"/>
      <c r="AN90" s="1331"/>
      <c r="AO90" s="1331"/>
      <c r="AP90" s="1331"/>
      <c r="AQ90" s="1331"/>
      <c r="AR90" s="1331"/>
      <c r="AS90" s="1331"/>
      <c r="AT90" s="1331"/>
      <c r="AU90" s="1334"/>
    </row>
    <row r="91" spans="1:47" ht="177" customHeight="1" x14ac:dyDescent="0.2">
      <c r="A91" s="1494" t="s">
        <v>1567</v>
      </c>
      <c r="B91" s="1493" t="s">
        <v>1661</v>
      </c>
      <c r="C91" s="1169" t="s">
        <v>2316</v>
      </c>
      <c r="D91" s="1331"/>
      <c r="E91" s="1331"/>
      <c r="F91" s="1331"/>
      <c r="G91" s="1331"/>
      <c r="H91" s="1332"/>
      <c r="I91" s="1332"/>
      <c r="J91" s="1332"/>
      <c r="K91" s="1332"/>
      <c r="L91" s="1332"/>
      <c r="M91" s="1507"/>
      <c r="N91" s="1502"/>
      <c r="O91" s="1332"/>
      <c r="P91" s="1331">
        <v>10500000</v>
      </c>
      <c r="Q91" s="1331"/>
      <c r="R91" s="1331"/>
      <c r="S91" s="1331"/>
      <c r="T91" s="1331"/>
      <c r="U91" s="1331"/>
      <c r="V91" s="1331"/>
      <c r="W91" s="1334"/>
      <c r="X91" s="1509"/>
      <c r="Y91" s="1331"/>
      <c r="Z91" s="1331"/>
      <c r="AA91" s="1331"/>
      <c r="AB91" s="1331"/>
      <c r="AC91" s="1331"/>
      <c r="AD91" s="1331"/>
      <c r="AE91" s="1331"/>
      <c r="AF91" s="1331"/>
      <c r="AG91" s="1331"/>
      <c r="AH91" s="1334"/>
      <c r="AI91" s="1509">
        <v>64305542</v>
      </c>
      <c r="AJ91" s="1331"/>
      <c r="AK91" s="1331">
        <v>190660000</v>
      </c>
      <c r="AL91" s="1331"/>
      <c r="AM91" s="1331"/>
      <c r="AN91" s="1331"/>
      <c r="AO91" s="1331"/>
      <c r="AP91" s="1331"/>
      <c r="AQ91" s="1331"/>
      <c r="AR91" s="1331"/>
      <c r="AS91" s="1331"/>
      <c r="AT91" s="1331"/>
      <c r="AU91" s="1334"/>
    </row>
    <row r="92" spans="1:47" ht="47.25" customHeight="1" x14ac:dyDescent="0.2">
      <c r="A92" s="1494" t="s">
        <v>1569</v>
      </c>
      <c r="B92" s="1493" t="s">
        <v>1665</v>
      </c>
      <c r="C92" s="1169" t="s">
        <v>2319</v>
      </c>
      <c r="D92" s="1331"/>
      <c r="E92" s="1331"/>
      <c r="F92" s="1331"/>
      <c r="G92" s="1331"/>
      <c r="H92" s="1332"/>
      <c r="I92" s="1332"/>
      <c r="J92" s="1332"/>
      <c r="K92" s="1332"/>
      <c r="L92" s="1332"/>
      <c r="M92" s="1507"/>
      <c r="N92" s="1502"/>
      <c r="O92" s="1332"/>
      <c r="P92" s="1331"/>
      <c r="Q92" s="1331"/>
      <c r="R92" s="1331"/>
      <c r="S92" s="1331"/>
      <c r="T92" s="1331"/>
      <c r="U92" s="1331"/>
      <c r="V92" s="1331"/>
      <c r="W92" s="1334"/>
      <c r="X92" s="1509"/>
      <c r="Y92" s="1331"/>
      <c r="Z92" s="1331"/>
      <c r="AA92" s="1331"/>
      <c r="AB92" s="1331"/>
      <c r="AC92" s="1331"/>
      <c r="AD92" s="1331"/>
      <c r="AE92" s="1331"/>
      <c r="AF92" s="1331"/>
      <c r="AG92" s="1331"/>
      <c r="AH92" s="1334"/>
      <c r="AI92" s="1509"/>
      <c r="AJ92" s="1331"/>
      <c r="AK92" s="1331"/>
      <c r="AL92" s="1331"/>
      <c r="AM92" s="1331"/>
      <c r="AN92" s="1331"/>
      <c r="AO92" s="1331"/>
      <c r="AP92" s="1331"/>
      <c r="AQ92" s="1331"/>
      <c r="AR92" s="1331"/>
      <c r="AS92" s="1331"/>
      <c r="AT92" s="1331">
        <v>-8000000</v>
      </c>
      <c r="AU92" s="1334"/>
    </row>
    <row r="93" spans="1:47" ht="43.5" customHeight="1" x14ac:dyDescent="0.2">
      <c r="A93" s="1494" t="s">
        <v>1570</v>
      </c>
      <c r="B93" s="1493" t="s">
        <v>1666</v>
      </c>
      <c r="C93" s="1169" t="s">
        <v>2320</v>
      </c>
      <c r="D93" s="1331"/>
      <c r="E93" s="1331"/>
      <c r="F93" s="1331"/>
      <c r="G93" s="1331"/>
      <c r="H93" s="1332"/>
      <c r="I93" s="1332"/>
      <c r="J93" s="1332"/>
      <c r="K93" s="1332"/>
      <c r="L93" s="1332"/>
      <c r="M93" s="1507"/>
      <c r="N93" s="1502"/>
      <c r="O93" s="1332"/>
      <c r="P93" s="1331"/>
      <c r="Q93" s="1331"/>
      <c r="R93" s="1331"/>
      <c r="S93" s="1331"/>
      <c r="T93" s="1331"/>
      <c r="U93" s="1331"/>
      <c r="V93" s="1331"/>
      <c r="W93" s="1334"/>
      <c r="X93" s="1509"/>
      <c r="Y93" s="1331"/>
      <c r="Z93" s="1331"/>
      <c r="AA93" s="1331"/>
      <c r="AB93" s="1331"/>
      <c r="AC93" s="1331"/>
      <c r="AD93" s="1331"/>
      <c r="AE93" s="1331"/>
      <c r="AF93" s="1331"/>
      <c r="AG93" s="1331"/>
      <c r="AH93" s="1334"/>
      <c r="AI93" s="1509">
        <v>-4871500</v>
      </c>
      <c r="AJ93" s="1331"/>
      <c r="AK93" s="1331"/>
      <c r="AL93" s="1331"/>
      <c r="AM93" s="1331"/>
      <c r="AN93" s="1331"/>
      <c r="AO93" s="1331"/>
      <c r="AP93" s="1331"/>
      <c r="AQ93" s="1331"/>
      <c r="AR93" s="1331"/>
      <c r="AS93" s="1331"/>
      <c r="AT93" s="1331"/>
      <c r="AU93" s="1334"/>
    </row>
    <row r="94" spans="1:47" ht="43.5" customHeight="1" x14ac:dyDescent="0.2">
      <c r="A94" s="1494" t="s">
        <v>1571</v>
      </c>
      <c r="B94" s="1493" t="s">
        <v>1667</v>
      </c>
      <c r="C94" s="1169" t="s">
        <v>2325</v>
      </c>
      <c r="D94" s="1331"/>
      <c r="E94" s="1331"/>
      <c r="F94" s="1331"/>
      <c r="G94" s="1331"/>
      <c r="H94" s="1332"/>
      <c r="I94" s="1332"/>
      <c r="J94" s="1332"/>
      <c r="K94" s="1332"/>
      <c r="L94" s="1332"/>
      <c r="M94" s="1507"/>
      <c r="N94" s="1502"/>
      <c r="O94" s="1332"/>
      <c r="P94" s="1331"/>
      <c r="Q94" s="1331"/>
      <c r="R94" s="1331"/>
      <c r="S94" s="1331"/>
      <c r="T94" s="1331"/>
      <c r="U94" s="1331"/>
      <c r="V94" s="1331"/>
      <c r="W94" s="1334"/>
      <c r="X94" s="1509"/>
      <c r="Y94" s="1331"/>
      <c r="Z94" s="1331"/>
      <c r="AA94" s="1331"/>
      <c r="AB94" s="1331"/>
      <c r="AC94" s="1331"/>
      <c r="AD94" s="1331"/>
      <c r="AE94" s="1331"/>
      <c r="AF94" s="1331"/>
      <c r="AG94" s="1331"/>
      <c r="AH94" s="1334"/>
      <c r="AI94" s="1509"/>
      <c r="AJ94" s="1331"/>
      <c r="AK94" s="1331"/>
      <c r="AL94" s="1331"/>
      <c r="AM94" s="1331"/>
      <c r="AN94" s="1331"/>
      <c r="AO94" s="1331"/>
      <c r="AP94" s="1331">
        <v>600000</v>
      </c>
      <c r="AQ94" s="1331"/>
      <c r="AR94" s="1331"/>
      <c r="AS94" s="1331"/>
      <c r="AT94" s="1331"/>
      <c r="AU94" s="1334"/>
    </row>
    <row r="95" spans="1:47" ht="131.25" customHeight="1" x14ac:dyDescent="0.2">
      <c r="A95" s="1494" t="s">
        <v>1572</v>
      </c>
      <c r="B95" s="1493" t="s">
        <v>1668</v>
      </c>
      <c r="C95" s="1169" t="s">
        <v>2359</v>
      </c>
      <c r="D95" s="1331"/>
      <c r="E95" s="1331"/>
      <c r="F95" s="1331"/>
      <c r="G95" s="1331"/>
      <c r="H95" s="1332"/>
      <c r="I95" s="1332"/>
      <c r="J95" s="1332"/>
      <c r="K95" s="1332"/>
      <c r="L95" s="1332"/>
      <c r="M95" s="1507"/>
      <c r="N95" s="1502"/>
      <c r="O95" s="1332"/>
      <c r="P95" s="1331">
        <v>4813267</v>
      </c>
      <c r="Q95" s="1331"/>
      <c r="R95" s="1331"/>
      <c r="S95" s="1331"/>
      <c r="T95" s="1331"/>
      <c r="U95" s="1331"/>
      <c r="V95" s="1331"/>
      <c r="W95" s="1334"/>
      <c r="X95" s="1509"/>
      <c r="Y95" s="1331"/>
      <c r="Z95" s="1331"/>
      <c r="AA95" s="1331"/>
      <c r="AB95" s="1331"/>
      <c r="AC95" s="1331"/>
      <c r="AD95" s="1331"/>
      <c r="AE95" s="1331"/>
      <c r="AF95" s="1331"/>
      <c r="AG95" s="1331"/>
      <c r="AH95" s="1334"/>
      <c r="AI95" s="1509"/>
      <c r="AJ95" s="1331"/>
      <c r="AK95" s="1331"/>
      <c r="AL95" s="1331"/>
      <c r="AM95" s="1331"/>
      <c r="AN95" s="1331"/>
      <c r="AO95" s="1331"/>
      <c r="AP95" s="1331"/>
      <c r="AQ95" s="1331"/>
      <c r="AR95" s="1331"/>
      <c r="AS95" s="1331"/>
      <c r="AT95" s="1331"/>
      <c r="AU95" s="1334"/>
    </row>
    <row r="96" spans="1:47" ht="91.5" customHeight="1" x14ac:dyDescent="0.2">
      <c r="A96" s="1491" t="s">
        <v>1573</v>
      </c>
      <c r="B96" s="1490" t="s">
        <v>1669</v>
      </c>
      <c r="C96" s="1169" t="s">
        <v>2328</v>
      </c>
      <c r="D96" s="1331"/>
      <c r="E96" s="1331"/>
      <c r="F96" s="1331"/>
      <c r="G96" s="1331"/>
      <c r="H96" s="1332"/>
      <c r="I96" s="1332"/>
      <c r="J96" s="1332"/>
      <c r="K96" s="1332"/>
      <c r="L96" s="1332"/>
      <c r="M96" s="1507"/>
      <c r="N96" s="1502"/>
      <c r="O96" s="1332"/>
      <c r="P96" s="1331"/>
      <c r="Q96" s="1331"/>
      <c r="R96" s="1331"/>
      <c r="S96" s="1331"/>
      <c r="T96" s="1331"/>
      <c r="U96" s="1331"/>
      <c r="V96" s="1331"/>
      <c r="W96" s="1334"/>
      <c r="X96" s="1509"/>
      <c r="Y96" s="1331"/>
      <c r="Z96" s="1331"/>
      <c r="AA96" s="1331"/>
      <c r="AB96" s="1331"/>
      <c r="AC96" s="1331"/>
      <c r="AD96" s="1331"/>
      <c r="AE96" s="1331"/>
      <c r="AF96" s="1331"/>
      <c r="AG96" s="1331"/>
      <c r="AH96" s="1334"/>
      <c r="AI96" s="1509"/>
      <c r="AJ96" s="1331"/>
      <c r="AK96" s="1331"/>
      <c r="AL96" s="1331"/>
      <c r="AM96" s="1331"/>
      <c r="AN96" s="1331"/>
      <c r="AO96" s="1331"/>
      <c r="AP96" s="1331"/>
      <c r="AQ96" s="1331"/>
      <c r="AR96" s="1331"/>
      <c r="AS96" s="1331"/>
      <c r="AT96" s="1331">
        <v>1200000</v>
      </c>
      <c r="AU96" s="1334"/>
    </row>
    <row r="97" spans="1:47" ht="43.5" customHeight="1" x14ac:dyDescent="0.2">
      <c r="A97" s="1494" t="s">
        <v>1575</v>
      </c>
      <c r="B97" s="1493" t="s">
        <v>1671</v>
      </c>
      <c r="C97" s="1169" t="s">
        <v>2360</v>
      </c>
      <c r="D97" s="1331"/>
      <c r="E97" s="1331"/>
      <c r="F97" s="1331"/>
      <c r="G97" s="1331"/>
      <c r="H97" s="1332"/>
      <c r="I97" s="1332"/>
      <c r="J97" s="1332"/>
      <c r="K97" s="1332"/>
      <c r="L97" s="1332"/>
      <c r="M97" s="1507"/>
      <c r="N97" s="1502"/>
      <c r="O97" s="1332"/>
      <c r="P97" s="1331"/>
      <c r="Q97" s="1331"/>
      <c r="R97" s="1331"/>
      <c r="S97" s="1331"/>
      <c r="T97" s="1331"/>
      <c r="U97" s="1331"/>
      <c r="V97" s="1331"/>
      <c r="W97" s="1334"/>
      <c r="X97" s="1509"/>
      <c r="Y97" s="1331"/>
      <c r="Z97" s="1331"/>
      <c r="AA97" s="1331"/>
      <c r="AB97" s="1331"/>
      <c r="AC97" s="1331"/>
      <c r="AD97" s="1331"/>
      <c r="AE97" s="1331"/>
      <c r="AF97" s="1331"/>
      <c r="AG97" s="1331"/>
      <c r="AH97" s="1334"/>
      <c r="AI97" s="1509"/>
      <c r="AJ97" s="1331"/>
      <c r="AK97" s="1331"/>
      <c r="AL97" s="1331"/>
      <c r="AM97" s="1331"/>
      <c r="AN97" s="1331"/>
      <c r="AO97" s="1331"/>
      <c r="AP97" s="1331"/>
      <c r="AQ97" s="1331"/>
      <c r="AR97" s="1331"/>
      <c r="AS97" s="1331"/>
      <c r="AT97" s="1331">
        <v>-350000</v>
      </c>
      <c r="AU97" s="1334"/>
    </row>
    <row r="98" spans="1:47" ht="67.5" customHeight="1" x14ac:dyDescent="0.2">
      <c r="A98" s="1494" t="s">
        <v>1577</v>
      </c>
      <c r="B98" s="1493" t="s">
        <v>1673</v>
      </c>
      <c r="C98" s="1169" t="s">
        <v>2337</v>
      </c>
      <c r="D98" s="1331"/>
      <c r="E98" s="1331"/>
      <c r="F98" s="1331"/>
      <c r="G98" s="1331"/>
      <c r="H98" s="1332"/>
      <c r="I98" s="1332"/>
      <c r="J98" s="1332"/>
      <c r="K98" s="1332"/>
      <c r="L98" s="1332"/>
      <c r="M98" s="1507"/>
      <c r="N98" s="1502"/>
      <c r="O98" s="1332"/>
      <c r="P98" s="1331"/>
      <c r="Q98" s="1331"/>
      <c r="R98" s="1331"/>
      <c r="S98" s="1331"/>
      <c r="T98" s="1331"/>
      <c r="U98" s="1331"/>
      <c r="V98" s="1331"/>
      <c r="W98" s="1334"/>
      <c r="X98" s="1509"/>
      <c r="Y98" s="1331"/>
      <c r="Z98" s="1331"/>
      <c r="AA98" s="1331"/>
      <c r="AB98" s="1331"/>
      <c r="AC98" s="1331"/>
      <c r="AD98" s="1331"/>
      <c r="AE98" s="1331"/>
      <c r="AF98" s="1331"/>
      <c r="AG98" s="1331">
        <v>-100000</v>
      </c>
      <c r="AH98" s="1334"/>
      <c r="AI98" s="1509"/>
      <c r="AJ98" s="1331"/>
      <c r="AK98" s="1331"/>
      <c r="AL98" s="1331"/>
      <c r="AM98" s="1331"/>
      <c r="AN98" s="1331"/>
      <c r="AO98" s="1331"/>
      <c r="AP98" s="1331"/>
      <c r="AQ98" s="1331"/>
      <c r="AR98" s="1331"/>
      <c r="AS98" s="1331"/>
      <c r="AT98" s="1331"/>
      <c r="AU98" s="1334"/>
    </row>
    <row r="99" spans="1:47" ht="35.25" customHeight="1" x14ac:dyDescent="0.2">
      <c r="A99" s="1494" t="s">
        <v>1578</v>
      </c>
      <c r="B99" s="1493" t="s">
        <v>1674</v>
      </c>
      <c r="C99" s="1169" t="s">
        <v>2345</v>
      </c>
      <c r="D99" s="1331"/>
      <c r="E99" s="1331"/>
      <c r="F99" s="1331"/>
      <c r="G99" s="1331"/>
      <c r="H99" s="1332"/>
      <c r="I99" s="1332"/>
      <c r="J99" s="1332"/>
      <c r="K99" s="1332"/>
      <c r="L99" s="1332"/>
      <c r="M99" s="1507"/>
      <c r="N99" s="1502"/>
      <c r="O99" s="1332"/>
      <c r="P99" s="1331"/>
      <c r="Q99" s="1331"/>
      <c r="R99" s="1331"/>
      <c r="S99" s="1331"/>
      <c r="T99" s="1331"/>
      <c r="U99" s="1331"/>
      <c r="V99" s="1331"/>
      <c r="W99" s="1334"/>
      <c r="X99" s="1509"/>
      <c r="Y99" s="1331"/>
      <c r="Z99" s="1331"/>
      <c r="AA99" s="1331"/>
      <c r="AB99" s="1331"/>
      <c r="AC99" s="1331"/>
      <c r="AD99" s="1331"/>
      <c r="AE99" s="1331"/>
      <c r="AF99" s="1331"/>
      <c r="AG99" s="1331"/>
      <c r="AH99" s="1334"/>
      <c r="AI99" s="1509"/>
      <c r="AJ99" s="1331"/>
      <c r="AK99" s="1331"/>
      <c r="AL99" s="1331"/>
      <c r="AM99" s="1331"/>
      <c r="AN99" s="1331"/>
      <c r="AO99" s="1331"/>
      <c r="AP99" s="1331">
        <v>-1000000</v>
      </c>
      <c r="AQ99" s="1331"/>
      <c r="AR99" s="1331"/>
      <c r="AS99" s="1331"/>
      <c r="AT99" s="1331"/>
      <c r="AU99" s="1334"/>
    </row>
    <row r="100" spans="1:47" ht="43.5" customHeight="1" x14ac:dyDescent="0.2">
      <c r="A100" s="1494" t="s">
        <v>1580</v>
      </c>
      <c r="B100" s="1493" t="s">
        <v>1676</v>
      </c>
      <c r="C100" s="1169" t="s">
        <v>2362</v>
      </c>
      <c r="D100" s="1331"/>
      <c r="E100" s="1331"/>
      <c r="F100" s="1331"/>
      <c r="G100" s="1331"/>
      <c r="H100" s="1332"/>
      <c r="I100" s="1332"/>
      <c r="J100" s="1332"/>
      <c r="K100" s="1332"/>
      <c r="L100" s="1332"/>
      <c r="M100" s="1507"/>
      <c r="N100" s="1502"/>
      <c r="O100" s="1332"/>
      <c r="P100" s="1331"/>
      <c r="Q100" s="1331"/>
      <c r="R100" s="1331"/>
      <c r="S100" s="1331"/>
      <c r="T100" s="1331"/>
      <c r="U100" s="1331"/>
      <c r="V100" s="1331"/>
      <c r="W100" s="1334">
        <v>2410752</v>
      </c>
      <c r="X100" s="1509"/>
      <c r="Y100" s="1331"/>
      <c r="Z100" s="1331"/>
      <c r="AA100" s="1331"/>
      <c r="AB100" s="1331"/>
      <c r="AC100" s="1331"/>
      <c r="AD100" s="1331"/>
      <c r="AE100" s="1331"/>
      <c r="AF100" s="1331"/>
      <c r="AG100" s="1331"/>
      <c r="AH100" s="1334"/>
      <c r="AI100" s="1509"/>
      <c r="AJ100" s="1331"/>
      <c r="AK100" s="1331"/>
      <c r="AL100" s="1331"/>
      <c r="AM100" s="1331"/>
      <c r="AN100" s="1331"/>
      <c r="AO100" s="1331"/>
      <c r="AP100" s="1331"/>
      <c r="AQ100" s="1331"/>
      <c r="AR100" s="1331"/>
      <c r="AS100" s="1331"/>
      <c r="AT100" s="1331"/>
      <c r="AU100" s="1334"/>
    </row>
    <row r="101" spans="1:47" ht="43.5" customHeight="1" x14ac:dyDescent="0.2">
      <c r="A101" s="1494" t="s">
        <v>1583</v>
      </c>
      <c r="B101" s="1493" t="s">
        <v>1679</v>
      </c>
      <c r="C101" s="1169" t="s">
        <v>2364</v>
      </c>
      <c r="D101" s="1331"/>
      <c r="E101" s="1331"/>
      <c r="F101" s="1331"/>
      <c r="G101" s="1331"/>
      <c r="H101" s="1332"/>
      <c r="I101" s="1332"/>
      <c r="J101" s="1332"/>
      <c r="K101" s="1332"/>
      <c r="L101" s="1332"/>
      <c r="M101" s="1507"/>
      <c r="N101" s="1502"/>
      <c r="O101" s="1332"/>
      <c r="P101" s="1331"/>
      <c r="Q101" s="1331"/>
      <c r="R101" s="1331"/>
      <c r="S101" s="1331"/>
      <c r="T101" s="1331"/>
      <c r="U101" s="1331"/>
      <c r="V101" s="1331"/>
      <c r="W101" s="1334"/>
      <c r="X101" s="1509"/>
      <c r="Y101" s="1331"/>
      <c r="Z101" s="1331"/>
      <c r="AA101" s="1331"/>
      <c r="AB101" s="1331"/>
      <c r="AC101" s="1331"/>
      <c r="AD101" s="1331"/>
      <c r="AE101" s="1331"/>
      <c r="AF101" s="1331"/>
      <c r="AG101" s="1331"/>
      <c r="AH101" s="1334"/>
      <c r="AI101" s="1509"/>
      <c r="AJ101" s="1331"/>
      <c r="AK101" s="1331"/>
      <c r="AL101" s="1331"/>
      <c r="AM101" s="1331"/>
      <c r="AN101" s="1331"/>
      <c r="AO101" s="1331"/>
      <c r="AP101" s="1331">
        <v>23878</v>
      </c>
      <c r="AQ101" s="1331"/>
      <c r="AR101" s="1331"/>
      <c r="AS101" s="1331"/>
      <c r="AT101" s="1331"/>
      <c r="AU101" s="1334"/>
    </row>
    <row r="102" spans="1:47" ht="43.5" customHeight="1" x14ac:dyDescent="0.2">
      <c r="A102" s="1494" t="s">
        <v>1585</v>
      </c>
      <c r="B102" s="1493" t="s">
        <v>1681</v>
      </c>
      <c r="C102" s="1169" t="s">
        <v>2371</v>
      </c>
      <c r="D102" s="1331"/>
      <c r="E102" s="1331"/>
      <c r="F102" s="1331"/>
      <c r="G102" s="1331"/>
      <c r="H102" s="1332"/>
      <c r="I102" s="1332"/>
      <c r="J102" s="1332"/>
      <c r="K102" s="1332"/>
      <c r="L102" s="1332"/>
      <c r="M102" s="1507"/>
      <c r="N102" s="1502"/>
      <c r="O102" s="1332"/>
      <c r="P102" s="1331"/>
      <c r="Q102" s="1331"/>
      <c r="R102" s="1331"/>
      <c r="S102" s="1331"/>
      <c r="T102" s="1331"/>
      <c r="U102" s="1331"/>
      <c r="V102" s="1331"/>
      <c r="W102" s="1334"/>
      <c r="X102" s="1509"/>
      <c r="Y102" s="1331"/>
      <c r="Z102" s="1331"/>
      <c r="AA102" s="1331"/>
      <c r="AB102" s="1331"/>
      <c r="AC102" s="1331"/>
      <c r="AD102" s="1331"/>
      <c r="AE102" s="1331"/>
      <c r="AF102" s="1331"/>
      <c r="AG102" s="1331"/>
      <c r="AH102" s="1334"/>
      <c r="AI102" s="1509">
        <v>-2567783</v>
      </c>
      <c r="AJ102" s="1331"/>
      <c r="AK102" s="1331"/>
      <c r="AL102" s="1331"/>
      <c r="AM102" s="1331"/>
      <c r="AN102" s="1331"/>
      <c r="AO102" s="1331"/>
      <c r="AP102" s="1331"/>
      <c r="AQ102" s="1331"/>
      <c r="AR102" s="1331"/>
      <c r="AS102" s="1331"/>
      <c r="AT102" s="1331"/>
      <c r="AU102" s="1334"/>
    </row>
    <row r="103" spans="1:47" ht="44.25" customHeight="1" x14ac:dyDescent="0.2">
      <c r="A103" s="1545" t="s">
        <v>1588</v>
      </c>
      <c r="B103" s="1493" t="s">
        <v>1684</v>
      </c>
      <c r="C103" s="1169" t="s">
        <v>2479</v>
      </c>
      <c r="D103" s="1331"/>
      <c r="E103" s="1331"/>
      <c r="F103" s="1331"/>
      <c r="G103" s="1331"/>
      <c r="H103" s="1332"/>
      <c r="I103" s="1332"/>
      <c r="J103" s="1332"/>
      <c r="K103" s="1332"/>
      <c r="L103" s="1332"/>
      <c r="M103" s="1507"/>
      <c r="N103" s="1502"/>
      <c r="O103" s="1332"/>
      <c r="P103" s="1331"/>
      <c r="Q103" s="1331"/>
      <c r="R103" s="1331"/>
      <c r="S103" s="1331"/>
      <c r="T103" s="1331"/>
      <c r="U103" s="1331"/>
      <c r="V103" s="1331"/>
      <c r="W103" s="1334"/>
      <c r="X103" s="1509"/>
      <c r="Y103" s="1331"/>
      <c r="Z103" s="1331"/>
      <c r="AA103" s="1331"/>
      <c r="AB103" s="1331"/>
      <c r="AC103" s="1331"/>
      <c r="AD103" s="1331"/>
      <c r="AE103" s="1331"/>
      <c r="AF103" s="1331"/>
      <c r="AG103" s="1331"/>
      <c r="AH103" s="1334"/>
      <c r="AI103" s="1509"/>
      <c r="AJ103" s="1331"/>
      <c r="AK103" s="1331"/>
      <c r="AL103" s="1331"/>
      <c r="AM103" s="1331"/>
      <c r="AN103" s="1331"/>
      <c r="AO103" s="1331"/>
      <c r="AP103" s="1331"/>
      <c r="AQ103" s="1331"/>
      <c r="AR103" s="1331">
        <v>-63500</v>
      </c>
      <c r="AS103" s="1331"/>
      <c r="AT103" s="1331"/>
      <c r="AU103" s="1334"/>
    </row>
    <row r="104" spans="1:47" ht="81.75" customHeight="1" x14ac:dyDescent="0.2">
      <c r="A104" s="1546" t="s">
        <v>1589</v>
      </c>
      <c r="B104" s="1490" t="s">
        <v>1685</v>
      </c>
      <c r="C104" s="1169" t="s">
        <v>2392</v>
      </c>
      <c r="D104" s="1331"/>
      <c r="E104" s="1331"/>
      <c r="F104" s="1331"/>
      <c r="G104" s="1331"/>
      <c r="H104" s="1332"/>
      <c r="I104" s="1332"/>
      <c r="J104" s="1332"/>
      <c r="K104" s="1332"/>
      <c r="L104" s="1332"/>
      <c r="M104" s="1507"/>
      <c r="N104" s="1502"/>
      <c r="O104" s="1332"/>
      <c r="P104" s="1331"/>
      <c r="Q104" s="1331"/>
      <c r="R104" s="1331"/>
      <c r="S104" s="1331"/>
      <c r="T104" s="1331"/>
      <c r="U104" s="1331"/>
      <c r="V104" s="1331"/>
      <c r="W104" s="1334"/>
      <c r="X104" s="1509"/>
      <c r="Y104" s="1331"/>
      <c r="Z104" s="1331"/>
      <c r="AA104" s="1331"/>
      <c r="AB104" s="1331"/>
      <c r="AC104" s="1331"/>
      <c r="AD104" s="1331"/>
      <c r="AE104" s="1331"/>
      <c r="AF104" s="1331"/>
      <c r="AG104" s="1331"/>
      <c r="AH104" s="1334"/>
      <c r="AI104" s="1509">
        <v>7500000</v>
      </c>
      <c r="AJ104" s="1331"/>
      <c r="AK104" s="1331"/>
      <c r="AL104" s="1331"/>
      <c r="AM104" s="1331"/>
      <c r="AN104" s="1331"/>
      <c r="AO104" s="1331"/>
      <c r="AP104" s="1331"/>
      <c r="AQ104" s="1331"/>
      <c r="AR104" s="1331"/>
      <c r="AS104" s="1331"/>
      <c r="AT104" s="1331"/>
      <c r="AU104" s="1334"/>
    </row>
    <row r="105" spans="1:47" ht="66" customHeight="1" x14ac:dyDescent="0.2">
      <c r="A105" s="1494" t="s">
        <v>1592</v>
      </c>
      <c r="B105" s="1493" t="s">
        <v>1688</v>
      </c>
      <c r="C105" s="1169" t="s">
        <v>2480</v>
      </c>
      <c r="D105" s="1331"/>
      <c r="E105" s="1331"/>
      <c r="F105" s="1331"/>
      <c r="G105" s="1331"/>
      <c r="H105" s="1332"/>
      <c r="I105" s="1332"/>
      <c r="J105" s="1332"/>
      <c r="K105" s="1332"/>
      <c r="L105" s="1332"/>
      <c r="M105" s="1507">
        <v>-17091183</v>
      </c>
      <c r="N105" s="1502"/>
      <c r="O105" s="1332"/>
      <c r="P105" s="1331"/>
      <c r="Q105" s="1331"/>
      <c r="R105" s="1331"/>
      <c r="S105" s="1331"/>
      <c r="T105" s="1331"/>
      <c r="U105" s="1331"/>
      <c r="V105" s="1331"/>
      <c r="W105" s="1334"/>
      <c r="X105" s="1509"/>
      <c r="Y105" s="1331"/>
      <c r="Z105" s="1331"/>
      <c r="AA105" s="1331"/>
      <c r="AB105" s="1331"/>
      <c r="AC105" s="1331"/>
      <c r="AD105" s="1331"/>
      <c r="AE105" s="1331"/>
      <c r="AF105" s="1331"/>
      <c r="AG105" s="1331"/>
      <c r="AH105" s="1334"/>
      <c r="AI105" s="1509">
        <v>17091183</v>
      </c>
      <c r="AJ105" s="1331"/>
      <c r="AK105" s="1331"/>
      <c r="AL105" s="1331"/>
      <c r="AM105" s="1331"/>
      <c r="AN105" s="1331"/>
      <c r="AO105" s="1331"/>
      <c r="AP105" s="1331"/>
      <c r="AQ105" s="1331"/>
      <c r="AR105" s="1331"/>
      <c r="AS105" s="1331"/>
      <c r="AT105" s="1331"/>
      <c r="AU105" s="1334"/>
    </row>
    <row r="106" spans="1:47" ht="34.5" customHeight="1" x14ac:dyDescent="0.2">
      <c r="A106" s="1494" t="s">
        <v>1594</v>
      </c>
      <c r="B106" s="1493" t="s">
        <v>1690</v>
      </c>
      <c r="C106" s="1169" t="s">
        <v>2401</v>
      </c>
      <c r="D106" s="1331"/>
      <c r="E106" s="1331"/>
      <c r="F106" s="1331"/>
      <c r="G106" s="1331"/>
      <c r="H106" s="1332"/>
      <c r="I106" s="1332"/>
      <c r="J106" s="1332"/>
      <c r="K106" s="1332"/>
      <c r="L106" s="1332"/>
      <c r="M106" s="1507"/>
      <c r="N106" s="1502"/>
      <c r="O106" s="1332"/>
      <c r="P106" s="1331"/>
      <c r="Q106" s="1331"/>
      <c r="R106" s="1331"/>
      <c r="S106" s="1331"/>
      <c r="T106" s="1331"/>
      <c r="U106" s="1331"/>
      <c r="V106" s="1331"/>
      <c r="W106" s="1334"/>
      <c r="X106" s="1509"/>
      <c r="Y106" s="1331"/>
      <c r="Z106" s="1331"/>
      <c r="AA106" s="1331"/>
      <c r="AB106" s="1331"/>
      <c r="AC106" s="1331"/>
      <c r="AD106" s="1331"/>
      <c r="AE106" s="1331"/>
      <c r="AF106" s="1331"/>
      <c r="AG106" s="1331"/>
      <c r="AH106" s="1334"/>
      <c r="AI106" s="1509"/>
      <c r="AJ106" s="1331"/>
      <c r="AK106" s="1331">
        <v>-7987538</v>
      </c>
      <c r="AL106" s="1331"/>
      <c r="AM106" s="1331"/>
      <c r="AN106" s="1331"/>
      <c r="AO106" s="1331"/>
      <c r="AP106" s="1331"/>
      <c r="AQ106" s="1331"/>
      <c r="AR106" s="1331"/>
      <c r="AS106" s="1331"/>
      <c r="AT106" s="1331"/>
      <c r="AU106" s="1334"/>
    </row>
    <row r="107" spans="1:47" ht="93.75" customHeight="1" x14ac:dyDescent="0.2">
      <c r="A107" s="1494" t="s">
        <v>1598</v>
      </c>
      <c r="B107" s="1493" t="s">
        <v>1694</v>
      </c>
      <c r="C107" s="1169" t="s">
        <v>2406</v>
      </c>
      <c r="D107" s="1331"/>
      <c r="E107" s="1331"/>
      <c r="F107" s="1331"/>
      <c r="G107" s="1331"/>
      <c r="H107" s="1332"/>
      <c r="I107" s="1332"/>
      <c r="J107" s="1332"/>
      <c r="K107" s="1332"/>
      <c r="L107" s="1332"/>
      <c r="M107" s="1507"/>
      <c r="N107" s="1502"/>
      <c r="O107" s="1332"/>
      <c r="P107" s="1331"/>
      <c r="Q107" s="1331"/>
      <c r="R107" s="1331"/>
      <c r="S107" s="1331"/>
      <c r="T107" s="1331"/>
      <c r="U107" s="1331"/>
      <c r="V107" s="1331"/>
      <c r="W107" s="1334">
        <v>-4556704</v>
      </c>
      <c r="X107" s="1509"/>
      <c r="Y107" s="1331"/>
      <c r="Z107" s="1331"/>
      <c r="AA107" s="1331"/>
      <c r="AB107" s="1331"/>
      <c r="AC107" s="1331"/>
      <c r="AD107" s="1331"/>
      <c r="AE107" s="1331"/>
      <c r="AF107" s="1331"/>
      <c r="AG107" s="1331"/>
      <c r="AH107" s="1334"/>
      <c r="AI107" s="1509"/>
      <c r="AJ107" s="1331"/>
      <c r="AK107" s="1331"/>
      <c r="AL107" s="1331"/>
      <c r="AM107" s="1331"/>
      <c r="AN107" s="1331"/>
      <c r="AO107" s="1331"/>
      <c r="AP107" s="1331"/>
      <c r="AQ107" s="1331"/>
      <c r="AR107" s="1331"/>
      <c r="AS107" s="1331"/>
      <c r="AT107" s="1331"/>
      <c r="AU107" s="1334"/>
    </row>
    <row r="108" spans="1:47" ht="43.5" customHeight="1" x14ac:dyDescent="0.2">
      <c r="A108" s="1494" t="s">
        <v>1600</v>
      </c>
      <c r="B108" s="1493" t="s">
        <v>1696</v>
      </c>
      <c r="C108" s="1169" t="s">
        <v>2411</v>
      </c>
      <c r="D108" s="1331"/>
      <c r="E108" s="1331"/>
      <c r="F108" s="1331"/>
      <c r="G108" s="1331"/>
      <c r="H108" s="1332"/>
      <c r="I108" s="1332"/>
      <c r="J108" s="1332"/>
      <c r="K108" s="1332"/>
      <c r="L108" s="1332"/>
      <c r="M108" s="1507"/>
      <c r="N108" s="1502"/>
      <c r="O108" s="1332"/>
      <c r="P108" s="1331"/>
      <c r="Q108" s="1331"/>
      <c r="R108" s="1331"/>
      <c r="S108" s="1331"/>
      <c r="T108" s="1331"/>
      <c r="U108" s="1331"/>
      <c r="V108" s="1331"/>
      <c r="W108" s="1334"/>
      <c r="X108" s="1509"/>
      <c r="Y108" s="1331"/>
      <c r="Z108" s="1331"/>
      <c r="AA108" s="1331"/>
      <c r="AB108" s="1331"/>
      <c r="AC108" s="1331"/>
      <c r="AD108" s="1331"/>
      <c r="AE108" s="1331"/>
      <c r="AF108" s="1331"/>
      <c r="AG108" s="1331"/>
      <c r="AH108" s="1334"/>
      <c r="AI108" s="1509"/>
      <c r="AJ108" s="1331"/>
      <c r="AK108" s="1331">
        <v>-2133600</v>
      </c>
      <c r="AL108" s="1331"/>
      <c r="AM108" s="1331"/>
      <c r="AN108" s="1331"/>
      <c r="AO108" s="1331"/>
      <c r="AP108" s="1331"/>
      <c r="AQ108" s="1331"/>
      <c r="AR108" s="1331"/>
      <c r="AS108" s="1331"/>
      <c r="AT108" s="1331"/>
      <c r="AU108" s="1334"/>
    </row>
    <row r="109" spans="1:47" ht="43.5" customHeight="1" x14ac:dyDescent="0.2">
      <c r="A109" s="1545" t="s">
        <v>1603</v>
      </c>
      <c r="B109" s="1493" t="s">
        <v>1699</v>
      </c>
      <c r="C109" s="1169" t="s">
        <v>2414</v>
      </c>
      <c r="D109" s="1331"/>
      <c r="E109" s="1331"/>
      <c r="F109" s="1331"/>
      <c r="G109" s="1331"/>
      <c r="H109" s="1332"/>
      <c r="I109" s="1332"/>
      <c r="J109" s="1332"/>
      <c r="K109" s="1332"/>
      <c r="L109" s="1332"/>
      <c r="M109" s="1507"/>
      <c r="N109" s="1502"/>
      <c r="O109" s="1332"/>
      <c r="P109" s="1331"/>
      <c r="Q109" s="1331"/>
      <c r="R109" s="1331"/>
      <c r="S109" s="1331"/>
      <c r="T109" s="1331"/>
      <c r="U109" s="1331"/>
      <c r="V109" s="1331"/>
      <c r="W109" s="1334"/>
      <c r="X109" s="1509"/>
      <c r="Y109" s="1331"/>
      <c r="Z109" s="1331"/>
      <c r="AA109" s="1331"/>
      <c r="AB109" s="1331"/>
      <c r="AC109" s="1331"/>
      <c r="AD109" s="1331"/>
      <c r="AE109" s="1331"/>
      <c r="AF109" s="1331"/>
      <c r="AG109" s="1331"/>
      <c r="AH109" s="1334"/>
      <c r="AI109" s="1509"/>
      <c r="AJ109" s="1331"/>
      <c r="AK109" s="1331">
        <v>-3079750</v>
      </c>
      <c r="AL109" s="1331"/>
      <c r="AM109" s="1331"/>
      <c r="AN109" s="1331"/>
      <c r="AO109" s="1331"/>
      <c r="AP109" s="1331"/>
      <c r="AQ109" s="1331"/>
      <c r="AR109" s="1331"/>
      <c r="AS109" s="1331"/>
      <c r="AT109" s="1331"/>
      <c r="AU109" s="1334"/>
    </row>
    <row r="110" spans="1:47" ht="51.75" customHeight="1" x14ac:dyDescent="0.2">
      <c r="A110" s="1545" t="s">
        <v>1604</v>
      </c>
      <c r="B110" s="1493" t="s">
        <v>1700</v>
      </c>
      <c r="C110" s="1169" t="s">
        <v>2416</v>
      </c>
      <c r="D110" s="1331"/>
      <c r="E110" s="1331"/>
      <c r="F110" s="1331"/>
      <c r="G110" s="1331"/>
      <c r="H110" s="1332"/>
      <c r="I110" s="1332"/>
      <c r="J110" s="1332"/>
      <c r="K110" s="1332"/>
      <c r="L110" s="1332"/>
      <c r="M110" s="1507"/>
      <c r="N110" s="1502"/>
      <c r="O110" s="1332"/>
      <c r="P110" s="1331">
        <v>-482600</v>
      </c>
      <c r="Q110" s="1331"/>
      <c r="R110" s="1331"/>
      <c r="S110" s="1331"/>
      <c r="T110" s="1331"/>
      <c r="U110" s="1331"/>
      <c r="V110" s="1331"/>
      <c r="W110" s="1334"/>
      <c r="X110" s="1509"/>
      <c r="Y110" s="1331"/>
      <c r="Z110" s="1331"/>
      <c r="AA110" s="1331"/>
      <c r="AB110" s="1331"/>
      <c r="AC110" s="1331"/>
      <c r="AD110" s="1331"/>
      <c r="AE110" s="1331"/>
      <c r="AF110" s="1331"/>
      <c r="AG110" s="1331"/>
      <c r="AH110" s="1334"/>
      <c r="AI110" s="1509"/>
      <c r="AJ110" s="1331"/>
      <c r="AK110" s="1331"/>
      <c r="AL110" s="1331"/>
      <c r="AM110" s="1331"/>
      <c r="AN110" s="1331"/>
      <c r="AO110" s="1331"/>
      <c r="AP110" s="1331"/>
      <c r="AQ110" s="1331"/>
      <c r="AR110" s="1331"/>
      <c r="AS110" s="1331"/>
      <c r="AT110" s="1331"/>
      <c r="AU110" s="1334"/>
    </row>
    <row r="111" spans="1:47" ht="55.5" customHeight="1" x14ac:dyDescent="0.2">
      <c r="A111" s="1545" t="s">
        <v>1608</v>
      </c>
      <c r="B111" s="1493" t="s">
        <v>1704</v>
      </c>
      <c r="C111" s="1169" t="s">
        <v>2422</v>
      </c>
      <c r="D111" s="1331"/>
      <c r="E111" s="1331"/>
      <c r="F111" s="1331"/>
      <c r="G111" s="1331"/>
      <c r="H111" s="1332"/>
      <c r="I111" s="1332"/>
      <c r="J111" s="1332"/>
      <c r="K111" s="1332"/>
      <c r="L111" s="1332"/>
      <c r="M111" s="1507"/>
      <c r="N111" s="1502"/>
      <c r="O111" s="1332"/>
      <c r="P111" s="1331">
        <v>-624710</v>
      </c>
      <c r="Q111" s="1331"/>
      <c r="R111" s="1331"/>
      <c r="S111" s="1331"/>
      <c r="T111" s="1331"/>
      <c r="U111" s="1331"/>
      <c r="V111" s="1331"/>
      <c r="W111" s="1334"/>
      <c r="X111" s="1509"/>
      <c r="Y111" s="1331"/>
      <c r="Z111" s="1331"/>
      <c r="AA111" s="1331"/>
      <c r="AB111" s="1331"/>
      <c r="AC111" s="1331"/>
      <c r="AD111" s="1331"/>
      <c r="AE111" s="1331"/>
      <c r="AF111" s="1331"/>
      <c r="AG111" s="1331"/>
      <c r="AH111" s="1334"/>
      <c r="AI111" s="1509"/>
      <c r="AJ111" s="1331"/>
      <c r="AK111" s="1331"/>
      <c r="AL111" s="1331"/>
      <c r="AM111" s="1331"/>
      <c r="AN111" s="1331"/>
      <c r="AO111" s="1331"/>
      <c r="AP111" s="1331"/>
      <c r="AQ111" s="1331"/>
      <c r="AR111" s="1331"/>
      <c r="AS111" s="1331"/>
      <c r="AT111" s="1331"/>
      <c r="AU111" s="1334"/>
    </row>
    <row r="112" spans="1:47" ht="43.5" customHeight="1" x14ac:dyDescent="0.2">
      <c r="A112" s="1545" t="s">
        <v>1611</v>
      </c>
      <c r="B112" s="1493" t="s">
        <v>1707</v>
      </c>
      <c r="C112" s="1169" t="s">
        <v>2426</v>
      </c>
      <c r="D112" s="1331"/>
      <c r="E112" s="1331"/>
      <c r="F112" s="1331"/>
      <c r="G112" s="1331"/>
      <c r="H112" s="1332"/>
      <c r="I112" s="1332"/>
      <c r="J112" s="1332"/>
      <c r="K112" s="1332"/>
      <c r="L112" s="1332"/>
      <c r="M112" s="1507"/>
      <c r="N112" s="1502"/>
      <c r="O112" s="1332"/>
      <c r="P112" s="1331"/>
      <c r="Q112" s="1331"/>
      <c r="R112" s="1331"/>
      <c r="S112" s="1331"/>
      <c r="T112" s="1331"/>
      <c r="U112" s="1331"/>
      <c r="V112" s="1331"/>
      <c r="W112" s="1334"/>
      <c r="X112" s="1509"/>
      <c r="Y112" s="1331"/>
      <c r="Z112" s="1331"/>
      <c r="AA112" s="1331"/>
      <c r="AB112" s="1331"/>
      <c r="AC112" s="1331"/>
      <c r="AD112" s="1331"/>
      <c r="AE112" s="1331"/>
      <c r="AF112" s="1331"/>
      <c r="AG112" s="1331"/>
      <c r="AH112" s="1334"/>
      <c r="AI112" s="1509"/>
      <c r="AJ112" s="1331"/>
      <c r="AK112" s="1331"/>
      <c r="AL112" s="1331"/>
      <c r="AM112" s="1331"/>
      <c r="AN112" s="1331"/>
      <c r="AO112" s="1331"/>
      <c r="AP112" s="1331"/>
      <c r="AQ112" s="1331"/>
      <c r="AR112" s="1331">
        <v>-1651000</v>
      </c>
      <c r="AS112" s="1331"/>
      <c r="AT112" s="1331"/>
      <c r="AU112" s="1334"/>
    </row>
    <row r="113" spans="1:47" ht="68.25" customHeight="1" x14ac:dyDescent="0.2">
      <c r="A113" s="1545" t="s">
        <v>1612</v>
      </c>
      <c r="B113" s="1493" t="s">
        <v>1708</v>
      </c>
      <c r="C113" s="1169" t="s">
        <v>2427</v>
      </c>
      <c r="D113" s="1331"/>
      <c r="E113" s="1331"/>
      <c r="F113" s="1331"/>
      <c r="G113" s="1331">
        <v>-2131953</v>
      </c>
      <c r="H113" s="1332"/>
      <c r="I113" s="1332"/>
      <c r="J113" s="1332"/>
      <c r="K113" s="1332"/>
      <c r="L113" s="1332"/>
      <c r="M113" s="1507"/>
      <c r="N113" s="1502"/>
      <c r="O113" s="1332"/>
      <c r="P113" s="1331"/>
      <c r="Q113" s="1331"/>
      <c r="R113" s="1331"/>
      <c r="S113" s="1331"/>
      <c r="T113" s="1331"/>
      <c r="U113" s="1331"/>
      <c r="V113" s="1331"/>
      <c r="W113" s="1334"/>
      <c r="X113" s="1509"/>
      <c r="Y113" s="1331"/>
      <c r="Z113" s="1331"/>
      <c r="AA113" s="1331"/>
      <c r="AB113" s="1331"/>
      <c r="AC113" s="1331"/>
      <c r="AD113" s="1331"/>
      <c r="AE113" s="1331"/>
      <c r="AF113" s="1331"/>
      <c r="AG113" s="1331"/>
      <c r="AH113" s="1334"/>
      <c r="AI113" s="1509"/>
      <c r="AJ113" s="1331"/>
      <c r="AK113" s="1331"/>
      <c r="AL113" s="1331"/>
      <c r="AM113" s="1331"/>
      <c r="AN113" s="1331"/>
      <c r="AO113" s="1331"/>
      <c r="AP113" s="1331"/>
      <c r="AQ113" s="1331"/>
      <c r="AR113" s="1331"/>
      <c r="AS113" s="1331"/>
      <c r="AT113" s="1331"/>
      <c r="AU113" s="1334"/>
    </row>
    <row r="114" spans="1:47" ht="54" customHeight="1" x14ac:dyDescent="0.2">
      <c r="A114" s="1545" t="s">
        <v>1613</v>
      </c>
      <c r="B114" s="1493" t="s">
        <v>1709</v>
      </c>
      <c r="C114" s="1169" t="s">
        <v>2428</v>
      </c>
      <c r="D114" s="1331"/>
      <c r="E114" s="1331"/>
      <c r="F114" s="1331"/>
      <c r="G114" s="1331"/>
      <c r="H114" s="1332"/>
      <c r="I114" s="1332"/>
      <c r="J114" s="1332"/>
      <c r="K114" s="1332"/>
      <c r="L114" s="1332"/>
      <c r="M114" s="1507"/>
      <c r="N114" s="1502"/>
      <c r="O114" s="1332"/>
      <c r="P114" s="1331"/>
      <c r="Q114" s="1331"/>
      <c r="R114" s="1331"/>
      <c r="S114" s="1331"/>
      <c r="T114" s="1331"/>
      <c r="U114" s="1331"/>
      <c r="V114" s="1331"/>
      <c r="W114" s="1334"/>
      <c r="X114" s="1509"/>
      <c r="Y114" s="1331"/>
      <c r="Z114" s="1331"/>
      <c r="AA114" s="1331"/>
      <c r="AB114" s="1331"/>
      <c r="AC114" s="1331"/>
      <c r="AD114" s="1331"/>
      <c r="AE114" s="1331"/>
      <c r="AF114" s="1331"/>
      <c r="AG114" s="1331"/>
      <c r="AH114" s="1334">
        <v>-3561547</v>
      </c>
      <c r="AI114" s="1509"/>
      <c r="AJ114" s="1331"/>
      <c r="AK114" s="1331"/>
      <c r="AL114" s="1331"/>
      <c r="AM114" s="1331"/>
      <c r="AN114" s="1331"/>
      <c r="AO114" s="1331"/>
      <c r="AP114" s="1331"/>
      <c r="AQ114" s="1331"/>
      <c r="AR114" s="1331"/>
      <c r="AS114" s="1331"/>
      <c r="AT114" s="1331"/>
      <c r="AU114" s="1334"/>
    </row>
    <row r="115" spans="1:47" ht="70.5" customHeight="1" x14ac:dyDescent="0.2">
      <c r="A115" s="1545" t="s">
        <v>1614</v>
      </c>
      <c r="B115" s="1493" t="s">
        <v>1710</v>
      </c>
      <c r="C115" s="1169" t="s">
        <v>2429</v>
      </c>
      <c r="D115" s="1331"/>
      <c r="E115" s="1331">
        <v>-591500</v>
      </c>
      <c r="F115" s="1331"/>
      <c r="G115" s="1331"/>
      <c r="H115" s="1332"/>
      <c r="I115" s="1332"/>
      <c r="J115" s="1332"/>
      <c r="K115" s="1332"/>
      <c r="L115" s="1332"/>
      <c r="M115" s="1507"/>
      <c r="N115" s="1502"/>
      <c r="O115" s="1332"/>
      <c r="P115" s="1331"/>
      <c r="Q115" s="1331"/>
      <c r="R115" s="1331"/>
      <c r="S115" s="1331"/>
      <c r="T115" s="1331"/>
      <c r="U115" s="1331"/>
      <c r="V115" s="1331"/>
      <c r="W115" s="1334"/>
      <c r="X115" s="1509"/>
      <c r="Y115" s="1331"/>
      <c r="Z115" s="1331"/>
      <c r="AA115" s="1331"/>
      <c r="AB115" s="1331"/>
      <c r="AC115" s="1331"/>
      <c r="AD115" s="1331"/>
      <c r="AE115" s="1331"/>
      <c r="AF115" s="1331"/>
      <c r="AG115" s="1331"/>
      <c r="AH115" s="1334"/>
      <c r="AI115" s="1509"/>
      <c r="AJ115" s="1331"/>
      <c r="AK115" s="1331"/>
      <c r="AL115" s="1331"/>
      <c r="AM115" s="1331"/>
      <c r="AN115" s="1331"/>
      <c r="AO115" s="1331"/>
      <c r="AP115" s="1331"/>
      <c r="AQ115" s="1331"/>
      <c r="AR115" s="1331"/>
      <c r="AS115" s="1331"/>
      <c r="AT115" s="1331"/>
      <c r="AU115" s="1334"/>
    </row>
    <row r="116" spans="1:47" ht="43.5" customHeight="1" x14ac:dyDescent="0.2">
      <c r="A116" s="1545" t="s">
        <v>1616</v>
      </c>
      <c r="B116" s="1493" t="s">
        <v>1712</v>
      </c>
      <c r="C116" s="1169" t="s">
        <v>2431</v>
      </c>
      <c r="D116" s="1331"/>
      <c r="E116" s="1331"/>
      <c r="F116" s="1331"/>
      <c r="G116" s="1331"/>
      <c r="H116" s="1332"/>
      <c r="I116" s="1332"/>
      <c r="J116" s="1332"/>
      <c r="K116" s="1332"/>
      <c r="L116" s="1332"/>
      <c r="M116" s="1507"/>
      <c r="N116" s="1502"/>
      <c r="O116" s="1332"/>
      <c r="P116" s="1331">
        <v>-2525822</v>
      </c>
      <c r="Q116" s="1331"/>
      <c r="R116" s="1331"/>
      <c r="S116" s="1331"/>
      <c r="T116" s="1331"/>
      <c r="U116" s="1331"/>
      <c r="V116" s="1331"/>
      <c r="W116" s="1334"/>
      <c r="X116" s="1509"/>
      <c r="Y116" s="1331"/>
      <c r="Z116" s="1331"/>
      <c r="AA116" s="1331"/>
      <c r="AB116" s="1331"/>
      <c r="AC116" s="1331"/>
      <c r="AD116" s="1331"/>
      <c r="AE116" s="1331"/>
      <c r="AF116" s="1331"/>
      <c r="AG116" s="1331"/>
      <c r="AH116" s="1334"/>
      <c r="AI116" s="1509"/>
      <c r="AJ116" s="1331"/>
      <c r="AK116" s="1331"/>
      <c r="AL116" s="1331"/>
      <c r="AM116" s="1331"/>
      <c r="AN116" s="1331"/>
      <c r="AO116" s="1331"/>
      <c r="AP116" s="1331"/>
      <c r="AQ116" s="1331"/>
      <c r="AR116" s="1331"/>
      <c r="AS116" s="1331"/>
      <c r="AT116" s="1331"/>
      <c r="AU116" s="1334"/>
    </row>
    <row r="117" spans="1:47" ht="43.5" customHeight="1" x14ac:dyDescent="0.2">
      <c r="A117" s="1545" t="s">
        <v>1617</v>
      </c>
      <c r="B117" s="1493" t="s">
        <v>1713</v>
      </c>
      <c r="C117" s="1169" t="s">
        <v>2434</v>
      </c>
      <c r="D117" s="1331"/>
      <c r="E117" s="1331"/>
      <c r="F117" s="1331"/>
      <c r="G117" s="1331"/>
      <c r="H117" s="1332"/>
      <c r="I117" s="1332"/>
      <c r="J117" s="1332"/>
      <c r="K117" s="1332"/>
      <c r="L117" s="1332"/>
      <c r="M117" s="1507"/>
      <c r="N117" s="1502"/>
      <c r="O117" s="1332"/>
      <c r="P117" s="1331"/>
      <c r="Q117" s="1331"/>
      <c r="R117" s="1331"/>
      <c r="S117" s="1331"/>
      <c r="T117" s="1331"/>
      <c r="U117" s="1331"/>
      <c r="V117" s="1331"/>
      <c r="W117" s="1334"/>
      <c r="X117" s="1509"/>
      <c r="Y117" s="1331"/>
      <c r="Z117" s="1331"/>
      <c r="AA117" s="1331"/>
      <c r="AB117" s="1331"/>
      <c r="AC117" s="1331"/>
      <c r="AD117" s="1331"/>
      <c r="AE117" s="1331"/>
      <c r="AF117" s="1331"/>
      <c r="AG117" s="1331"/>
      <c r="AH117" s="1334"/>
      <c r="AI117" s="1509"/>
      <c r="AJ117" s="1331"/>
      <c r="AK117" s="1331">
        <v>-19045390</v>
      </c>
      <c r="AL117" s="1331"/>
      <c r="AM117" s="1331"/>
      <c r="AN117" s="1331"/>
      <c r="AO117" s="1331"/>
      <c r="AP117" s="1331"/>
      <c r="AQ117" s="1331"/>
      <c r="AR117" s="1331"/>
      <c r="AS117" s="1331"/>
      <c r="AT117" s="1331"/>
      <c r="AU117" s="1334"/>
    </row>
    <row r="118" spans="1:47" ht="53.25" customHeight="1" x14ac:dyDescent="0.2">
      <c r="A118" s="1545" t="s">
        <v>1618</v>
      </c>
      <c r="B118" s="1493" t="s">
        <v>2015</v>
      </c>
      <c r="C118" s="1169" t="s">
        <v>2436</v>
      </c>
      <c r="D118" s="1331"/>
      <c r="E118" s="1331"/>
      <c r="F118" s="1331"/>
      <c r="G118" s="1331"/>
      <c r="H118" s="1332"/>
      <c r="I118" s="1332"/>
      <c r="J118" s="1332"/>
      <c r="K118" s="1332"/>
      <c r="L118" s="1332"/>
      <c r="M118" s="1507"/>
      <c r="N118" s="1502"/>
      <c r="O118" s="1332"/>
      <c r="P118" s="1331"/>
      <c r="Q118" s="1331"/>
      <c r="R118" s="1331"/>
      <c r="S118" s="1331"/>
      <c r="T118" s="1331"/>
      <c r="U118" s="1331"/>
      <c r="V118" s="1331"/>
      <c r="W118" s="1334"/>
      <c r="X118" s="1509"/>
      <c r="Y118" s="1331"/>
      <c r="Z118" s="1331"/>
      <c r="AA118" s="1331"/>
      <c r="AB118" s="1331"/>
      <c r="AC118" s="1331"/>
      <c r="AD118" s="1331"/>
      <c r="AE118" s="1331"/>
      <c r="AF118" s="1331"/>
      <c r="AG118" s="1331"/>
      <c r="AH118" s="1334"/>
      <c r="AI118" s="1509">
        <v>-3307476</v>
      </c>
      <c r="AJ118" s="1331"/>
      <c r="AK118" s="1331"/>
      <c r="AL118" s="1331"/>
      <c r="AM118" s="1331"/>
      <c r="AN118" s="1331"/>
      <c r="AO118" s="1331"/>
      <c r="AP118" s="1331"/>
      <c r="AQ118" s="1331"/>
      <c r="AR118" s="1331"/>
      <c r="AS118" s="1331"/>
      <c r="AT118" s="1331"/>
      <c r="AU118" s="1334"/>
    </row>
    <row r="119" spans="1:47" ht="48.75" customHeight="1" x14ac:dyDescent="0.2">
      <c r="A119" s="1545" t="s">
        <v>1622</v>
      </c>
      <c r="B119" s="1493" t="s">
        <v>2323</v>
      </c>
      <c r="C119" s="1169" t="s">
        <v>2442</v>
      </c>
      <c r="D119" s="1331"/>
      <c r="E119" s="1331"/>
      <c r="F119" s="1331"/>
      <c r="G119" s="1331"/>
      <c r="H119" s="1332"/>
      <c r="I119" s="1332"/>
      <c r="J119" s="1332"/>
      <c r="K119" s="1332"/>
      <c r="L119" s="1332"/>
      <c r="M119" s="1507"/>
      <c r="N119" s="1502"/>
      <c r="O119" s="1332"/>
      <c r="P119" s="1331"/>
      <c r="Q119" s="1331"/>
      <c r="R119" s="1331"/>
      <c r="S119" s="1331"/>
      <c r="T119" s="1331"/>
      <c r="U119" s="1331"/>
      <c r="V119" s="1331"/>
      <c r="W119" s="1334"/>
      <c r="X119" s="1509"/>
      <c r="Y119" s="1331"/>
      <c r="Z119" s="1331"/>
      <c r="AA119" s="1331"/>
      <c r="AB119" s="1331"/>
      <c r="AC119" s="1331"/>
      <c r="AD119" s="1331"/>
      <c r="AE119" s="1331"/>
      <c r="AF119" s="1331"/>
      <c r="AG119" s="1331"/>
      <c r="AH119" s="1334"/>
      <c r="AI119" s="1509"/>
      <c r="AJ119" s="1331"/>
      <c r="AK119" s="1331"/>
      <c r="AL119" s="1331"/>
      <c r="AM119" s="1331"/>
      <c r="AN119" s="1331"/>
      <c r="AO119" s="1331">
        <v>7749312</v>
      </c>
      <c r="AP119" s="1331"/>
      <c r="AQ119" s="1331"/>
      <c r="AR119" s="1331"/>
      <c r="AS119" s="1331"/>
      <c r="AT119" s="1331"/>
      <c r="AU119" s="1334"/>
    </row>
    <row r="120" spans="1:47" ht="35.25" customHeight="1" x14ac:dyDescent="0.2">
      <c r="A120" s="1545" t="s">
        <v>1623</v>
      </c>
      <c r="B120" s="1493" t="s">
        <v>2324</v>
      </c>
      <c r="C120" s="1169" t="s">
        <v>2445</v>
      </c>
      <c r="D120" s="1331"/>
      <c r="E120" s="1331"/>
      <c r="F120" s="1331"/>
      <c r="G120" s="1331"/>
      <c r="H120" s="1332"/>
      <c r="I120" s="1332"/>
      <c r="J120" s="1332"/>
      <c r="K120" s="1332"/>
      <c r="L120" s="1332"/>
      <c r="M120" s="1507"/>
      <c r="N120" s="1502"/>
      <c r="O120" s="1332"/>
      <c r="P120" s="1331"/>
      <c r="Q120" s="1331"/>
      <c r="R120" s="1331"/>
      <c r="S120" s="1331"/>
      <c r="T120" s="1331"/>
      <c r="U120" s="1331"/>
      <c r="V120" s="1331"/>
      <c r="W120" s="1334"/>
      <c r="X120" s="1509"/>
      <c r="Y120" s="1331"/>
      <c r="Z120" s="1331"/>
      <c r="AA120" s="1331"/>
      <c r="AB120" s="1331"/>
      <c r="AC120" s="1331"/>
      <c r="AD120" s="1331"/>
      <c r="AE120" s="1331"/>
      <c r="AF120" s="1331"/>
      <c r="AG120" s="1331"/>
      <c r="AH120" s="1334"/>
      <c r="AI120" s="1509"/>
      <c r="AJ120" s="1331"/>
      <c r="AK120" s="1331"/>
      <c r="AL120" s="1331"/>
      <c r="AM120" s="1331"/>
      <c r="AN120" s="1331"/>
      <c r="AO120" s="1331"/>
      <c r="AP120" s="1331">
        <v>1484000</v>
      </c>
      <c r="AQ120" s="1331"/>
      <c r="AR120" s="1331"/>
      <c r="AS120" s="1331"/>
      <c r="AT120" s="1331"/>
      <c r="AU120" s="1334"/>
    </row>
    <row r="121" spans="1:47" ht="36.75" customHeight="1" x14ac:dyDescent="0.2">
      <c r="A121" s="1545" t="s">
        <v>1624</v>
      </c>
      <c r="B121" s="1493" t="s">
        <v>2446</v>
      </c>
      <c r="C121" s="1169" t="s">
        <v>2447</v>
      </c>
      <c r="D121" s="1331"/>
      <c r="E121" s="1331"/>
      <c r="F121" s="1331"/>
      <c r="G121" s="1331"/>
      <c r="H121" s="1332"/>
      <c r="I121" s="1332"/>
      <c r="J121" s="1332"/>
      <c r="K121" s="1332"/>
      <c r="L121" s="1332"/>
      <c r="M121" s="1507"/>
      <c r="N121" s="1502"/>
      <c r="O121" s="1332"/>
      <c r="P121" s="1331"/>
      <c r="Q121" s="1331"/>
      <c r="R121" s="1331"/>
      <c r="S121" s="1331"/>
      <c r="T121" s="1331"/>
      <c r="U121" s="1331"/>
      <c r="V121" s="1331"/>
      <c r="W121" s="1334"/>
      <c r="X121" s="1509"/>
      <c r="Y121" s="1331"/>
      <c r="Z121" s="1331"/>
      <c r="AA121" s="1331"/>
      <c r="AB121" s="1331"/>
      <c r="AC121" s="1331"/>
      <c r="AD121" s="1331"/>
      <c r="AE121" s="1331"/>
      <c r="AF121" s="1331"/>
      <c r="AG121" s="1331"/>
      <c r="AH121" s="1334"/>
      <c r="AI121" s="1509"/>
      <c r="AJ121" s="1331"/>
      <c r="AK121" s="1331"/>
      <c r="AL121" s="1331"/>
      <c r="AM121" s="1331"/>
      <c r="AN121" s="1331"/>
      <c r="AO121" s="1331"/>
      <c r="AP121" s="1331">
        <v>60902</v>
      </c>
      <c r="AQ121" s="1331"/>
      <c r="AR121" s="1331"/>
      <c r="AS121" s="1331"/>
      <c r="AT121" s="1331"/>
      <c r="AU121" s="1334"/>
    </row>
    <row r="122" spans="1:47" ht="35.25" customHeight="1" x14ac:dyDescent="0.2">
      <c r="A122" s="1546" t="s">
        <v>1625</v>
      </c>
      <c r="B122" s="1490" t="s">
        <v>2449</v>
      </c>
      <c r="C122" s="1474" t="s">
        <v>2450</v>
      </c>
      <c r="D122" s="1331"/>
      <c r="E122" s="1331"/>
      <c r="F122" s="1331"/>
      <c r="G122" s="1331"/>
      <c r="H122" s="1332"/>
      <c r="I122" s="1332"/>
      <c r="J122" s="1332"/>
      <c r="K122" s="1332"/>
      <c r="L122" s="1332"/>
      <c r="M122" s="1507"/>
      <c r="N122" s="1502"/>
      <c r="O122" s="1332"/>
      <c r="P122" s="1331"/>
      <c r="Q122" s="1331"/>
      <c r="R122" s="1331"/>
      <c r="S122" s="1331"/>
      <c r="T122" s="1331"/>
      <c r="U122" s="1331"/>
      <c r="V122" s="1331"/>
      <c r="W122" s="1334"/>
      <c r="X122" s="1509"/>
      <c r="Y122" s="1331"/>
      <c r="Z122" s="1331"/>
      <c r="AA122" s="1331"/>
      <c r="AB122" s="1331"/>
      <c r="AC122" s="1331"/>
      <c r="AD122" s="1331"/>
      <c r="AE122" s="1331"/>
      <c r="AF122" s="1331"/>
      <c r="AG122" s="1331"/>
      <c r="AH122" s="1334"/>
      <c r="AI122" s="1509"/>
      <c r="AJ122" s="1331"/>
      <c r="AK122" s="1331"/>
      <c r="AL122" s="1331"/>
      <c r="AM122" s="1331"/>
      <c r="AN122" s="1331"/>
      <c r="AO122" s="1331"/>
      <c r="AP122" s="1331">
        <v>308000</v>
      </c>
      <c r="AQ122" s="1331"/>
      <c r="AR122" s="1331"/>
      <c r="AS122" s="1331"/>
      <c r="AT122" s="1331"/>
      <c r="AU122" s="1334"/>
    </row>
    <row r="123" spans="1:47" ht="36.75" customHeight="1" x14ac:dyDescent="0.2">
      <c r="A123" s="1545" t="s">
        <v>1626</v>
      </c>
      <c r="B123" s="1493" t="s">
        <v>2451</v>
      </c>
      <c r="C123" s="1169" t="s">
        <v>2452</v>
      </c>
      <c r="D123" s="1331"/>
      <c r="E123" s="1331"/>
      <c r="F123" s="1331"/>
      <c r="G123" s="1331"/>
      <c r="H123" s="1332"/>
      <c r="I123" s="1332"/>
      <c r="J123" s="1332"/>
      <c r="K123" s="1332"/>
      <c r="L123" s="1332"/>
      <c r="M123" s="1507"/>
      <c r="N123" s="1502"/>
      <c r="O123" s="1332"/>
      <c r="P123" s="1331"/>
      <c r="Q123" s="1331"/>
      <c r="R123" s="1331"/>
      <c r="S123" s="1331"/>
      <c r="T123" s="1331"/>
      <c r="U123" s="1331"/>
      <c r="V123" s="1331"/>
      <c r="W123" s="1334"/>
      <c r="X123" s="1509"/>
      <c r="Y123" s="1331"/>
      <c r="Z123" s="1331"/>
      <c r="AA123" s="1331"/>
      <c r="AB123" s="1331"/>
      <c r="AC123" s="1331"/>
      <c r="AD123" s="1331"/>
      <c r="AE123" s="1331"/>
      <c r="AF123" s="1331"/>
      <c r="AG123" s="1331"/>
      <c r="AH123" s="1334"/>
      <c r="AI123" s="1509"/>
      <c r="AJ123" s="1331"/>
      <c r="AK123" s="1331"/>
      <c r="AL123" s="1331"/>
      <c r="AM123" s="1331"/>
      <c r="AN123" s="1331"/>
      <c r="AO123" s="1331"/>
      <c r="AP123" s="1331">
        <v>800000</v>
      </c>
      <c r="AQ123" s="1331"/>
      <c r="AR123" s="1331"/>
      <c r="AS123" s="1331"/>
      <c r="AT123" s="1331"/>
      <c r="AU123" s="1334"/>
    </row>
    <row r="124" spans="1:47" ht="31.5" customHeight="1" x14ac:dyDescent="0.2">
      <c r="A124" s="1545" t="s">
        <v>1628</v>
      </c>
      <c r="B124" s="1493" t="s">
        <v>2455</v>
      </c>
      <c r="C124" s="1169" t="s">
        <v>2456</v>
      </c>
      <c r="D124" s="1331"/>
      <c r="E124" s="1331"/>
      <c r="F124" s="1331"/>
      <c r="G124" s="1331"/>
      <c r="H124" s="1332"/>
      <c r="I124" s="1332"/>
      <c r="J124" s="1332"/>
      <c r="K124" s="1332"/>
      <c r="L124" s="1332"/>
      <c r="M124" s="1507"/>
      <c r="N124" s="1502"/>
      <c r="O124" s="1332"/>
      <c r="P124" s="1331"/>
      <c r="Q124" s="1331"/>
      <c r="R124" s="1331"/>
      <c r="S124" s="1331"/>
      <c r="T124" s="1331"/>
      <c r="U124" s="1331"/>
      <c r="V124" s="1331"/>
      <c r="W124" s="1334"/>
      <c r="X124" s="1509"/>
      <c r="Y124" s="1331"/>
      <c r="Z124" s="1331"/>
      <c r="AA124" s="1331"/>
      <c r="AB124" s="1331"/>
      <c r="AC124" s="1331"/>
      <c r="AD124" s="1331"/>
      <c r="AE124" s="1331"/>
      <c r="AF124" s="1331"/>
      <c r="AG124" s="1331"/>
      <c r="AH124" s="1334"/>
      <c r="AI124" s="1509"/>
      <c r="AJ124" s="1331"/>
      <c r="AK124" s="1331"/>
      <c r="AL124" s="1331"/>
      <c r="AM124" s="1331"/>
      <c r="AN124" s="1331"/>
      <c r="AO124" s="1331"/>
      <c r="AP124" s="1331"/>
      <c r="AQ124" s="1331"/>
      <c r="AR124" s="1331">
        <v>40000000</v>
      </c>
      <c r="AS124" s="1331"/>
      <c r="AT124" s="1331"/>
      <c r="AU124" s="1334"/>
    </row>
    <row r="125" spans="1:47" ht="45" customHeight="1" x14ac:dyDescent="0.2">
      <c r="A125" s="1545" t="s">
        <v>1629</v>
      </c>
      <c r="B125" s="1493" t="s">
        <v>2459</v>
      </c>
      <c r="C125" s="1169" t="s">
        <v>2460</v>
      </c>
      <c r="D125" s="1331"/>
      <c r="E125" s="1331"/>
      <c r="F125" s="1331"/>
      <c r="G125" s="1331"/>
      <c r="H125" s="1332"/>
      <c r="I125" s="1332"/>
      <c r="J125" s="1332"/>
      <c r="K125" s="1332"/>
      <c r="L125" s="1332"/>
      <c r="M125" s="1507"/>
      <c r="N125" s="1502"/>
      <c r="O125" s="1332"/>
      <c r="P125" s="1331">
        <v>-165000</v>
      </c>
      <c r="Q125" s="1331"/>
      <c r="R125" s="1331"/>
      <c r="S125" s="1331"/>
      <c r="T125" s="1331"/>
      <c r="U125" s="1331"/>
      <c r="V125" s="1331"/>
      <c r="W125" s="1334"/>
      <c r="X125" s="1509"/>
      <c r="Y125" s="1331"/>
      <c r="Z125" s="1331"/>
      <c r="AA125" s="1331"/>
      <c r="AB125" s="1331"/>
      <c r="AC125" s="1331"/>
      <c r="AD125" s="1331"/>
      <c r="AE125" s="1331"/>
      <c r="AF125" s="1331"/>
      <c r="AG125" s="1331"/>
      <c r="AH125" s="1334"/>
      <c r="AI125" s="1509"/>
      <c r="AJ125" s="1331"/>
      <c r="AK125" s="1331"/>
      <c r="AL125" s="1331"/>
      <c r="AM125" s="1331"/>
      <c r="AN125" s="1331"/>
      <c r="AO125" s="1331"/>
      <c r="AP125" s="1331"/>
      <c r="AQ125" s="1331"/>
      <c r="AR125" s="1331"/>
      <c r="AS125" s="1331"/>
      <c r="AT125" s="1331"/>
      <c r="AU125" s="1334"/>
    </row>
    <row r="126" spans="1:47" ht="35.25" customHeight="1" x14ac:dyDescent="0.2">
      <c r="A126" s="1545" t="s">
        <v>1630</v>
      </c>
      <c r="B126" s="1493" t="s">
        <v>2461</v>
      </c>
      <c r="C126" s="1169" t="s">
        <v>2462</v>
      </c>
      <c r="D126" s="1331"/>
      <c r="E126" s="1331"/>
      <c r="F126" s="1331"/>
      <c r="G126" s="1331"/>
      <c r="H126" s="1332"/>
      <c r="I126" s="1332"/>
      <c r="J126" s="1332"/>
      <c r="K126" s="1332"/>
      <c r="L126" s="1332"/>
      <c r="M126" s="1507"/>
      <c r="N126" s="1502"/>
      <c r="O126" s="1332"/>
      <c r="P126" s="1331"/>
      <c r="Q126" s="1331"/>
      <c r="R126" s="1331"/>
      <c r="S126" s="1331"/>
      <c r="T126" s="1331"/>
      <c r="U126" s="1331"/>
      <c r="V126" s="1331"/>
      <c r="W126" s="1334"/>
      <c r="X126" s="1509"/>
      <c r="Y126" s="1331"/>
      <c r="Z126" s="1331"/>
      <c r="AA126" s="1331"/>
      <c r="AB126" s="1331"/>
      <c r="AC126" s="1331"/>
      <c r="AD126" s="1331"/>
      <c r="AE126" s="1331"/>
      <c r="AF126" s="1331"/>
      <c r="AG126" s="1331"/>
      <c r="AH126" s="1334"/>
      <c r="AI126" s="1509"/>
      <c r="AJ126" s="1331"/>
      <c r="AK126" s="1331"/>
      <c r="AL126" s="1331"/>
      <c r="AM126" s="1331"/>
      <c r="AN126" s="1331"/>
      <c r="AO126" s="1331"/>
      <c r="AP126" s="1331"/>
      <c r="AQ126" s="1331"/>
      <c r="AR126" s="1331">
        <v>27586</v>
      </c>
      <c r="AS126" s="1331"/>
      <c r="AT126" s="1331"/>
      <c r="AU126" s="1334"/>
    </row>
    <row r="127" spans="1:47" ht="43.5" customHeight="1" x14ac:dyDescent="0.2">
      <c r="A127" s="1545" t="s">
        <v>1631</v>
      </c>
      <c r="B127" s="1493" t="s">
        <v>2463</v>
      </c>
      <c r="C127" s="1169" t="s">
        <v>2464</v>
      </c>
      <c r="D127" s="1331"/>
      <c r="E127" s="1331"/>
      <c r="F127" s="1331"/>
      <c r="G127" s="1331"/>
      <c r="H127" s="1332"/>
      <c r="I127" s="1332"/>
      <c r="J127" s="1332"/>
      <c r="K127" s="1332"/>
      <c r="L127" s="1332"/>
      <c r="M127" s="1507"/>
      <c r="N127" s="1502"/>
      <c r="O127" s="1332"/>
      <c r="P127" s="1331"/>
      <c r="Q127" s="1331"/>
      <c r="R127" s="1331"/>
      <c r="S127" s="1331"/>
      <c r="T127" s="1331"/>
      <c r="U127" s="1331"/>
      <c r="V127" s="1331"/>
      <c r="W127" s="1334">
        <v>2428666</v>
      </c>
      <c r="X127" s="1509"/>
      <c r="Y127" s="1331"/>
      <c r="Z127" s="1331"/>
      <c r="AA127" s="1331"/>
      <c r="AB127" s="1331"/>
      <c r="AC127" s="1331"/>
      <c r="AD127" s="1331"/>
      <c r="AE127" s="1331"/>
      <c r="AF127" s="1331"/>
      <c r="AG127" s="1331"/>
      <c r="AH127" s="1334"/>
      <c r="AI127" s="1509"/>
      <c r="AJ127" s="1331"/>
      <c r="AK127" s="1331"/>
      <c r="AL127" s="1331"/>
      <c r="AM127" s="1331"/>
      <c r="AN127" s="1331"/>
      <c r="AO127" s="1331"/>
      <c r="AP127" s="1331"/>
      <c r="AQ127" s="1331"/>
      <c r="AR127" s="1331"/>
      <c r="AS127" s="1331"/>
      <c r="AT127" s="1331"/>
      <c r="AU127" s="1334"/>
    </row>
    <row r="128" spans="1:47" ht="43.5" customHeight="1" x14ac:dyDescent="0.2">
      <c r="A128" s="1545" t="s">
        <v>1632</v>
      </c>
      <c r="B128" s="1493" t="s">
        <v>2465</v>
      </c>
      <c r="C128" s="1169" t="s">
        <v>2466</v>
      </c>
      <c r="D128" s="1331"/>
      <c r="E128" s="1331"/>
      <c r="F128" s="1331"/>
      <c r="G128" s="1331"/>
      <c r="H128" s="1332"/>
      <c r="I128" s="1332"/>
      <c r="J128" s="1332"/>
      <c r="K128" s="1332"/>
      <c r="L128" s="1332"/>
      <c r="M128" s="1507"/>
      <c r="N128" s="1502"/>
      <c r="O128" s="1332"/>
      <c r="P128" s="1331"/>
      <c r="Q128" s="1331"/>
      <c r="R128" s="1331"/>
      <c r="S128" s="1331"/>
      <c r="T128" s="1331"/>
      <c r="U128" s="1331"/>
      <c r="V128" s="1331"/>
      <c r="W128" s="1334"/>
      <c r="X128" s="1509"/>
      <c r="Y128" s="1331"/>
      <c r="Z128" s="1331"/>
      <c r="AA128" s="1331"/>
      <c r="AB128" s="1331"/>
      <c r="AC128" s="1331"/>
      <c r="AD128" s="1331"/>
      <c r="AE128" s="1331"/>
      <c r="AF128" s="1331"/>
      <c r="AG128" s="1331"/>
      <c r="AH128" s="1334"/>
      <c r="AI128" s="1509"/>
      <c r="AJ128" s="1331"/>
      <c r="AK128" s="1331"/>
      <c r="AL128" s="1331"/>
      <c r="AM128" s="1331"/>
      <c r="AN128" s="1331"/>
      <c r="AO128" s="1331"/>
      <c r="AP128" s="1331">
        <v>2000000</v>
      </c>
      <c r="AQ128" s="1331">
        <v>17867664</v>
      </c>
      <c r="AR128" s="1331"/>
      <c r="AS128" s="1331"/>
      <c r="AT128" s="1331"/>
      <c r="AU128" s="1334"/>
    </row>
    <row r="129" spans="1:47" ht="43.5" customHeight="1" x14ac:dyDescent="0.2">
      <c r="A129" s="1545" t="s">
        <v>1634</v>
      </c>
      <c r="B129" s="1493" t="s">
        <v>2484</v>
      </c>
      <c r="C129" s="1169" t="s">
        <v>2485</v>
      </c>
      <c r="D129" s="1331"/>
      <c r="E129" s="1331"/>
      <c r="F129" s="1331"/>
      <c r="G129" s="1331"/>
      <c r="H129" s="1332"/>
      <c r="I129" s="1332"/>
      <c r="J129" s="1332"/>
      <c r="K129" s="1332"/>
      <c r="L129" s="1332"/>
      <c r="M129" s="1507"/>
      <c r="N129" s="1502"/>
      <c r="O129" s="1332"/>
      <c r="P129" s="1331"/>
      <c r="Q129" s="1331"/>
      <c r="R129" s="1331"/>
      <c r="S129" s="1331"/>
      <c r="T129" s="1331"/>
      <c r="U129" s="1331"/>
      <c r="V129" s="1331"/>
      <c r="W129" s="1334"/>
      <c r="X129" s="1509"/>
      <c r="Y129" s="1331"/>
      <c r="Z129" s="1331"/>
      <c r="AA129" s="1331"/>
      <c r="AB129" s="1331"/>
      <c r="AC129" s="1331"/>
      <c r="AD129" s="1331"/>
      <c r="AE129" s="1331"/>
      <c r="AF129" s="1331"/>
      <c r="AG129" s="1331"/>
      <c r="AH129" s="1334"/>
      <c r="AI129" s="1509"/>
      <c r="AJ129" s="1331"/>
      <c r="AK129" s="1331"/>
      <c r="AL129" s="1331"/>
      <c r="AM129" s="1331"/>
      <c r="AN129" s="1331"/>
      <c r="AO129" s="1331"/>
      <c r="AP129" s="1331"/>
      <c r="AQ129" s="1331"/>
      <c r="AR129" s="1331"/>
      <c r="AS129" s="1331"/>
      <c r="AT129" s="1331">
        <v>-500000</v>
      </c>
      <c r="AU129" s="1334"/>
    </row>
    <row r="130" spans="1:47" ht="65.25" customHeight="1" x14ac:dyDescent="0.2">
      <c r="A130" s="1545" t="s">
        <v>1635</v>
      </c>
      <c r="B130" s="1493" t="s">
        <v>2487</v>
      </c>
      <c r="C130" s="1169" t="s">
        <v>2637</v>
      </c>
      <c r="D130" s="1331"/>
      <c r="E130" s="1331"/>
      <c r="F130" s="1331"/>
      <c r="G130" s="1331"/>
      <c r="H130" s="1332"/>
      <c r="I130" s="1332"/>
      <c r="J130" s="1332"/>
      <c r="K130" s="1332"/>
      <c r="L130" s="1332"/>
      <c r="M130" s="1507"/>
      <c r="N130" s="1502"/>
      <c r="O130" s="1332"/>
      <c r="P130" s="1331"/>
      <c r="Q130" s="1331"/>
      <c r="R130" s="1331"/>
      <c r="S130" s="1331"/>
      <c r="T130" s="1331"/>
      <c r="U130" s="1331"/>
      <c r="V130" s="1331"/>
      <c r="W130" s="1334"/>
      <c r="X130" s="1509"/>
      <c r="Y130" s="1331"/>
      <c r="Z130" s="1331"/>
      <c r="AA130" s="1331"/>
      <c r="AB130" s="1331"/>
      <c r="AC130" s="1331"/>
      <c r="AD130" s="1331"/>
      <c r="AE130" s="1331"/>
      <c r="AF130" s="1331">
        <v>-100000</v>
      </c>
      <c r="AG130" s="1331"/>
      <c r="AH130" s="1334"/>
      <c r="AI130" s="1509"/>
      <c r="AJ130" s="1331"/>
      <c r="AK130" s="1331"/>
      <c r="AL130" s="1331"/>
      <c r="AM130" s="1331"/>
      <c r="AN130" s="1331"/>
      <c r="AO130" s="1331"/>
      <c r="AP130" s="1331"/>
      <c r="AQ130" s="1331"/>
      <c r="AR130" s="1331"/>
      <c r="AS130" s="1331"/>
      <c r="AT130" s="1331"/>
      <c r="AU130" s="1334"/>
    </row>
    <row r="131" spans="1:47" ht="55.5" customHeight="1" x14ac:dyDescent="0.2">
      <c r="A131" s="1545" t="s">
        <v>1636</v>
      </c>
      <c r="B131" s="1493" t="s">
        <v>2489</v>
      </c>
      <c r="C131" s="1169" t="s">
        <v>2490</v>
      </c>
      <c r="D131" s="1331"/>
      <c r="E131" s="1331"/>
      <c r="F131" s="1331"/>
      <c r="G131" s="1331"/>
      <c r="H131" s="1332"/>
      <c r="I131" s="1332"/>
      <c r="J131" s="1332"/>
      <c r="K131" s="1332"/>
      <c r="L131" s="1332"/>
      <c r="M131" s="1507"/>
      <c r="N131" s="1502"/>
      <c r="O131" s="1332"/>
      <c r="P131" s="1331">
        <v>-1299464</v>
      </c>
      <c r="Q131" s="1331"/>
      <c r="R131" s="1331"/>
      <c r="S131" s="1331"/>
      <c r="T131" s="1331"/>
      <c r="U131" s="1331"/>
      <c r="V131" s="1331"/>
      <c r="W131" s="1334"/>
      <c r="X131" s="1509"/>
      <c r="Y131" s="1331"/>
      <c r="Z131" s="1331"/>
      <c r="AA131" s="1331"/>
      <c r="AB131" s="1331"/>
      <c r="AC131" s="1331"/>
      <c r="AD131" s="1331"/>
      <c r="AE131" s="1331"/>
      <c r="AF131" s="1331"/>
      <c r="AG131" s="1331"/>
      <c r="AH131" s="1334"/>
      <c r="AI131" s="1509"/>
      <c r="AJ131" s="1331"/>
      <c r="AK131" s="1331"/>
      <c r="AL131" s="1331"/>
      <c r="AM131" s="1331"/>
      <c r="AN131" s="1331"/>
      <c r="AO131" s="1331"/>
      <c r="AP131" s="1331"/>
      <c r="AQ131" s="1331"/>
      <c r="AR131" s="1331"/>
      <c r="AS131" s="1331"/>
      <c r="AT131" s="1331"/>
      <c r="AU131" s="1334"/>
    </row>
    <row r="132" spans="1:47" ht="52.5" customHeight="1" x14ac:dyDescent="0.2">
      <c r="A132" s="1545" t="s">
        <v>1637</v>
      </c>
      <c r="B132" s="1493" t="s">
        <v>2492</v>
      </c>
      <c r="C132" s="1169" t="s">
        <v>2493</v>
      </c>
      <c r="D132" s="1331"/>
      <c r="E132" s="1331"/>
      <c r="F132" s="1331"/>
      <c r="G132" s="1331"/>
      <c r="H132" s="1332"/>
      <c r="I132" s="1332"/>
      <c r="J132" s="1332"/>
      <c r="K132" s="1332"/>
      <c r="L132" s="1332"/>
      <c r="M132" s="1507"/>
      <c r="N132" s="1502"/>
      <c r="O132" s="1332"/>
      <c r="P132" s="1331">
        <v>-154635</v>
      </c>
      <c r="Q132" s="1331"/>
      <c r="R132" s="1331"/>
      <c r="S132" s="1331"/>
      <c r="T132" s="1331"/>
      <c r="U132" s="1331"/>
      <c r="V132" s="1331"/>
      <c r="W132" s="1334"/>
      <c r="X132" s="1509"/>
      <c r="Y132" s="1331"/>
      <c r="Z132" s="1331"/>
      <c r="AA132" s="1331"/>
      <c r="AB132" s="1331"/>
      <c r="AC132" s="1331"/>
      <c r="AD132" s="1331"/>
      <c r="AE132" s="1331"/>
      <c r="AF132" s="1331"/>
      <c r="AG132" s="1331"/>
      <c r="AH132" s="1334"/>
      <c r="AI132" s="1509"/>
      <c r="AJ132" s="1331"/>
      <c r="AK132" s="1331"/>
      <c r="AL132" s="1331"/>
      <c r="AM132" s="1331"/>
      <c r="AN132" s="1331"/>
      <c r="AO132" s="1331"/>
      <c r="AP132" s="1331"/>
      <c r="AQ132" s="1331"/>
      <c r="AR132" s="1331"/>
      <c r="AS132" s="1331"/>
      <c r="AT132" s="1331"/>
      <c r="AU132" s="1334"/>
    </row>
    <row r="133" spans="1:47" ht="58.5" customHeight="1" x14ac:dyDescent="0.2">
      <c r="A133" s="1545" t="s">
        <v>1638</v>
      </c>
      <c r="B133" s="1493" t="s">
        <v>2494</v>
      </c>
      <c r="C133" s="1169" t="s">
        <v>2495</v>
      </c>
      <c r="D133" s="1331"/>
      <c r="E133" s="1331"/>
      <c r="F133" s="1331"/>
      <c r="G133" s="1331"/>
      <c r="H133" s="1332"/>
      <c r="I133" s="1332"/>
      <c r="J133" s="1332"/>
      <c r="K133" s="1332"/>
      <c r="L133" s="1332"/>
      <c r="M133" s="1507"/>
      <c r="N133" s="1502"/>
      <c r="O133" s="1332"/>
      <c r="P133" s="1331">
        <v>-1375156</v>
      </c>
      <c r="Q133" s="1331"/>
      <c r="R133" s="1331"/>
      <c r="S133" s="1331"/>
      <c r="T133" s="1331"/>
      <c r="U133" s="1331"/>
      <c r="V133" s="1331"/>
      <c r="W133" s="1334"/>
      <c r="X133" s="1509"/>
      <c r="Y133" s="1331"/>
      <c r="Z133" s="1331"/>
      <c r="AA133" s="1331"/>
      <c r="AB133" s="1331"/>
      <c r="AC133" s="1331"/>
      <c r="AD133" s="1331"/>
      <c r="AE133" s="1331"/>
      <c r="AF133" s="1331"/>
      <c r="AG133" s="1331"/>
      <c r="AH133" s="1334"/>
      <c r="AI133" s="1509"/>
      <c r="AJ133" s="1331"/>
      <c r="AK133" s="1331"/>
      <c r="AL133" s="1331"/>
      <c r="AM133" s="1331"/>
      <c r="AN133" s="1331"/>
      <c r="AO133" s="1331"/>
      <c r="AP133" s="1331"/>
      <c r="AQ133" s="1331"/>
      <c r="AR133" s="1331"/>
      <c r="AS133" s="1331"/>
      <c r="AT133" s="1331"/>
      <c r="AU133" s="1334"/>
    </row>
    <row r="134" spans="1:47" ht="46.5" customHeight="1" x14ac:dyDescent="0.2">
      <c r="A134" s="1545" t="s">
        <v>1639</v>
      </c>
      <c r="B134" s="1493" t="s">
        <v>2498</v>
      </c>
      <c r="C134" s="1169" t="s">
        <v>2499</v>
      </c>
      <c r="D134" s="1331"/>
      <c r="E134" s="1331"/>
      <c r="F134" s="1331"/>
      <c r="G134" s="1331"/>
      <c r="H134" s="1332"/>
      <c r="I134" s="1332"/>
      <c r="J134" s="1332"/>
      <c r="K134" s="1332"/>
      <c r="L134" s="1332"/>
      <c r="M134" s="1507"/>
      <c r="N134" s="1502"/>
      <c r="O134" s="1332"/>
      <c r="P134" s="1331">
        <v>-544050</v>
      </c>
      <c r="Q134" s="1331"/>
      <c r="R134" s="1331"/>
      <c r="S134" s="1331"/>
      <c r="T134" s="1331"/>
      <c r="U134" s="1331"/>
      <c r="V134" s="1331"/>
      <c r="W134" s="1334"/>
      <c r="X134" s="1509"/>
      <c r="Y134" s="1331"/>
      <c r="Z134" s="1331"/>
      <c r="AA134" s="1331"/>
      <c r="AB134" s="1331"/>
      <c r="AC134" s="1331"/>
      <c r="AD134" s="1331"/>
      <c r="AE134" s="1331"/>
      <c r="AF134" s="1331"/>
      <c r="AG134" s="1331"/>
      <c r="AH134" s="1334"/>
      <c r="AI134" s="1509"/>
      <c r="AJ134" s="1331"/>
      <c r="AK134" s="1331"/>
      <c r="AL134" s="1331"/>
      <c r="AM134" s="1331"/>
      <c r="AN134" s="1331"/>
      <c r="AO134" s="1331"/>
      <c r="AP134" s="1331"/>
      <c r="AQ134" s="1331"/>
      <c r="AR134" s="1331"/>
      <c r="AS134" s="1331"/>
      <c r="AT134" s="1331"/>
      <c r="AU134" s="1334"/>
    </row>
    <row r="135" spans="1:47" ht="45.75" customHeight="1" x14ac:dyDescent="0.2">
      <c r="A135" s="1545" t="s">
        <v>1640</v>
      </c>
      <c r="B135" s="1493" t="s">
        <v>2500</v>
      </c>
      <c r="C135" s="1169" t="s">
        <v>2501</v>
      </c>
      <c r="D135" s="1331"/>
      <c r="E135" s="1331"/>
      <c r="F135" s="1331"/>
      <c r="G135" s="1331"/>
      <c r="H135" s="1332"/>
      <c r="I135" s="1332"/>
      <c r="J135" s="1332"/>
      <c r="K135" s="1332"/>
      <c r="L135" s="1332"/>
      <c r="M135" s="1507"/>
      <c r="N135" s="1502"/>
      <c r="O135" s="1332"/>
      <c r="P135" s="1331">
        <v>-135000</v>
      </c>
      <c r="Q135" s="1331"/>
      <c r="R135" s="1331"/>
      <c r="S135" s="1331"/>
      <c r="T135" s="1331"/>
      <c r="U135" s="1331"/>
      <c r="V135" s="1331"/>
      <c r="W135" s="1334"/>
      <c r="X135" s="1509"/>
      <c r="Y135" s="1331"/>
      <c r="Z135" s="1331"/>
      <c r="AA135" s="1331"/>
      <c r="AB135" s="1331"/>
      <c r="AC135" s="1331"/>
      <c r="AD135" s="1331"/>
      <c r="AE135" s="1331"/>
      <c r="AF135" s="1331"/>
      <c r="AG135" s="1331"/>
      <c r="AH135" s="1334"/>
      <c r="AI135" s="1509"/>
      <c r="AJ135" s="1331"/>
      <c r="AK135" s="1331"/>
      <c r="AL135" s="1331"/>
      <c r="AM135" s="1331"/>
      <c r="AN135" s="1331"/>
      <c r="AO135" s="1331"/>
      <c r="AP135" s="1331"/>
      <c r="AQ135" s="1331"/>
      <c r="AR135" s="1331"/>
      <c r="AS135" s="1331"/>
      <c r="AT135" s="1331"/>
      <c r="AU135" s="1334"/>
    </row>
    <row r="136" spans="1:47" ht="43.5" customHeight="1" x14ac:dyDescent="0.2">
      <c r="A136" s="1545" t="s">
        <v>1641</v>
      </c>
      <c r="B136" s="1493" t="s">
        <v>2503</v>
      </c>
      <c r="C136" s="1169" t="s">
        <v>2504</v>
      </c>
      <c r="D136" s="1331"/>
      <c r="E136" s="1331"/>
      <c r="F136" s="1331"/>
      <c r="G136" s="1331"/>
      <c r="H136" s="1332"/>
      <c r="I136" s="1332"/>
      <c r="J136" s="1332"/>
      <c r="K136" s="1332"/>
      <c r="L136" s="1332"/>
      <c r="M136" s="1507"/>
      <c r="N136" s="1502"/>
      <c r="O136" s="1332"/>
      <c r="P136" s="1331"/>
      <c r="Q136" s="1331"/>
      <c r="R136" s="1331"/>
      <c r="S136" s="1331"/>
      <c r="T136" s="1331"/>
      <c r="U136" s="1331"/>
      <c r="V136" s="1331"/>
      <c r="W136" s="1334"/>
      <c r="X136" s="1509"/>
      <c r="Y136" s="1331"/>
      <c r="Z136" s="1331"/>
      <c r="AA136" s="1331"/>
      <c r="AB136" s="1331"/>
      <c r="AC136" s="1331"/>
      <c r="AD136" s="1331"/>
      <c r="AE136" s="1331"/>
      <c r="AF136" s="1331"/>
      <c r="AG136" s="1331"/>
      <c r="AH136" s="1334">
        <v>-726503</v>
      </c>
      <c r="AI136" s="1509"/>
      <c r="AJ136" s="1331"/>
      <c r="AK136" s="1331"/>
      <c r="AL136" s="1331"/>
      <c r="AM136" s="1331"/>
      <c r="AN136" s="1331"/>
      <c r="AO136" s="1331"/>
      <c r="AP136" s="1331"/>
      <c r="AQ136" s="1331"/>
      <c r="AR136" s="1331"/>
      <c r="AS136" s="1331"/>
      <c r="AT136" s="1331"/>
      <c r="AU136" s="1334"/>
    </row>
    <row r="137" spans="1:47" ht="48.75" customHeight="1" x14ac:dyDescent="0.2">
      <c r="A137" s="1545" t="s">
        <v>1643</v>
      </c>
      <c r="B137" s="1493" t="s">
        <v>2507</v>
      </c>
      <c r="C137" s="1169" t="s">
        <v>2508</v>
      </c>
      <c r="D137" s="1331"/>
      <c r="E137" s="1331"/>
      <c r="F137" s="1331"/>
      <c r="G137" s="1331"/>
      <c r="H137" s="1332"/>
      <c r="I137" s="1332"/>
      <c r="J137" s="1332"/>
      <c r="K137" s="1332"/>
      <c r="L137" s="1332"/>
      <c r="M137" s="1507"/>
      <c r="N137" s="1502"/>
      <c r="O137" s="1332"/>
      <c r="P137" s="1331"/>
      <c r="Q137" s="1331"/>
      <c r="R137" s="1331"/>
      <c r="S137" s="1331"/>
      <c r="T137" s="1331"/>
      <c r="U137" s="1331"/>
      <c r="V137" s="1331"/>
      <c r="W137" s="1334"/>
      <c r="X137" s="1509"/>
      <c r="Y137" s="1331"/>
      <c r="Z137" s="1331"/>
      <c r="AA137" s="1331"/>
      <c r="AB137" s="1331"/>
      <c r="AC137" s="1331"/>
      <c r="AD137" s="1331"/>
      <c r="AE137" s="1331"/>
      <c r="AF137" s="1331"/>
      <c r="AG137" s="1331"/>
      <c r="AH137" s="1334"/>
      <c r="AI137" s="1509"/>
      <c r="AJ137" s="1331"/>
      <c r="AK137" s="1331">
        <v>-123952000</v>
      </c>
      <c r="AL137" s="1331"/>
      <c r="AM137" s="1331"/>
      <c r="AN137" s="1331"/>
      <c r="AO137" s="1331"/>
      <c r="AP137" s="1331"/>
      <c r="AQ137" s="1331"/>
      <c r="AR137" s="1331"/>
      <c r="AS137" s="1331"/>
      <c r="AT137" s="1331"/>
      <c r="AU137" s="1334"/>
    </row>
    <row r="138" spans="1:47" ht="67.5" customHeight="1" x14ac:dyDescent="0.2">
      <c r="A138" s="1545" t="s">
        <v>1644</v>
      </c>
      <c r="B138" s="1493" t="s">
        <v>2509</v>
      </c>
      <c r="C138" s="1169" t="s">
        <v>2510</v>
      </c>
      <c r="D138" s="1331"/>
      <c r="E138" s="1331">
        <v>-4408500</v>
      </c>
      <c r="F138" s="1331"/>
      <c r="G138" s="1331"/>
      <c r="H138" s="1332"/>
      <c r="I138" s="1332"/>
      <c r="J138" s="1332"/>
      <c r="K138" s="1332"/>
      <c r="L138" s="1332"/>
      <c r="M138" s="1507"/>
      <c r="N138" s="1502"/>
      <c r="O138" s="1332"/>
      <c r="P138" s="1331"/>
      <c r="Q138" s="1331"/>
      <c r="R138" s="1331"/>
      <c r="S138" s="1331"/>
      <c r="T138" s="1331"/>
      <c r="U138" s="1331"/>
      <c r="V138" s="1331"/>
      <c r="W138" s="1334"/>
      <c r="X138" s="1509"/>
      <c r="Y138" s="1331"/>
      <c r="Z138" s="1331"/>
      <c r="AA138" s="1331"/>
      <c r="AB138" s="1331"/>
      <c r="AC138" s="1331"/>
      <c r="AD138" s="1331"/>
      <c r="AE138" s="1331"/>
      <c r="AF138" s="1331"/>
      <c r="AG138" s="1331"/>
      <c r="AH138" s="1334"/>
      <c r="AI138" s="1509"/>
      <c r="AJ138" s="1331"/>
      <c r="AK138" s="1331"/>
      <c r="AL138" s="1331"/>
      <c r="AM138" s="1331"/>
      <c r="AN138" s="1331"/>
      <c r="AO138" s="1331"/>
      <c r="AP138" s="1331"/>
      <c r="AQ138" s="1331"/>
      <c r="AR138" s="1331"/>
      <c r="AS138" s="1331"/>
      <c r="AT138" s="1331"/>
      <c r="AU138" s="1334"/>
    </row>
    <row r="139" spans="1:47" ht="68.25" customHeight="1" x14ac:dyDescent="0.2">
      <c r="A139" s="1545" t="s">
        <v>1648</v>
      </c>
      <c r="B139" s="1493" t="s">
        <v>2518</v>
      </c>
      <c r="C139" s="1169" t="s">
        <v>2519</v>
      </c>
      <c r="D139" s="1331"/>
      <c r="E139" s="1331"/>
      <c r="F139" s="1331"/>
      <c r="G139" s="1331"/>
      <c r="H139" s="1332"/>
      <c r="I139" s="1332"/>
      <c r="J139" s="1332"/>
      <c r="K139" s="1332"/>
      <c r="L139" s="1332"/>
      <c r="M139" s="1507"/>
      <c r="N139" s="1502"/>
      <c r="O139" s="1332"/>
      <c r="P139" s="1331"/>
      <c r="Q139" s="1331"/>
      <c r="R139" s="1331"/>
      <c r="S139" s="1331"/>
      <c r="T139" s="1331"/>
      <c r="U139" s="1331"/>
      <c r="V139" s="1331"/>
      <c r="W139" s="1334"/>
      <c r="X139" s="1509"/>
      <c r="Y139" s="1331"/>
      <c r="Z139" s="1331"/>
      <c r="AA139" s="1331"/>
      <c r="AB139" s="1331"/>
      <c r="AC139" s="1331"/>
      <c r="AD139" s="1331"/>
      <c r="AE139" s="1331"/>
      <c r="AF139" s="1331"/>
      <c r="AG139" s="1331">
        <v>-100000</v>
      </c>
      <c r="AH139" s="1334"/>
      <c r="AI139" s="1509"/>
      <c r="AJ139" s="1331"/>
      <c r="AK139" s="1331"/>
      <c r="AL139" s="1331"/>
      <c r="AM139" s="1331"/>
      <c r="AN139" s="1331"/>
      <c r="AO139" s="1331"/>
      <c r="AP139" s="1331"/>
      <c r="AQ139" s="1331"/>
      <c r="AR139" s="1331"/>
      <c r="AS139" s="1331"/>
      <c r="AT139" s="1331"/>
      <c r="AU139" s="1334"/>
    </row>
    <row r="140" spans="1:47" ht="43.5" customHeight="1" x14ac:dyDescent="0.2">
      <c r="A140" s="1545" t="s">
        <v>1649</v>
      </c>
      <c r="B140" s="1493" t="s">
        <v>2521</v>
      </c>
      <c r="C140" s="1169" t="s">
        <v>2522</v>
      </c>
      <c r="D140" s="1331"/>
      <c r="E140" s="1331"/>
      <c r="F140" s="1331"/>
      <c r="G140" s="1331"/>
      <c r="H140" s="1332"/>
      <c r="I140" s="1332"/>
      <c r="J140" s="1332"/>
      <c r="K140" s="1332"/>
      <c r="L140" s="1332"/>
      <c r="M140" s="1507"/>
      <c r="N140" s="1502"/>
      <c r="O140" s="1332"/>
      <c r="P140" s="1331">
        <v>-1141561</v>
      </c>
      <c r="Q140" s="1331"/>
      <c r="R140" s="1331"/>
      <c r="S140" s="1331"/>
      <c r="T140" s="1331"/>
      <c r="U140" s="1331"/>
      <c r="V140" s="1331"/>
      <c r="W140" s="1334"/>
      <c r="X140" s="1509"/>
      <c r="Y140" s="1331"/>
      <c r="Z140" s="1331"/>
      <c r="AA140" s="1331"/>
      <c r="AB140" s="1331"/>
      <c r="AC140" s="1331"/>
      <c r="AD140" s="1331"/>
      <c r="AE140" s="1331"/>
      <c r="AF140" s="1331"/>
      <c r="AG140" s="1331"/>
      <c r="AH140" s="1334"/>
      <c r="AI140" s="1509"/>
      <c r="AJ140" s="1331"/>
      <c r="AK140" s="1331"/>
      <c r="AL140" s="1331"/>
      <c r="AM140" s="1331"/>
      <c r="AN140" s="1331"/>
      <c r="AO140" s="1331"/>
      <c r="AP140" s="1331"/>
      <c r="AQ140" s="1331"/>
      <c r="AR140" s="1331"/>
      <c r="AS140" s="1331"/>
      <c r="AT140" s="1331"/>
      <c r="AU140" s="1334"/>
    </row>
    <row r="141" spans="1:47" ht="43.5" customHeight="1" x14ac:dyDescent="0.2">
      <c r="A141" s="1545" t="s">
        <v>1654</v>
      </c>
      <c r="B141" s="1493" t="s">
        <v>2533</v>
      </c>
      <c r="C141" s="1169" t="s">
        <v>2534</v>
      </c>
      <c r="D141" s="1331"/>
      <c r="E141" s="1331"/>
      <c r="F141" s="1331"/>
      <c r="G141" s="1331"/>
      <c r="H141" s="1332"/>
      <c r="I141" s="1332"/>
      <c r="J141" s="1332"/>
      <c r="K141" s="1332"/>
      <c r="L141" s="1332"/>
      <c r="M141" s="1507"/>
      <c r="N141" s="1502"/>
      <c r="O141" s="1332"/>
      <c r="P141" s="1331">
        <v>-165630</v>
      </c>
      <c r="Q141" s="1331"/>
      <c r="R141" s="1331"/>
      <c r="S141" s="1331"/>
      <c r="T141" s="1331"/>
      <c r="U141" s="1331"/>
      <c r="V141" s="1331"/>
      <c r="W141" s="1334"/>
      <c r="X141" s="1509"/>
      <c r="Y141" s="1331"/>
      <c r="Z141" s="1331"/>
      <c r="AA141" s="1331"/>
      <c r="AB141" s="1331"/>
      <c r="AC141" s="1331"/>
      <c r="AD141" s="1331"/>
      <c r="AE141" s="1331"/>
      <c r="AF141" s="1331"/>
      <c r="AG141" s="1331"/>
      <c r="AH141" s="1334"/>
      <c r="AI141" s="1509"/>
      <c r="AJ141" s="1331"/>
      <c r="AK141" s="1331"/>
      <c r="AL141" s="1331"/>
      <c r="AM141" s="1331"/>
      <c r="AN141" s="1331"/>
      <c r="AO141" s="1331"/>
      <c r="AP141" s="1331"/>
      <c r="AQ141" s="1331"/>
      <c r="AR141" s="1331"/>
      <c r="AS141" s="1331"/>
      <c r="AT141" s="1331"/>
      <c r="AU141" s="1334"/>
    </row>
    <row r="142" spans="1:47" ht="45.75" customHeight="1" x14ac:dyDescent="0.2">
      <c r="A142" s="1545" t="s">
        <v>1655</v>
      </c>
      <c r="B142" s="1493" t="s">
        <v>2536</v>
      </c>
      <c r="C142" s="1169" t="s">
        <v>2537</v>
      </c>
      <c r="D142" s="1331"/>
      <c r="E142" s="1331"/>
      <c r="F142" s="1331"/>
      <c r="G142" s="1331"/>
      <c r="H142" s="1332"/>
      <c r="I142" s="1332"/>
      <c r="J142" s="1332"/>
      <c r="K142" s="1332"/>
      <c r="L142" s="1332"/>
      <c r="M142" s="1507"/>
      <c r="N142" s="1502"/>
      <c r="O142" s="1332"/>
      <c r="P142" s="1331"/>
      <c r="Q142" s="1331"/>
      <c r="R142" s="1331"/>
      <c r="S142" s="1331"/>
      <c r="T142" s="1331"/>
      <c r="U142" s="1331"/>
      <c r="V142" s="1331"/>
      <c r="W142" s="1334"/>
      <c r="X142" s="1509"/>
      <c r="Y142" s="1331"/>
      <c r="Z142" s="1331"/>
      <c r="AA142" s="1331"/>
      <c r="AB142" s="1331"/>
      <c r="AC142" s="1331"/>
      <c r="AD142" s="1331"/>
      <c r="AE142" s="1331"/>
      <c r="AF142" s="1331"/>
      <c r="AG142" s="1331"/>
      <c r="AH142" s="1334"/>
      <c r="AI142" s="1509">
        <v>-635000</v>
      </c>
      <c r="AJ142" s="1331"/>
      <c r="AK142" s="1331"/>
      <c r="AL142" s="1331"/>
      <c r="AM142" s="1331"/>
      <c r="AN142" s="1331"/>
      <c r="AO142" s="1331"/>
      <c r="AP142" s="1331"/>
      <c r="AQ142" s="1331"/>
      <c r="AR142" s="1331"/>
      <c r="AS142" s="1331"/>
      <c r="AT142" s="1331"/>
      <c r="AU142" s="1334"/>
    </row>
    <row r="143" spans="1:47" ht="43.5" customHeight="1" x14ac:dyDescent="0.2">
      <c r="A143" s="1545" t="s">
        <v>1656</v>
      </c>
      <c r="B143" s="1493" t="s">
        <v>2542</v>
      </c>
      <c r="C143" s="1169" t="s">
        <v>2543</v>
      </c>
      <c r="D143" s="1331"/>
      <c r="E143" s="1331"/>
      <c r="F143" s="1331"/>
      <c r="G143" s="1331"/>
      <c r="H143" s="1332"/>
      <c r="I143" s="1332"/>
      <c r="J143" s="1332"/>
      <c r="K143" s="1332"/>
      <c r="L143" s="1332"/>
      <c r="M143" s="1507"/>
      <c r="N143" s="1502"/>
      <c r="O143" s="1332"/>
      <c r="P143" s="1331">
        <v>-190500</v>
      </c>
      <c r="Q143" s="1331"/>
      <c r="R143" s="1331"/>
      <c r="S143" s="1331"/>
      <c r="T143" s="1331"/>
      <c r="U143" s="1331"/>
      <c r="V143" s="1331"/>
      <c r="W143" s="1334"/>
      <c r="X143" s="1509"/>
      <c r="Y143" s="1331"/>
      <c r="Z143" s="1331"/>
      <c r="AA143" s="1331"/>
      <c r="AB143" s="1331"/>
      <c r="AC143" s="1331"/>
      <c r="AD143" s="1331"/>
      <c r="AE143" s="1331"/>
      <c r="AF143" s="1331"/>
      <c r="AG143" s="1331"/>
      <c r="AH143" s="1334"/>
      <c r="AI143" s="1509"/>
      <c r="AJ143" s="1331"/>
      <c r="AK143" s="1331"/>
      <c r="AL143" s="1331"/>
      <c r="AM143" s="1331"/>
      <c r="AN143" s="1331"/>
      <c r="AO143" s="1331"/>
      <c r="AP143" s="1331"/>
      <c r="AQ143" s="1331"/>
      <c r="AR143" s="1331"/>
      <c r="AS143" s="1331"/>
      <c r="AT143" s="1331"/>
      <c r="AU143" s="1334"/>
    </row>
    <row r="144" spans="1:47" ht="60" customHeight="1" x14ac:dyDescent="0.2">
      <c r="A144" s="1545" t="s">
        <v>1657</v>
      </c>
      <c r="B144" s="1493" t="s">
        <v>2544</v>
      </c>
      <c r="C144" s="1169" t="s">
        <v>2546</v>
      </c>
      <c r="D144" s="1331"/>
      <c r="E144" s="1331"/>
      <c r="F144" s="1331"/>
      <c r="G144" s="1331"/>
      <c r="H144" s="1332"/>
      <c r="I144" s="1332"/>
      <c r="J144" s="1332"/>
      <c r="K144" s="1332"/>
      <c r="L144" s="1332"/>
      <c r="M144" s="1507"/>
      <c r="N144" s="1502"/>
      <c r="O144" s="1332"/>
      <c r="P144" s="1331">
        <v>-241300</v>
      </c>
      <c r="Q144" s="1331"/>
      <c r="R144" s="1331"/>
      <c r="S144" s="1331"/>
      <c r="T144" s="1331"/>
      <c r="U144" s="1331"/>
      <c r="V144" s="1331"/>
      <c r="W144" s="1334"/>
      <c r="X144" s="1509"/>
      <c r="Y144" s="1331"/>
      <c r="Z144" s="1331"/>
      <c r="AA144" s="1331"/>
      <c r="AB144" s="1331"/>
      <c r="AC144" s="1331"/>
      <c r="AD144" s="1331"/>
      <c r="AE144" s="1331"/>
      <c r="AF144" s="1331"/>
      <c r="AG144" s="1331"/>
      <c r="AH144" s="1334"/>
      <c r="AI144" s="1509"/>
      <c r="AJ144" s="1331"/>
      <c r="AK144" s="1331"/>
      <c r="AL144" s="1331"/>
      <c r="AM144" s="1331"/>
      <c r="AN144" s="1331"/>
      <c r="AO144" s="1331"/>
      <c r="AP144" s="1331"/>
      <c r="AQ144" s="1331"/>
      <c r="AR144" s="1331"/>
      <c r="AS144" s="1331"/>
      <c r="AT144" s="1331"/>
      <c r="AU144" s="1334"/>
    </row>
    <row r="145" spans="1:47" ht="55.5" customHeight="1" x14ac:dyDescent="0.2">
      <c r="A145" s="1545" t="s">
        <v>1658</v>
      </c>
      <c r="B145" s="1493" t="s">
        <v>2545</v>
      </c>
      <c r="C145" s="1169" t="s">
        <v>2547</v>
      </c>
      <c r="D145" s="1331"/>
      <c r="E145" s="1331"/>
      <c r="F145" s="1331"/>
      <c r="G145" s="1331"/>
      <c r="H145" s="1332"/>
      <c r="I145" s="1332"/>
      <c r="J145" s="1332"/>
      <c r="K145" s="1332"/>
      <c r="L145" s="1332"/>
      <c r="M145" s="1507"/>
      <c r="N145" s="1502"/>
      <c r="O145" s="1332"/>
      <c r="P145" s="1331">
        <v>-241300</v>
      </c>
      <c r="Q145" s="1331"/>
      <c r="R145" s="1331"/>
      <c r="S145" s="1331"/>
      <c r="T145" s="1331"/>
      <c r="U145" s="1331"/>
      <c r="V145" s="1331"/>
      <c r="W145" s="1334"/>
      <c r="X145" s="1509"/>
      <c r="Y145" s="1331"/>
      <c r="Z145" s="1331"/>
      <c r="AA145" s="1331"/>
      <c r="AB145" s="1331"/>
      <c r="AC145" s="1331"/>
      <c r="AD145" s="1331"/>
      <c r="AE145" s="1331"/>
      <c r="AF145" s="1331"/>
      <c r="AG145" s="1331"/>
      <c r="AH145" s="1334"/>
      <c r="AI145" s="1509"/>
      <c r="AJ145" s="1331"/>
      <c r="AK145" s="1331"/>
      <c r="AL145" s="1331"/>
      <c r="AM145" s="1331"/>
      <c r="AN145" s="1331"/>
      <c r="AO145" s="1331"/>
      <c r="AP145" s="1331"/>
      <c r="AQ145" s="1331"/>
      <c r="AR145" s="1331"/>
      <c r="AS145" s="1331"/>
      <c r="AT145" s="1331"/>
      <c r="AU145" s="1334"/>
    </row>
    <row r="146" spans="1:47" ht="37.5" customHeight="1" x14ac:dyDescent="0.2">
      <c r="A146" s="1545" t="s">
        <v>1659</v>
      </c>
      <c r="B146" s="1493" t="s">
        <v>2548</v>
      </c>
      <c r="C146" s="1169" t="s">
        <v>2549</v>
      </c>
      <c r="D146" s="1331"/>
      <c r="E146" s="1331"/>
      <c r="F146" s="1331"/>
      <c r="G146" s="1331"/>
      <c r="H146" s="1332"/>
      <c r="I146" s="1332"/>
      <c r="J146" s="1332"/>
      <c r="K146" s="1332"/>
      <c r="L146" s="1332"/>
      <c r="M146" s="1507"/>
      <c r="N146" s="1502"/>
      <c r="O146" s="1332"/>
      <c r="P146" s="1331"/>
      <c r="Q146" s="1331"/>
      <c r="R146" s="1331"/>
      <c r="S146" s="1331"/>
      <c r="T146" s="1331"/>
      <c r="U146" s="1331"/>
      <c r="V146" s="1331"/>
      <c r="W146" s="1334"/>
      <c r="X146" s="1509"/>
      <c r="Y146" s="1331"/>
      <c r="Z146" s="1331"/>
      <c r="AA146" s="1331"/>
      <c r="AB146" s="1331"/>
      <c r="AC146" s="1331"/>
      <c r="AD146" s="1331"/>
      <c r="AE146" s="1331"/>
      <c r="AF146" s="1331"/>
      <c r="AG146" s="1331"/>
      <c r="AH146" s="1334"/>
      <c r="AI146" s="1509"/>
      <c r="AJ146" s="1331"/>
      <c r="AK146" s="1331"/>
      <c r="AL146" s="1331"/>
      <c r="AM146" s="1331"/>
      <c r="AN146" s="1331"/>
      <c r="AO146" s="1331"/>
      <c r="AP146" s="1331"/>
      <c r="AQ146" s="1331"/>
      <c r="AR146" s="1331">
        <v>-8890000</v>
      </c>
      <c r="AS146" s="1331"/>
      <c r="AT146" s="1331"/>
      <c r="AU146" s="1334"/>
    </row>
    <row r="147" spans="1:47" ht="53.25" customHeight="1" x14ac:dyDescent="0.2">
      <c r="A147" s="1545" t="s">
        <v>1660</v>
      </c>
      <c r="B147" s="1493" t="s">
        <v>2550</v>
      </c>
      <c r="C147" s="1169" t="s">
        <v>2551</v>
      </c>
      <c r="D147" s="1331"/>
      <c r="E147" s="1331"/>
      <c r="F147" s="1331"/>
      <c r="G147" s="1331"/>
      <c r="H147" s="1332"/>
      <c r="I147" s="1332"/>
      <c r="J147" s="1332"/>
      <c r="K147" s="1332"/>
      <c r="L147" s="1332"/>
      <c r="M147" s="1507"/>
      <c r="N147" s="1502"/>
      <c r="O147" s="1332"/>
      <c r="P147" s="1331">
        <v>49000000</v>
      </c>
      <c r="Q147" s="1331"/>
      <c r="R147" s="1331"/>
      <c r="S147" s="1331"/>
      <c r="T147" s="1331"/>
      <c r="U147" s="1331"/>
      <c r="V147" s="1331"/>
      <c r="W147" s="1334"/>
      <c r="X147" s="1509"/>
      <c r="Y147" s="1331"/>
      <c r="Z147" s="1331"/>
      <c r="AA147" s="1331"/>
      <c r="AB147" s="1331"/>
      <c r="AC147" s="1331"/>
      <c r="AD147" s="1331"/>
      <c r="AE147" s="1331"/>
      <c r="AF147" s="1331"/>
      <c r="AG147" s="1331"/>
      <c r="AH147" s="1334"/>
      <c r="AI147" s="1509">
        <v>-34000000</v>
      </c>
      <c r="AJ147" s="1331"/>
      <c r="AK147" s="1331"/>
      <c r="AL147" s="1331"/>
      <c r="AM147" s="1331"/>
      <c r="AN147" s="1331"/>
      <c r="AO147" s="1331"/>
      <c r="AP147" s="1331"/>
      <c r="AQ147" s="1331"/>
      <c r="AR147" s="1331">
        <v>-15000000</v>
      </c>
      <c r="AS147" s="1331"/>
      <c r="AT147" s="1331"/>
      <c r="AU147" s="1334"/>
    </row>
    <row r="148" spans="1:47" ht="43.5" customHeight="1" x14ac:dyDescent="0.2">
      <c r="A148" s="1545" t="s">
        <v>1661</v>
      </c>
      <c r="B148" s="1493" t="s">
        <v>2552</v>
      </c>
      <c r="C148" s="1169" t="s">
        <v>2553</v>
      </c>
      <c r="D148" s="1331"/>
      <c r="E148" s="1331"/>
      <c r="F148" s="1331"/>
      <c r="G148" s="1331"/>
      <c r="H148" s="1332"/>
      <c r="I148" s="1332"/>
      <c r="J148" s="1332"/>
      <c r="K148" s="1332"/>
      <c r="L148" s="1332"/>
      <c r="M148" s="1507"/>
      <c r="N148" s="1502"/>
      <c r="O148" s="1332"/>
      <c r="P148" s="1331"/>
      <c r="Q148" s="1331"/>
      <c r="R148" s="1331"/>
      <c r="S148" s="1331"/>
      <c r="T148" s="1331"/>
      <c r="U148" s="1331"/>
      <c r="V148" s="1331"/>
      <c r="W148" s="1334"/>
      <c r="X148" s="1509"/>
      <c r="Y148" s="1331"/>
      <c r="Z148" s="1331"/>
      <c r="AA148" s="1331"/>
      <c r="AB148" s="1331"/>
      <c r="AC148" s="1331"/>
      <c r="AD148" s="1331"/>
      <c r="AE148" s="1331"/>
      <c r="AF148" s="1331"/>
      <c r="AG148" s="1331"/>
      <c r="AH148" s="1334"/>
      <c r="AI148" s="1509">
        <v>-5500000</v>
      </c>
      <c r="AJ148" s="1331"/>
      <c r="AK148" s="1331"/>
      <c r="AL148" s="1331"/>
      <c r="AM148" s="1331"/>
      <c r="AN148" s="1331"/>
      <c r="AO148" s="1331"/>
      <c r="AP148" s="1331"/>
      <c r="AQ148" s="1331"/>
      <c r="AR148" s="1331"/>
      <c r="AS148" s="1331"/>
      <c r="AT148" s="1331"/>
      <c r="AU148" s="1334"/>
    </row>
    <row r="149" spans="1:47" ht="57" customHeight="1" x14ac:dyDescent="0.2">
      <c r="A149" s="1545" t="s">
        <v>1662</v>
      </c>
      <c r="B149" s="1493" t="s">
        <v>2554</v>
      </c>
      <c r="C149" s="1169" t="s">
        <v>2555</v>
      </c>
      <c r="D149" s="1331"/>
      <c r="E149" s="1331"/>
      <c r="F149" s="1331"/>
      <c r="G149" s="1331"/>
      <c r="H149" s="1332"/>
      <c r="I149" s="1332"/>
      <c r="J149" s="1332"/>
      <c r="K149" s="1332"/>
      <c r="L149" s="1332"/>
      <c r="M149" s="1507"/>
      <c r="N149" s="1502"/>
      <c r="O149" s="1332"/>
      <c r="P149" s="1331">
        <v>-127000</v>
      </c>
      <c r="Q149" s="1331"/>
      <c r="R149" s="1331"/>
      <c r="S149" s="1331"/>
      <c r="T149" s="1331"/>
      <c r="U149" s="1331"/>
      <c r="V149" s="1331"/>
      <c r="W149" s="1334"/>
      <c r="X149" s="1509"/>
      <c r="Y149" s="1331"/>
      <c r="Z149" s="1331"/>
      <c r="AA149" s="1331"/>
      <c r="AB149" s="1331"/>
      <c r="AC149" s="1331"/>
      <c r="AD149" s="1331"/>
      <c r="AE149" s="1331"/>
      <c r="AF149" s="1331"/>
      <c r="AG149" s="1331"/>
      <c r="AH149" s="1334"/>
      <c r="AI149" s="1509"/>
      <c r="AJ149" s="1331"/>
      <c r="AK149" s="1331"/>
      <c r="AL149" s="1331"/>
      <c r="AM149" s="1331"/>
      <c r="AN149" s="1331"/>
      <c r="AO149" s="1331"/>
      <c r="AP149" s="1331"/>
      <c r="AQ149" s="1331"/>
      <c r="AR149" s="1331"/>
      <c r="AS149" s="1331"/>
      <c r="AT149" s="1331"/>
      <c r="AU149" s="1334"/>
    </row>
    <row r="150" spans="1:47" ht="53.25" customHeight="1" x14ac:dyDescent="0.2">
      <c r="A150" s="1545" t="s">
        <v>1667</v>
      </c>
      <c r="B150" s="1493" t="s">
        <v>2564</v>
      </c>
      <c r="C150" s="1169" t="s">
        <v>2565</v>
      </c>
      <c r="D150" s="1331"/>
      <c r="E150" s="1331"/>
      <c r="F150" s="1331"/>
      <c r="G150" s="1331"/>
      <c r="H150" s="1332"/>
      <c r="I150" s="1332"/>
      <c r="J150" s="1332"/>
      <c r="K150" s="1332"/>
      <c r="L150" s="1332"/>
      <c r="M150" s="1507"/>
      <c r="N150" s="1502"/>
      <c r="O150" s="1332"/>
      <c r="P150" s="1331"/>
      <c r="Q150" s="1331"/>
      <c r="R150" s="1331"/>
      <c r="S150" s="1331"/>
      <c r="T150" s="1331"/>
      <c r="U150" s="1331"/>
      <c r="V150" s="1331"/>
      <c r="W150" s="1334"/>
      <c r="X150" s="1509"/>
      <c r="Y150" s="1331"/>
      <c r="Z150" s="1331"/>
      <c r="AA150" s="1331"/>
      <c r="AB150" s="1331"/>
      <c r="AC150" s="1331"/>
      <c r="AD150" s="1331"/>
      <c r="AE150" s="1331"/>
      <c r="AF150" s="1331"/>
      <c r="AG150" s="1331"/>
      <c r="AH150" s="1334"/>
      <c r="AI150" s="1509"/>
      <c r="AJ150" s="1331"/>
      <c r="AK150" s="1331">
        <v>-7700010</v>
      </c>
      <c r="AL150" s="1331"/>
      <c r="AM150" s="1331"/>
      <c r="AN150" s="1331"/>
      <c r="AO150" s="1331"/>
      <c r="AP150" s="1331"/>
      <c r="AQ150" s="1331"/>
      <c r="AR150" s="1331"/>
      <c r="AS150" s="1331"/>
      <c r="AT150" s="1331"/>
      <c r="AU150" s="1334"/>
    </row>
    <row r="151" spans="1:47" ht="39" customHeight="1" x14ac:dyDescent="0.2">
      <c r="A151" s="1545" t="s">
        <v>1668</v>
      </c>
      <c r="B151" s="1493" t="s">
        <v>2566</v>
      </c>
      <c r="C151" s="1169" t="s">
        <v>2567</v>
      </c>
      <c r="D151" s="1331"/>
      <c r="E151" s="1331"/>
      <c r="F151" s="1331"/>
      <c r="G151" s="1331"/>
      <c r="H151" s="1332"/>
      <c r="I151" s="1332"/>
      <c r="J151" s="1332"/>
      <c r="K151" s="1332"/>
      <c r="L151" s="1332"/>
      <c r="M151" s="1507"/>
      <c r="N151" s="1502"/>
      <c r="O151" s="1332"/>
      <c r="P151" s="1331"/>
      <c r="Q151" s="1331"/>
      <c r="R151" s="1331"/>
      <c r="S151" s="1331"/>
      <c r="T151" s="1331"/>
      <c r="U151" s="1331"/>
      <c r="V151" s="1331"/>
      <c r="W151" s="1334"/>
      <c r="X151" s="1509"/>
      <c r="Y151" s="1331"/>
      <c r="Z151" s="1331"/>
      <c r="AA151" s="1331"/>
      <c r="AB151" s="1331"/>
      <c r="AC151" s="1331"/>
      <c r="AD151" s="1331"/>
      <c r="AE151" s="1331"/>
      <c r="AF151" s="1331"/>
      <c r="AG151" s="1331"/>
      <c r="AH151" s="1334"/>
      <c r="AI151" s="1509"/>
      <c r="AJ151" s="1331"/>
      <c r="AK151" s="1331">
        <v>-19025574</v>
      </c>
      <c r="AL151" s="1331"/>
      <c r="AM151" s="1331"/>
      <c r="AN151" s="1331"/>
      <c r="AO151" s="1331"/>
      <c r="AP151" s="1331"/>
      <c r="AQ151" s="1331"/>
      <c r="AR151" s="1331"/>
      <c r="AS151" s="1331"/>
      <c r="AT151" s="1331"/>
      <c r="AU151" s="1334"/>
    </row>
    <row r="152" spans="1:47" ht="55.5" customHeight="1" x14ac:dyDescent="0.2">
      <c r="A152" s="1545" t="s">
        <v>1669</v>
      </c>
      <c r="B152" s="1493" t="s">
        <v>2569</v>
      </c>
      <c r="C152" s="1169" t="s">
        <v>2570</v>
      </c>
      <c r="D152" s="1331"/>
      <c r="E152" s="1331"/>
      <c r="F152" s="1331"/>
      <c r="G152" s="1331"/>
      <c r="H152" s="1332"/>
      <c r="I152" s="1332"/>
      <c r="J152" s="1332"/>
      <c r="K152" s="1332"/>
      <c r="L152" s="1332"/>
      <c r="M152" s="1507"/>
      <c r="N152" s="1502"/>
      <c r="O152" s="1332"/>
      <c r="P152" s="1331">
        <v>-79365</v>
      </c>
      <c r="Q152" s="1331"/>
      <c r="R152" s="1331"/>
      <c r="S152" s="1331"/>
      <c r="T152" s="1331"/>
      <c r="U152" s="1331"/>
      <c r="V152" s="1331"/>
      <c r="W152" s="1334"/>
      <c r="X152" s="1509"/>
      <c r="Y152" s="1331"/>
      <c r="Z152" s="1331"/>
      <c r="AA152" s="1331"/>
      <c r="AB152" s="1331"/>
      <c r="AC152" s="1331"/>
      <c r="AD152" s="1331"/>
      <c r="AE152" s="1331"/>
      <c r="AF152" s="1331"/>
      <c r="AG152" s="1331"/>
      <c r="AH152" s="1334"/>
      <c r="AI152" s="1509"/>
      <c r="AJ152" s="1331"/>
      <c r="AK152" s="1331"/>
      <c r="AL152" s="1331"/>
      <c r="AM152" s="1331"/>
      <c r="AN152" s="1331"/>
      <c r="AO152" s="1331"/>
      <c r="AP152" s="1331"/>
      <c r="AQ152" s="1331"/>
      <c r="AR152" s="1331"/>
      <c r="AS152" s="1331"/>
      <c r="AT152" s="1331"/>
      <c r="AU152" s="1334"/>
    </row>
    <row r="153" spans="1:47" ht="39" customHeight="1" x14ac:dyDescent="0.2">
      <c r="A153" s="1545" t="s">
        <v>1673</v>
      </c>
      <c r="B153" s="1493" t="s">
        <v>2579</v>
      </c>
      <c r="C153" s="1169" t="s">
        <v>2452</v>
      </c>
      <c r="D153" s="1331"/>
      <c r="E153" s="1331"/>
      <c r="F153" s="1331"/>
      <c r="G153" s="1331"/>
      <c r="H153" s="1332"/>
      <c r="I153" s="1332"/>
      <c r="J153" s="1332"/>
      <c r="K153" s="1332"/>
      <c r="L153" s="1332"/>
      <c r="M153" s="1507"/>
      <c r="N153" s="1502"/>
      <c r="O153" s="1332"/>
      <c r="P153" s="1331"/>
      <c r="Q153" s="1331"/>
      <c r="R153" s="1331"/>
      <c r="S153" s="1331"/>
      <c r="T153" s="1331"/>
      <c r="U153" s="1331"/>
      <c r="V153" s="1331"/>
      <c r="W153" s="1334"/>
      <c r="X153" s="1509"/>
      <c r="Y153" s="1331"/>
      <c r="Z153" s="1331"/>
      <c r="AA153" s="1331"/>
      <c r="AB153" s="1331"/>
      <c r="AC153" s="1331"/>
      <c r="AD153" s="1331"/>
      <c r="AE153" s="1331"/>
      <c r="AF153" s="1331"/>
      <c r="AG153" s="1331"/>
      <c r="AH153" s="1334"/>
      <c r="AI153" s="1509"/>
      <c r="AJ153" s="1331"/>
      <c r="AK153" s="1331"/>
      <c r="AL153" s="1331"/>
      <c r="AM153" s="1331"/>
      <c r="AN153" s="1331"/>
      <c r="AO153" s="1331"/>
      <c r="AP153" s="1331">
        <v>3000000</v>
      </c>
      <c r="AQ153" s="1331"/>
      <c r="AR153" s="1331"/>
      <c r="AS153" s="1331"/>
      <c r="AT153" s="1331"/>
      <c r="AU153" s="1334"/>
    </row>
    <row r="154" spans="1:47" ht="43.5" customHeight="1" x14ac:dyDescent="0.2">
      <c r="A154" s="1545" t="s">
        <v>1675</v>
      </c>
      <c r="B154" s="1493" t="s">
        <v>2582</v>
      </c>
      <c r="C154" s="1169" t="s">
        <v>2583</v>
      </c>
      <c r="D154" s="1331"/>
      <c r="E154" s="1331"/>
      <c r="F154" s="1331"/>
      <c r="G154" s="1331"/>
      <c r="H154" s="1332"/>
      <c r="I154" s="1332"/>
      <c r="J154" s="1332"/>
      <c r="K154" s="1332"/>
      <c r="L154" s="1332"/>
      <c r="M154" s="1507"/>
      <c r="N154" s="1502"/>
      <c r="O154" s="1332"/>
      <c r="P154" s="1331"/>
      <c r="Q154" s="1331"/>
      <c r="R154" s="1331"/>
      <c r="S154" s="1331"/>
      <c r="T154" s="1331"/>
      <c r="U154" s="1331"/>
      <c r="V154" s="1331"/>
      <c r="W154" s="1334"/>
      <c r="X154" s="1509"/>
      <c r="Y154" s="1331"/>
      <c r="Z154" s="1331"/>
      <c r="AA154" s="1331"/>
      <c r="AB154" s="1331"/>
      <c r="AC154" s="1331"/>
      <c r="AD154" s="1331"/>
      <c r="AE154" s="1331"/>
      <c r="AF154" s="1331"/>
      <c r="AG154" s="1331"/>
      <c r="AH154" s="1334"/>
      <c r="AI154" s="1509"/>
      <c r="AJ154" s="1331"/>
      <c r="AK154" s="1331"/>
      <c r="AL154" s="1331"/>
      <c r="AM154" s="1331"/>
      <c r="AN154" s="1331"/>
      <c r="AO154" s="1331">
        <v>2437854</v>
      </c>
      <c r="AP154" s="1331"/>
      <c r="AQ154" s="1331"/>
      <c r="AR154" s="1331"/>
      <c r="AS154" s="1331"/>
      <c r="AT154" s="1331"/>
      <c r="AU154" s="1334"/>
    </row>
    <row r="155" spans="1:47" ht="53.25" customHeight="1" x14ac:dyDescent="0.2">
      <c r="A155" s="1545" t="s">
        <v>1676</v>
      </c>
      <c r="B155" s="1493" t="s">
        <v>2584</v>
      </c>
      <c r="C155" s="1169" t="s">
        <v>2585</v>
      </c>
      <c r="D155" s="1331"/>
      <c r="E155" s="1331"/>
      <c r="F155" s="1331"/>
      <c r="G155" s="1331"/>
      <c r="H155" s="1332"/>
      <c r="I155" s="1332"/>
      <c r="J155" s="1332"/>
      <c r="K155" s="1332"/>
      <c r="L155" s="1332"/>
      <c r="M155" s="1507"/>
      <c r="N155" s="1502"/>
      <c r="O155" s="1332"/>
      <c r="P155" s="1331">
        <v>-6323915</v>
      </c>
      <c r="Q155" s="1331"/>
      <c r="R155" s="1331"/>
      <c r="S155" s="1331"/>
      <c r="T155" s="1331"/>
      <c r="U155" s="1331"/>
      <c r="V155" s="1331"/>
      <c r="W155" s="1334"/>
      <c r="X155" s="1509"/>
      <c r="Y155" s="1331"/>
      <c r="Z155" s="1331"/>
      <c r="AA155" s="1331"/>
      <c r="AB155" s="1331"/>
      <c r="AC155" s="1331"/>
      <c r="AD155" s="1331"/>
      <c r="AE155" s="1331"/>
      <c r="AF155" s="1331"/>
      <c r="AG155" s="1331"/>
      <c r="AH155" s="1334"/>
      <c r="AI155" s="1509"/>
      <c r="AJ155" s="1331"/>
      <c r="AK155" s="1331"/>
      <c r="AL155" s="1331"/>
      <c r="AM155" s="1331"/>
      <c r="AN155" s="1331"/>
      <c r="AO155" s="1331"/>
      <c r="AP155" s="1331"/>
      <c r="AQ155" s="1331"/>
      <c r="AR155" s="1331"/>
      <c r="AS155" s="1331"/>
      <c r="AT155" s="1331"/>
      <c r="AU155" s="1334"/>
    </row>
    <row r="156" spans="1:47" ht="57.75" customHeight="1" x14ac:dyDescent="0.2">
      <c r="A156" s="1545" t="s">
        <v>1677</v>
      </c>
      <c r="B156" s="1493" t="s">
        <v>2588</v>
      </c>
      <c r="C156" s="1169" t="s">
        <v>2589</v>
      </c>
      <c r="D156" s="1331"/>
      <c r="E156" s="1331"/>
      <c r="F156" s="1331"/>
      <c r="G156" s="1331"/>
      <c r="H156" s="1332"/>
      <c r="I156" s="1332"/>
      <c r="J156" s="1332"/>
      <c r="K156" s="1332"/>
      <c r="L156" s="1332"/>
      <c r="M156" s="1507"/>
      <c r="N156" s="1502"/>
      <c r="O156" s="1332"/>
      <c r="P156" s="1331">
        <v>-2528221</v>
      </c>
      <c r="Q156" s="1331"/>
      <c r="R156" s="1331"/>
      <c r="S156" s="1331"/>
      <c r="T156" s="1331"/>
      <c r="U156" s="1331"/>
      <c r="V156" s="1331"/>
      <c r="W156" s="1334"/>
      <c r="X156" s="1509"/>
      <c r="Y156" s="1331"/>
      <c r="Z156" s="1331"/>
      <c r="AA156" s="1331"/>
      <c r="AB156" s="1331"/>
      <c r="AC156" s="1331"/>
      <c r="AD156" s="1331"/>
      <c r="AE156" s="1331"/>
      <c r="AF156" s="1331"/>
      <c r="AG156" s="1331"/>
      <c r="AH156" s="1334"/>
      <c r="AI156" s="1509"/>
      <c r="AJ156" s="1331"/>
      <c r="AK156" s="1331"/>
      <c r="AL156" s="1331"/>
      <c r="AM156" s="1331"/>
      <c r="AN156" s="1331"/>
      <c r="AO156" s="1331"/>
      <c r="AP156" s="1331"/>
      <c r="AQ156" s="1331"/>
      <c r="AR156" s="1331"/>
      <c r="AS156" s="1331"/>
      <c r="AT156" s="1331"/>
      <c r="AU156" s="1334"/>
    </row>
    <row r="157" spans="1:47" ht="43.5" customHeight="1" x14ac:dyDescent="0.2">
      <c r="A157" s="1545" t="s">
        <v>1678</v>
      </c>
      <c r="B157" s="1493" t="s">
        <v>2590</v>
      </c>
      <c r="C157" s="1169" t="s">
        <v>2591</v>
      </c>
      <c r="D157" s="1331"/>
      <c r="E157" s="1331"/>
      <c r="F157" s="1331"/>
      <c r="G157" s="1331"/>
      <c r="H157" s="1332"/>
      <c r="I157" s="1332"/>
      <c r="J157" s="1332"/>
      <c r="K157" s="1332"/>
      <c r="L157" s="1332"/>
      <c r="M157" s="1507">
        <v>-34234880</v>
      </c>
      <c r="N157" s="1502"/>
      <c r="O157" s="1332"/>
      <c r="P157" s="1331"/>
      <c r="Q157" s="1331"/>
      <c r="R157" s="1331"/>
      <c r="S157" s="1331"/>
      <c r="T157" s="1331"/>
      <c r="U157" s="1331"/>
      <c r="V157" s="1331"/>
      <c r="W157" s="1334"/>
      <c r="X157" s="1509"/>
      <c r="Y157" s="1331"/>
      <c r="Z157" s="1331"/>
      <c r="AA157" s="1331"/>
      <c r="AB157" s="1331"/>
      <c r="AC157" s="1331"/>
      <c r="AD157" s="1331"/>
      <c r="AE157" s="1331"/>
      <c r="AF157" s="1331"/>
      <c r="AG157" s="1331"/>
      <c r="AH157" s="1334"/>
      <c r="AI157" s="1509"/>
      <c r="AJ157" s="1331"/>
      <c r="AK157" s="1331"/>
      <c r="AL157" s="1331"/>
      <c r="AM157" s="1331"/>
      <c r="AN157" s="1331"/>
      <c r="AO157" s="1331"/>
      <c r="AP157" s="1331"/>
      <c r="AQ157" s="1331"/>
      <c r="AR157" s="1331"/>
      <c r="AS157" s="1331"/>
      <c r="AT157" s="1331"/>
      <c r="AU157" s="1334"/>
    </row>
    <row r="158" spans="1:47" ht="54" customHeight="1" x14ac:dyDescent="0.2">
      <c r="A158" s="1545" t="s">
        <v>1679</v>
      </c>
      <c r="B158" s="1493" t="s">
        <v>2592</v>
      </c>
      <c r="C158" s="1169" t="s">
        <v>2593</v>
      </c>
      <c r="D158" s="1331"/>
      <c r="E158" s="1331"/>
      <c r="F158" s="1331"/>
      <c r="G158" s="1331"/>
      <c r="H158" s="1332"/>
      <c r="I158" s="1332"/>
      <c r="J158" s="1332"/>
      <c r="K158" s="1332"/>
      <c r="L158" s="1332"/>
      <c r="M158" s="1507"/>
      <c r="N158" s="1502"/>
      <c r="O158" s="1332"/>
      <c r="P158" s="1331"/>
      <c r="Q158" s="1331"/>
      <c r="R158" s="1331"/>
      <c r="S158" s="1331"/>
      <c r="T158" s="1331"/>
      <c r="U158" s="1331"/>
      <c r="V158" s="1331"/>
      <c r="W158" s="1334"/>
      <c r="X158" s="1509"/>
      <c r="Y158" s="1331"/>
      <c r="Z158" s="1331"/>
      <c r="AA158" s="1331"/>
      <c r="AB158" s="1331"/>
      <c r="AC158" s="1331"/>
      <c r="AD158" s="1331"/>
      <c r="AE158" s="1331"/>
      <c r="AF158" s="1331"/>
      <c r="AG158" s="1331"/>
      <c r="AH158" s="1334"/>
      <c r="AI158" s="1509"/>
      <c r="AJ158" s="1331"/>
      <c r="AK158" s="1331">
        <v>-5969000</v>
      </c>
      <c r="AL158" s="1331"/>
      <c r="AM158" s="1331"/>
      <c r="AN158" s="1331"/>
      <c r="AO158" s="1331"/>
      <c r="AP158" s="1331"/>
      <c r="AQ158" s="1331"/>
      <c r="AR158" s="1331"/>
      <c r="AS158" s="1331"/>
      <c r="AT158" s="1331"/>
      <c r="AU158" s="1334"/>
    </row>
    <row r="159" spans="1:47" ht="43.5" customHeight="1" x14ac:dyDescent="0.2">
      <c r="A159" s="1546" t="s">
        <v>1680</v>
      </c>
      <c r="B159" s="1490" t="s">
        <v>2597</v>
      </c>
      <c r="C159" s="1474" t="s">
        <v>2499</v>
      </c>
      <c r="D159" s="1331"/>
      <c r="E159" s="1331"/>
      <c r="F159" s="1331"/>
      <c r="G159" s="1331"/>
      <c r="H159" s="1332"/>
      <c r="I159" s="1332"/>
      <c r="J159" s="1332"/>
      <c r="K159" s="1332"/>
      <c r="L159" s="1332"/>
      <c r="M159" s="1507"/>
      <c r="N159" s="1502"/>
      <c r="O159" s="1332"/>
      <c r="P159" s="1331">
        <v>-544050</v>
      </c>
      <c r="Q159" s="1331"/>
      <c r="R159" s="1331"/>
      <c r="S159" s="1331"/>
      <c r="T159" s="1331"/>
      <c r="U159" s="1331"/>
      <c r="V159" s="1331"/>
      <c r="W159" s="1334"/>
      <c r="X159" s="1509"/>
      <c r="Y159" s="1331"/>
      <c r="Z159" s="1331"/>
      <c r="AA159" s="1331"/>
      <c r="AB159" s="1331"/>
      <c r="AC159" s="1331"/>
      <c r="AD159" s="1331"/>
      <c r="AE159" s="1331"/>
      <c r="AF159" s="1331"/>
      <c r="AG159" s="1331"/>
      <c r="AH159" s="1334"/>
      <c r="AI159" s="1509"/>
      <c r="AJ159" s="1331"/>
      <c r="AK159" s="1331"/>
      <c r="AL159" s="1331"/>
      <c r="AM159" s="1331"/>
      <c r="AN159" s="1331"/>
      <c r="AO159" s="1331"/>
      <c r="AP159" s="1331"/>
      <c r="AQ159" s="1331"/>
      <c r="AR159" s="1331"/>
      <c r="AS159" s="1331"/>
      <c r="AT159" s="1331"/>
      <c r="AU159" s="1334"/>
    </row>
    <row r="160" spans="1:47" ht="43.5" customHeight="1" x14ac:dyDescent="0.2">
      <c r="A160" s="1545" t="s">
        <v>1682</v>
      </c>
      <c r="B160" s="1493" t="s">
        <v>2602</v>
      </c>
      <c r="C160" s="1169" t="s">
        <v>2603</v>
      </c>
      <c r="D160" s="1331"/>
      <c r="E160" s="1331"/>
      <c r="F160" s="1331"/>
      <c r="G160" s="1331"/>
      <c r="H160" s="1332"/>
      <c r="I160" s="1332"/>
      <c r="J160" s="1332"/>
      <c r="K160" s="1332"/>
      <c r="L160" s="1332"/>
      <c r="M160" s="1507"/>
      <c r="N160" s="1502"/>
      <c r="O160" s="1332"/>
      <c r="P160" s="1331">
        <v>-365760</v>
      </c>
      <c r="Q160" s="1331"/>
      <c r="R160" s="1331"/>
      <c r="S160" s="1331"/>
      <c r="T160" s="1331"/>
      <c r="U160" s="1331"/>
      <c r="V160" s="1331"/>
      <c r="W160" s="1334"/>
      <c r="X160" s="1509"/>
      <c r="Y160" s="1331"/>
      <c r="Z160" s="1331"/>
      <c r="AA160" s="1331"/>
      <c r="AB160" s="1331"/>
      <c r="AC160" s="1331"/>
      <c r="AD160" s="1331"/>
      <c r="AE160" s="1331"/>
      <c r="AF160" s="1331"/>
      <c r="AG160" s="1331"/>
      <c r="AH160" s="1334"/>
      <c r="AI160" s="1509"/>
      <c r="AJ160" s="1331"/>
      <c r="AK160" s="1331"/>
      <c r="AL160" s="1331"/>
      <c r="AM160" s="1331"/>
      <c r="AN160" s="1331"/>
      <c r="AO160" s="1331"/>
      <c r="AP160" s="1331"/>
      <c r="AQ160" s="1331"/>
      <c r="AR160" s="1331"/>
      <c r="AS160" s="1331"/>
      <c r="AT160" s="1331"/>
      <c r="AU160" s="1334"/>
    </row>
    <row r="161" spans="1:47" ht="43.5" customHeight="1" x14ac:dyDescent="0.2">
      <c r="A161" s="1545" t="s">
        <v>1683</v>
      </c>
      <c r="B161" s="1493" t="s">
        <v>2605</v>
      </c>
      <c r="C161" s="1169" t="s">
        <v>2606</v>
      </c>
      <c r="D161" s="1331"/>
      <c r="E161" s="1331"/>
      <c r="F161" s="1331"/>
      <c r="G161" s="1331"/>
      <c r="H161" s="1332"/>
      <c r="I161" s="1332"/>
      <c r="J161" s="1332"/>
      <c r="K161" s="1332"/>
      <c r="L161" s="1332"/>
      <c r="M161" s="1507"/>
      <c r="N161" s="1502"/>
      <c r="O161" s="1332"/>
      <c r="P161" s="1331">
        <v>-431800</v>
      </c>
      <c r="Q161" s="1331"/>
      <c r="R161" s="1331"/>
      <c r="S161" s="1331"/>
      <c r="T161" s="1331"/>
      <c r="U161" s="1331"/>
      <c r="V161" s="1331"/>
      <c r="W161" s="1334"/>
      <c r="X161" s="1509"/>
      <c r="Y161" s="1331"/>
      <c r="Z161" s="1331"/>
      <c r="AA161" s="1331"/>
      <c r="AB161" s="1331"/>
      <c r="AC161" s="1331"/>
      <c r="AD161" s="1331"/>
      <c r="AE161" s="1331"/>
      <c r="AF161" s="1331"/>
      <c r="AG161" s="1331"/>
      <c r="AH161" s="1334"/>
      <c r="AI161" s="1509"/>
      <c r="AJ161" s="1331"/>
      <c r="AK161" s="1331"/>
      <c r="AL161" s="1331"/>
      <c r="AM161" s="1331"/>
      <c r="AN161" s="1331"/>
      <c r="AO161" s="1331"/>
      <c r="AP161" s="1331"/>
      <c r="AQ161" s="1331"/>
      <c r="AR161" s="1331"/>
      <c r="AS161" s="1331"/>
      <c r="AT161" s="1331"/>
      <c r="AU161" s="1334"/>
    </row>
    <row r="162" spans="1:47" ht="39.75" customHeight="1" x14ac:dyDescent="0.2">
      <c r="A162" s="1546" t="s">
        <v>1684</v>
      </c>
      <c r="B162" s="1490" t="s">
        <v>2612</v>
      </c>
      <c r="C162" s="1474" t="s">
        <v>2638</v>
      </c>
      <c r="D162" s="1331"/>
      <c r="E162" s="1331"/>
      <c r="F162" s="1331"/>
      <c r="G162" s="1331"/>
      <c r="H162" s="1332"/>
      <c r="I162" s="1332"/>
      <c r="J162" s="1332"/>
      <c r="K162" s="1332"/>
      <c r="L162" s="1332"/>
      <c r="M162" s="1507"/>
      <c r="N162" s="1502"/>
      <c r="O162" s="1332"/>
      <c r="P162" s="1331"/>
      <c r="Q162" s="1331"/>
      <c r="R162" s="1331"/>
      <c r="S162" s="1331"/>
      <c r="T162" s="1331"/>
      <c r="U162" s="1331"/>
      <c r="V162" s="1331"/>
      <c r="W162" s="1334"/>
      <c r="X162" s="1509"/>
      <c r="Y162" s="1331"/>
      <c r="Z162" s="1331"/>
      <c r="AA162" s="1331"/>
      <c r="AB162" s="1331"/>
      <c r="AC162" s="1331"/>
      <c r="AD162" s="1331"/>
      <c r="AE162" s="1331"/>
      <c r="AF162" s="1331"/>
      <c r="AG162" s="1331"/>
      <c r="AH162" s="1334"/>
      <c r="AI162" s="1509">
        <v>-5080000</v>
      </c>
      <c r="AJ162" s="1331"/>
      <c r="AK162" s="1331"/>
      <c r="AL162" s="1331"/>
      <c r="AM162" s="1331"/>
      <c r="AN162" s="1331"/>
      <c r="AO162" s="1331"/>
      <c r="AP162" s="1331"/>
      <c r="AQ162" s="1331"/>
      <c r="AR162" s="1331"/>
      <c r="AS162" s="1331"/>
      <c r="AT162" s="1331"/>
      <c r="AU162" s="1334"/>
    </row>
    <row r="163" spans="1:47" ht="54.75" customHeight="1" x14ac:dyDescent="0.2">
      <c r="A163" s="1546" t="s">
        <v>1685</v>
      </c>
      <c r="B163" s="1490" t="s">
        <v>2613</v>
      </c>
      <c r="C163" s="1474" t="s">
        <v>2614</v>
      </c>
      <c r="D163" s="1331"/>
      <c r="E163" s="1331"/>
      <c r="F163" s="1331"/>
      <c r="G163" s="1331"/>
      <c r="H163" s="1332"/>
      <c r="I163" s="1332"/>
      <c r="J163" s="1332"/>
      <c r="K163" s="1332"/>
      <c r="L163" s="1332"/>
      <c r="M163" s="1507"/>
      <c r="N163" s="1502"/>
      <c r="O163" s="1332"/>
      <c r="P163" s="1331">
        <v>-252603</v>
      </c>
      <c r="Q163" s="1331"/>
      <c r="R163" s="1331"/>
      <c r="S163" s="1331"/>
      <c r="T163" s="1331"/>
      <c r="U163" s="1331"/>
      <c r="V163" s="1331"/>
      <c r="W163" s="1334"/>
      <c r="X163" s="1509"/>
      <c r="Y163" s="1331"/>
      <c r="Z163" s="1331"/>
      <c r="AA163" s="1331"/>
      <c r="AB163" s="1331"/>
      <c r="AC163" s="1331"/>
      <c r="AD163" s="1331"/>
      <c r="AE163" s="1331"/>
      <c r="AF163" s="1331"/>
      <c r="AG163" s="1331"/>
      <c r="AH163" s="1334"/>
      <c r="AI163" s="1509"/>
      <c r="AJ163" s="1331"/>
      <c r="AK163" s="1331"/>
      <c r="AL163" s="1331"/>
      <c r="AM163" s="1331"/>
      <c r="AN163" s="1331"/>
      <c r="AO163" s="1331"/>
      <c r="AP163" s="1331"/>
      <c r="AQ163" s="1331"/>
      <c r="AR163" s="1331"/>
      <c r="AS163" s="1331"/>
      <c r="AT163" s="1331"/>
      <c r="AU163" s="1334"/>
    </row>
    <row r="164" spans="1:47" ht="38.25" customHeight="1" x14ac:dyDescent="0.2">
      <c r="A164" s="1546" t="s">
        <v>1690</v>
      </c>
      <c r="B164" s="1490" t="s">
        <v>2624</v>
      </c>
      <c r="C164" s="1474" t="s">
        <v>2625</v>
      </c>
      <c r="D164" s="1331"/>
      <c r="E164" s="1331"/>
      <c r="F164" s="1331"/>
      <c r="G164" s="1331"/>
      <c r="H164" s="1332"/>
      <c r="I164" s="1332"/>
      <c r="J164" s="1332"/>
      <c r="K164" s="1332"/>
      <c r="L164" s="1332"/>
      <c r="M164" s="1507"/>
      <c r="N164" s="1502"/>
      <c r="O164" s="1332"/>
      <c r="P164" s="1331"/>
      <c r="Q164" s="1331"/>
      <c r="R164" s="1331"/>
      <c r="S164" s="1331"/>
      <c r="T164" s="1331"/>
      <c r="U164" s="1331"/>
      <c r="V164" s="1331"/>
      <c r="W164" s="1334"/>
      <c r="X164" s="1509"/>
      <c r="Y164" s="1331"/>
      <c r="Z164" s="1331"/>
      <c r="AA164" s="1331"/>
      <c r="AB164" s="1331"/>
      <c r="AC164" s="1331"/>
      <c r="AD164" s="1331"/>
      <c r="AE164" s="1331"/>
      <c r="AF164" s="1331"/>
      <c r="AG164" s="1331"/>
      <c r="AH164" s="1334"/>
      <c r="AI164" s="1509"/>
      <c r="AJ164" s="1331"/>
      <c r="AK164" s="1331"/>
      <c r="AL164" s="1331"/>
      <c r="AM164" s="1331"/>
      <c r="AN164" s="1331"/>
      <c r="AO164" s="1331"/>
      <c r="AP164" s="1331"/>
      <c r="AQ164" s="1331"/>
      <c r="AR164" s="1331">
        <v>40280</v>
      </c>
      <c r="AS164" s="1331"/>
      <c r="AT164" s="1331"/>
      <c r="AU164" s="1334"/>
    </row>
    <row r="165" spans="1:47" ht="43.5" customHeight="1" x14ac:dyDescent="0.2">
      <c r="A165" s="1545" t="s">
        <v>1691</v>
      </c>
      <c r="B165" s="1493" t="s">
        <v>2626</v>
      </c>
      <c r="C165" s="1169" t="s">
        <v>2627</v>
      </c>
      <c r="D165" s="1331"/>
      <c r="E165" s="1331"/>
      <c r="F165" s="1331"/>
      <c r="G165" s="1331"/>
      <c r="H165" s="1332"/>
      <c r="I165" s="1332"/>
      <c r="J165" s="1332"/>
      <c r="K165" s="1332"/>
      <c r="L165" s="1332"/>
      <c r="M165" s="1507"/>
      <c r="N165" s="1502"/>
      <c r="O165" s="1332"/>
      <c r="P165" s="1331"/>
      <c r="Q165" s="1331"/>
      <c r="R165" s="1331"/>
      <c r="S165" s="1331"/>
      <c r="T165" s="1331"/>
      <c r="U165" s="1331"/>
      <c r="V165" s="1331"/>
      <c r="W165" s="1334">
        <v>2497867</v>
      </c>
      <c r="X165" s="1509"/>
      <c r="Y165" s="1331"/>
      <c r="Z165" s="1331"/>
      <c r="AA165" s="1331"/>
      <c r="AB165" s="1331"/>
      <c r="AC165" s="1331"/>
      <c r="AD165" s="1331"/>
      <c r="AE165" s="1331"/>
      <c r="AF165" s="1331"/>
      <c r="AG165" s="1331"/>
      <c r="AH165" s="1334"/>
      <c r="AI165" s="1509"/>
      <c r="AJ165" s="1331"/>
      <c r="AK165" s="1331"/>
      <c r="AL165" s="1331"/>
      <c r="AM165" s="1331"/>
      <c r="AN165" s="1331"/>
      <c r="AO165" s="1331"/>
      <c r="AP165" s="1331"/>
      <c r="AQ165" s="1331"/>
      <c r="AR165" s="1331"/>
      <c r="AS165" s="1331"/>
      <c r="AT165" s="1331"/>
      <c r="AU165" s="1334"/>
    </row>
    <row r="166" spans="1:47" ht="43.5" customHeight="1" x14ac:dyDescent="0.2">
      <c r="A166" s="1494" t="s">
        <v>1692</v>
      </c>
      <c r="B166" s="1493" t="s">
        <v>2644</v>
      </c>
      <c r="C166" s="1169" t="s">
        <v>2645</v>
      </c>
      <c r="D166" s="1331"/>
      <c r="E166" s="1331"/>
      <c r="F166" s="1331"/>
      <c r="G166" s="1331"/>
      <c r="H166" s="1332"/>
      <c r="I166" s="1332"/>
      <c r="J166" s="1332"/>
      <c r="K166" s="1332"/>
      <c r="L166" s="1332"/>
      <c r="M166" s="1507"/>
      <c r="N166" s="1502"/>
      <c r="O166" s="1332"/>
      <c r="P166" s="1331">
        <v>-317500</v>
      </c>
      <c r="Q166" s="1331"/>
      <c r="R166" s="1331"/>
      <c r="S166" s="1331"/>
      <c r="T166" s="1331"/>
      <c r="U166" s="1331"/>
      <c r="V166" s="1331"/>
      <c r="W166" s="1334"/>
      <c r="X166" s="1509"/>
      <c r="Y166" s="1331"/>
      <c r="Z166" s="1331"/>
      <c r="AA166" s="1331"/>
      <c r="AB166" s="1331"/>
      <c r="AC166" s="1331"/>
      <c r="AD166" s="1331"/>
      <c r="AE166" s="1331"/>
      <c r="AF166" s="1331"/>
      <c r="AG166" s="1331"/>
      <c r="AH166" s="1334"/>
      <c r="AI166" s="1509"/>
      <c r="AJ166" s="1331"/>
      <c r="AK166" s="1331"/>
      <c r="AL166" s="1331"/>
      <c r="AM166" s="1331"/>
      <c r="AN166" s="1331"/>
      <c r="AO166" s="1331"/>
      <c r="AP166" s="1331"/>
      <c r="AQ166" s="1331"/>
      <c r="AR166" s="1331"/>
      <c r="AS166" s="1331"/>
      <c r="AT166" s="1331"/>
      <c r="AU166" s="1334"/>
    </row>
    <row r="167" spans="1:47" ht="54.75" customHeight="1" x14ac:dyDescent="0.2">
      <c r="A167" s="1491" t="s">
        <v>1693</v>
      </c>
      <c r="B167" s="1490" t="s">
        <v>2646</v>
      </c>
      <c r="C167" s="1474" t="s">
        <v>2648</v>
      </c>
      <c r="D167" s="1331"/>
      <c r="E167" s="1331"/>
      <c r="F167" s="1331"/>
      <c r="G167" s="1331"/>
      <c r="H167" s="1332"/>
      <c r="I167" s="1332"/>
      <c r="J167" s="1332"/>
      <c r="K167" s="1332"/>
      <c r="L167" s="1332"/>
      <c r="M167" s="1507"/>
      <c r="N167" s="1502"/>
      <c r="O167" s="1332"/>
      <c r="P167" s="1331">
        <v>-203200</v>
      </c>
      <c r="Q167" s="1331"/>
      <c r="R167" s="1331"/>
      <c r="S167" s="1331"/>
      <c r="T167" s="1331"/>
      <c r="U167" s="1331"/>
      <c r="V167" s="1331"/>
      <c r="W167" s="1334"/>
      <c r="X167" s="1509"/>
      <c r="Y167" s="1331"/>
      <c r="Z167" s="1331"/>
      <c r="AA167" s="1331"/>
      <c r="AB167" s="1331"/>
      <c r="AC167" s="1331"/>
      <c r="AD167" s="1331"/>
      <c r="AE167" s="1331"/>
      <c r="AF167" s="1331"/>
      <c r="AG167" s="1331"/>
      <c r="AH167" s="1334"/>
      <c r="AI167" s="1509"/>
      <c r="AJ167" s="1331"/>
      <c r="AK167" s="1331"/>
      <c r="AL167" s="1331"/>
      <c r="AM167" s="1331"/>
      <c r="AN167" s="1331"/>
      <c r="AO167" s="1331"/>
      <c r="AP167" s="1331"/>
      <c r="AQ167" s="1331"/>
      <c r="AR167" s="1331"/>
      <c r="AS167" s="1331"/>
      <c r="AT167" s="1331"/>
      <c r="AU167" s="1334"/>
    </row>
    <row r="168" spans="1:47" ht="31.5" customHeight="1" x14ac:dyDescent="0.2">
      <c r="A168" s="1546" t="s">
        <v>1694</v>
      </c>
      <c r="B168" s="1490" t="s">
        <v>2649</v>
      </c>
      <c r="C168" s="1474" t="s">
        <v>2650</v>
      </c>
      <c r="D168" s="1331"/>
      <c r="E168" s="1331"/>
      <c r="F168" s="1331"/>
      <c r="G168" s="1331"/>
      <c r="H168" s="1332"/>
      <c r="I168" s="1332"/>
      <c r="J168" s="1332"/>
      <c r="K168" s="1332"/>
      <c r="L168" s="1332"/>
      <c r="M168" s="1507"/>
      <c r="N168" s="1502"/>
      <c r="O168" s="1332"/>
      <c r="P168" s="1331"/>
      <c r="Q168" s="1331"/>
      <c r="R168" s="1331"/>
      <c r="S168" s="1331"/>
      <c r="T168" s="1331"/>
      <c r="U168" s="1331"/>
      <c r="V168" s="1331"/>
      <c r="W168" s="1334"/>
      <c r="X168" s="1509"/>
      <c r="Y168" s="1331"/>
      <c r="Z168" s="1331"/>
      <c r="AA168" s="1331"/>
      <c r="AB168" s="1331"/>
      <c r="AC168" s="1331"/>
      <c r="AD168" s="1331"/>
      <c r="AE168" s="1331"/>
      <c r="AF168" s="1331"/>
      <c r="AG168" s="1331"/>
      <c r="AH168" s="1334"/>
      <c r="AI168" s="1509"/>
      <c r="AJ168" s="1331"/>
      <c r="AK168" s="1331"/>
      <c r="AL168" s="1331">
        <v>-19011900</v>
      </c>
      <c r="AM168" s="1331"/>
      <c r="AN168" s="1331"/>
      <c r="AO168" s="1331"/>
      <c r="AP168" s="1331"/>
      <c r="AQ168" s="1331"/>
      <c r="AR168" s="1331"/>
      <c r="AS168" s="1331"/>
      <c r="AT168" s="1331"/>
      <c r="AU168" s="1334"/>
    </row>
    <row r="169" spans="1:47" ht="43.5" customHeight="1" x14ac:dyDescent="0.2">
      <c r="A169" s="1546" t="s">
        <v>1695</v>
      </c>
      <c r="B169" s="1490" t="s">
        <v>2651</v>
      </c>
      <c r="C169" s="1474" t="s">
        <v>2652</v>
      </c>
      <c r="D169" s="1331"/>
      <c r="E169" s="1331"/>
      <c r="F169" s="1331"/>
      <c r="G169" s="1331"/>
      <c r="H169" s="1332"/>
      <c r="I169" s="1332"/>
      <c r="J169" s="1332"/>
      <c r="K169" s="1332"/>
      <c r="L169" s="1332"/>
      <c r="M169" s="1507"/>
      <c r="N169" s="1502"/>
      <c r="O169" s="1332"/>
      <c r="P169" s="1331"/>
      <c r="Q169" s="1331"/>
      <c r="R169" s="1331"/>
      <c r="S169" s="1331"/>
      <c r="T169" s="1331"/>
      <c r="U169" s="1331"/>
      <c r="V169" s="1331"/>
      <c r="W169" s="1334"/>
      <c r="X169" s="1509"/>
      <c r="Y169" s="1331"/>
      <c r="Z169" s="1331"/>
      <c r="AA169" s="1331"/>
      <c r="AB169" s="1331"/>
      <c r="AC169" s="1331"/>
      <c r="AD169" s="1331"/>
      <c r="AE169" s="1331"/>
      <c r="AF169" s="1331"/>
      <c r="AG169" s="1331"/>
      <c r="AH169" s="1334"/>
      <c r="AI169" s="1509"/>
      <c r="AJ169" s="1331"/>
      <c r="AK169" s="1331">
        <v>-3707366</v>
      </c>
      <c r="AL169" s="1331"/>
      <c r="AM169" s="1331"/>
      <c r="AN169" s="1331"/>
      <c r="AO169" s="1331"/>
      <c r="AP169" s="1331"/>
      <c r="AQ169" s="1331"/>
      <c r="AR169" s="1331"/>
      <c r="AS169" s="1331"/>
      <c r="AT169" s="1331"/>
      <c r="AU169" s="1334"/>
    </row>
    <row r="170" spans="1:47" ht="43.5" customHeight="1" x14ac:dyDescent="0.2">
      <c r="A170" s="1546" t="s">
        <v>1697</v>
      </c>
      <c r="B170" s="1490" t="s">
        <v>2656</v>
      </c>
      <c r="C170" s="1474" t="s">
        <v>2657</v>
      </c>
      <c r="D170" s="1331"/>
      <c r="E170" s="1331"/>
      <c r="F170" s="1331"/>
      <c r="G170" s="1331"/>
      <c r="H170" s="1332"/>
      <c r="I170" s="1332"/>
      <c r="J170" s="1332"/>
      <c r="K170" s="1332"/>
      <c r="L170" s="1332"/>
      <c r="M170" s="1507"/>
      <c r="N170" s="1502"/>
      <c r="O170" s="1332"/>
      <c r="P170" s="1331">
        <v>-135000</v>
      </c>
      <c r="Q170" s="1331"/>
      <c r="R170" s="1331"/>
      <c r="S170" s="1331"/>
      <c r="T170" s="1331"/>
      <c r="U170" s="1331"/>
      <c r="V170" s="1331"/>
      <c r="W170" s="1334"/>
      <c r="X170" s="1509"/>
      <c r="Y170" s="1331"/>
      <c r="Z170" s="1331"/>
      <c r="AA170" s="1331"/>
      <c r="AB170" s="1331"/>
      <c r="AC170" s="1331"/>
      <c r="AD170" s="1331"/>
      <c r="AE170" s="1331"/>
      <c r="AF170" s="1331"/>
      <c r="AG170" s="1331"/>
      <c r="AH170" s="1334"/>
      <c r="AI170" s="1509"/>
      <c r="AJ170" s="1331"/>
      <c r="AK170" s="1331"/>
      <c r="AL170" s="1331"/>
      <c r="AM170" s="1331"/>
      <c r="AN170" s="1331"/>
      <c r="AO170" s="1331"/>
      <c r="AP170" s="1331"/>
      <c r="AQ170" s="1331"/>
      <c r="AR170" s="1331"/>
      <c r="AS170" s="1331"/>
      <c r="AT170" s="1331"/>
      <c r="AU170" s="1334"/>
    </row>
    <row r="171" spans="1:47" ht="43.5" customHeight="1" x14ac:dyDescent="0.2">
      <c r="A171" s="1546" t="s">
        <v>1698</v>
      </c>
      <c r="B171" s="1490" t="s">
        <v>2659</v>
      </c>
      <c r="C171" s="1474" t="s">
        <v>2660</v>
      </c>
      <c r="D171" s="1331"/>
      <c r="E171" s="1331"/>
      <c r="F171" s="1331"/>
      <c r="G171" s="1331"/>
      <c r="H171" s="1332"/>
      <c r="I171" s="1332"/>
      <c r="J171" s="1332"/>
      <c r="K171" s="1332"/>
      <c r="L171" s="1332"/>
      <c r="M171" s="1507"/>
      <c r="N171" s="1502"/>
      <c r="O171" s="1332"/>
      <c r="P171" s="1331">
        <v>-210000</v>
      </c>
      <c r="Q171" s="1331"/>
      <c r="R171" s="1331"/>
      <c r="S171" s="1331"/>
      <c r="T171" s="1331"/>
      <c r="U171" s="1331"/>
      <c r="V171" s="1331"/>
      <c r="W171" s="1334"/>
      <c r="X171" s="1509"/>
      <c r="Y171" s="1331"/>
      <c r="Z171" s="1331"/>
      <c r="AA171" s="1331"/>
      <c r="AB171" s="1331"/>
      <c r="AC171" s="1331"/>
      <c r="AD171" s="1331"/>
      <c r="AE171" s="1331"/>
      <c r="AF171" s="1331"/>
      <c r="AG171" s="1331"/>
      <c r="AH171" s="1334"/>
      <c r="AI171" s="1509"/>
      <c r="AJ171" s="1331"/>
      <c r="AK171" s="1331"/>
      <c r="AL171" s="1331"/>
      <c r="AM171" s="1331"/>
      <c r="AN171" s="1331"/>
      <c r="AO171" s="1331"/>
      <c r="AP171" s="1331"/>
      <c r="AQ171" s="1331"/>
      <c r="AR171" s="1331"/>
      <c r="AS171" s="1331"/>
      <c r="AT171" s="1331"/>
      <c r="AU171" s="1334"/>
    </row>
    <row r="172" spans="1:47" ht="43.5" customHeight="1" x14ac:dyDescent="0.2">
      <c r="A172" s="1546" t="s">
        <v>1699</v>
      </c>
      <c r="B172" s="1490" t="s">
        <v>2662</v>
      </c>
      <c r="C172" s="1474" t="s">
        <v>2663</v>
      </c>
      <c r="D172" s="1331"/>
      <c r="E172" s="1331"/>
      <c r="F172" s="1331"/>
      <c r="G172" s="1331"/>
      <c r="H172" s="1332"/>
      <c r="I172" s="1332"/>
      <c r="J172" s="1332"/>
      <c r="K172" s="1332"/>
      <c r="L172" s="1332"/>
      <c r="M172" s="1507"/>
      <c r="N172" s="1502"/>
      <c r="O172" s="1332"/>
      <c r="P172" s="1331"/>
      <c r="Q172" s="1331"/>
      <c r="R172" s="1331"/>
      <c r="S172" s="1331"/>
      <c r="T172" s="1331"/>
      <c r="U172" s="1331"/>
      <c r="V172" s="1331"/>
      <c r="W172" s="1334"/>
      <c r="X172" s="1509"/>
      <c r="Y172" s="1331"/>
      <c r="Z172" s="1331"/>
      <c r="AA172" s="1331"/>
      <c r="AB172" s="1331"/>
      <c r="AC172" s="1331"/>
      <c r="AD172" s="1331"/>
      <c r="AE172" s="1331"/>
      <c r="AF172" s="1331"/>
      <c r="AG172" s="1331"/>
      <c r="AH172" s="1334"/>
      <c r="AI172" s="1509"/>
      <c r="AJ172" s="1331"/>
      <c r="AK172" s="1331"/>
      <c r="AL172" s="1331"/>
      <c r="AM172" s="1331"/>
      <c r="AN172" s="1331"/>
      <c r="AO172" s="1331"/>
      <c r="AP172" s="1331"/>
      <c r="AQ172" s="1331"/>
      <c r="AR172" s="1331"/>
      <c r="AS172" s="1331"/>
      <c r="AT172" s="1331"/>
      <c r="AU172" s="1334">
        <v>-1000000</v>
      </c>
    </row>
    <row r="173" spans="1:47" ht="52.5" customHeight="1" x14ac:dyDescent="0.2">
      <c r="A173" s="1546" t="s">
        <v>1701</v>
      </c>
      <c r="B173" s="1490" t="s">
        <v>2667</v>
      </c>
      <c r="C173" s="1474" t="s">
        <v>2668</v>
      </c>
      <c r="D173" s="1331"/>
      <c r="E173" s="1331"/>
      <c r="F173" s="1331"/>
      <c r="G173" s="1331">
        <v>-1826609</v>
      </c>
      <c r="H173" s="1332"/>
      <c r="I173" s="1332"/>
      <c r="J173" s="1332"/>
      <c r="K173" s="1332"/>
      <c r="L173" s="1332"/>
      <c r="M173" s="1507"/>
      <c r="N173" s="1502"/>
      <c r="O173" s="1332"/>
      <c r="P173" s="1331"/>
      <c r="Q173" s="1331"/>
      <c r="R173" s="1331"/>
      <c r="S173" s="1331"/>
      <c r="T173" s="1331"/>
      <c r="U173" s="1331"/>
      <c r="V173" s="1331"/>
      <c r="W173" s="1334"/>
      <c r="X173" s="1509"/>
      <c r="Y173" s="1331"/>
      <c r="Z173" s="1331"/>
      <c r="AA173" s="1331"/>
      <c r="AB173" s="1331"/>
      <c r="AC173" s="1331"/>
      <c r="AD173" s="1331"/>
      <c r="AE173" s="1331"/>
      <c r="AF173" s="1331"/>
      <c r="AG173" s="1331"/>
      <c r="AH173" s="1334"/>
      <c r="AI173" s="1509"/>
      <c r="AJ173" s="1331"/>
      <c r="AK173" s="1331"/>
      <c r="AL173" s="1331"/>
      <c r="AM173" s="1331"/>
      <c r="AN173" s="1331"/>
      <c r="AO173" s="1331"/>
      <c r="AP173" s="1331"/>
      <c r="AQ173" s="1331"/>
      <c r="AR173" s="1331"/>
      <c r="AS173" s="1331"/>
      <c r="AT173" s="1331"/>
      <c r="AU173" s="1334"/>
    </row>
    <row r="174" spans="1:47" ht="43.5" customHeight="1" x14ac:dyDescent="0.2">
      <c r="A174" s="1546" t="s">
        <v>1706</v>
      </c>
      <c r="B174" s="1490" t="s">
        <v>2679</v>
      </c>
      <c r="C174" s="1474" t="s">
        <v>2680</v>
      </c>
      <c r="D174" s="1331"/>
      <c r="E174" s="1331"/>
      <c r="F174" s="1331"/>
      <c r="G174" s="1331"/>
      <c r="H174" s="1332"/>
      <c r="I174" s="1332"/>
      <c r="J174" s="1332"/>
      <c r="K174" s="1332"/>
      <c r="L174" s="1332"/>
      <c r="M174" s="1507"/>
      <c r="N174" s="1502"/>
      <c r="O174" s="1332"/>
      <c r="P174" s="1331"/>
      <c r="Q174" s="1331"/>
      <c r="R174" s="1331"/>
      <c r="S174" s="1331"/>
      <c r="T174" s="1331"/>
      <c r="U174" s="1331"/>
      <c r="V174" s="1331"/>
      <c r="W174" s="1334"/>
      <c r="X174" s="1509"/>
      <c r="Y174" s="1331"/>
      <c r="Z174" s="1331"/>
      <c r="AA174" s="1331"/>
      <c r="AB174" s="1331"/>
      <c r="AC174" s="1331"/>
      <c r="AD174" s="1331"/>
      <c r="AE174" s="1331"/>
      <c r="AF174" s="1331"/>
      <c r="AG174" s="1331"/>
      <c r="AH174" s="1334"/>
      <c r="AI174" s="1509">
        <v>-5339400</v>
      </c>
      <c r="AJ174" s="1331"/>
      <c r="AK174" s="1331"/>
      <c r="AL174" s="1331"/>
      <c r="AM174" s="1331"/>
      <c r="AN174" s="1331"/>
      <c r="AO174" s="1331"/>
      <c r="AP174" s="1331"/>
      <c r="AQ174" s="1331"/>
      <c r="AR174" s="1331"/>
      <c r="AS174" s="1331"/>
      <c r="AT174" s="1331"/>
      <c r="AU174" s="1334"/>
    </row>
    <row r="175" spans="1:47" ht="36" customHeight="1" x14ac:dyDescent="0.2">
      <c r="A175" s="1546" t="s">
        <v>1708</v>
      </c>
      <c r="B175" s="1490" t="s">
        <v>2685</v>
      </c>
      <c r="C175" s="1474" t="s">
        <v>2549</v>
      </c>
      <c r="D175" s="1331"/>
      <c r="E175" s="1331"/>
      <c r="F175" s="1331"/>
      <c r="G175" s="1331"/>
      <c r="H175" s="1332"/>
      <c r="I175" s="1332"/>
      <c r="J175" s="1332"/>
      <c r="K175" s="1332"/>
      <c r="L175" s="1332"/>
      <c r="M175" s="1507"/>
      <c r="N175" s="1502"/>
      <c r="O175" s="1332"/>
      <c r="P175" s="1331"/>
      <c r="Q175" s="1331"/>
      <c r="R175" s="1331"/>
      <c r="S175" s="1331"/>
      <c r="T175" s="1331"/>
      <c r="U175" s="1331"/>
      <c r="V175" s="1331"/>
      <c r="W175" s="1334"/>
      <c r="X175" s="1509"/>
      <c r="Y175" s="1331"/>
      <c r="Z175" s="1331"/>
      <c r="AA175" s="1331"/>
      <c r="AB175" s="1331"/>
      <c r="AC175" s="1331"/>
      <c r="AD175" s="1331"/>
      <c r="AE175" s="1331"/>
      <c r="AF175" s="1331"/>
      <c r="AG175" s="1331"/>
      <c r="AH175" s="1334"/>
      <c r="AI175" s="1509"/>
      <c r="AJ175" s="1331"/>
      <c r="AK175" s="1331"/>
      <c r="AL175" s="1331"/>
      <c r="AM175" s="1331"/>
      <c r="AN175" s="1331"/>
      <c r="AO175" s="1331"/>
      <c r="AP175" s="1331"/>
      <c r="AQ175" s="1331"/>
      <c r="AR175" s="1331">
        <v>-6350000</v>
      </c>
      <c r="AS175" s="1331"/>
      <c r="AT175" s="1331"/>
      <c r="AU175" s="1334"/>
    </row>
    <row r="176" spans="1:47" ht="43.5" customHeight="1" x14ac:dyDescent="0.2">
      <c r="A176" s="1546" t="s">
        <v>1712</v>
      </c>
      <c r="B176" s="1490" t="s">
        <v>2693</v>
      </c>
      <c r="C176" s="1474" t="s">
        <v>2694</v>
      </c>
      <c r="D176" s="1331"/>
      <c r="E176" s="1331"/>
      <c r="F176" s="1331"/>
      <c r="G176" s="1331"/>
      <c r="H176" s="1332"/>
      <c r="I176" s="1332"/>
      <c r="J176" s="1332"/>
      <c r="K176" s="1332"/>
      <c r="L176" s="1332"/>
      <c r="M176" s="1507"/>
      <c r="N176" s="1502"/>
      <c r="O176" s="1332"/>
      <c r="P176" s="1331"/>
      <c r="Q176" s="1331"/>
      <c r="R176" s="1331"/>
      <c r="S176" s="1331"/>
      <c r="T176" s="1331"/>
      <c r="U176" s="1331"/>
      <c r="V176" s="1331"/>
      <c r="W176" s="1334"/>
      <c r="X176" s="1509"/>
      <c r="Y176" s="1331"/>
      <c r="Z176" s="1331"/>
      <c r="AA176" s="1331"/>
      <c r="AB176" s="1331"/>
      <c r="AC176" s="1331"/>
      <c r="AD176" s="1331"/>
      <c r="AE176" s="1331"/>
      <c r="AF176" s="1331"/>
      <c r="AG176" s="1331"/>
      <c r="AH176" s="1334"/>
      <c r="AI176" s="1509"/>
      <c r="AJ176" s="1331"/>
      <c r="AK176" s="1331">
        <v>-1506220</v>
      </c>
      <c r="AL176" s="1331"/>
      <c r="AM176" s="1331"/>
      <c r="AN176" s="1331"/>
      <c r="AO176" s="1331"/>
      <c r="AP176" s="1331"/>
      <c r="AQ176" s="1331"/>
      <c r="AR176" s="1331"/>
      <c r="AS176" s="1331"/>
      <c r="AT176" s="1331"/>
      <c r="AU176" s="1334"/>
    </row>
    <row r="177" spans="1:47" ht="43.5" customHeight="1" x14ac:dyDescent="0.2">
      <c r="A177" s="1546" t="s">
        <v>1713</v>
      </c>
      <c r="B177" s="1490" t="s">
        <v>2695</v>
      </c>
      <c r="C177" s="1474" t="s">
        <v>2696</v>
      </c>
      <c r="D177" s="1331"/>
      <c r="E177" s="1331"/>
      <c r="F177" s="1331"/>
      <c r="G177" s="1331"/>
      <c r="H177" s="1332"/>
      <c r="I177" s="1332"/>
      <c r="J177" s="1332"/>
      <c r="K177" s="1332"/>
      <c r="L177" s="1332"/>
      <c r="M177" s="1507"/>
      <c r="N177" s="1502"/>
      <c r="O177" s="1332"/>
      <c r="P177" s="1331"/>
      <c r="Q177" s="1331"/>
      <c r="R177" s="1331"/>
      <c r="S177" s="1331"/>
      <c r="T177" s="1331"/>
      <c r="U177" s="1331"/>
      <c r="V177" s="1331"/>
      <c r="W177" s="1334"/>
      <c r="X177" s="1509"/>
      <c r="Y177" s="1331"/>
      <c r="Z177" s="1331"/>
      <c r="AA177" s="1331"/>
      <c r="AB177" s="1331"/>
      <c r="AC177" s="1331"/>
      <c r="AD177" s="1331"/>
      <c r="AE177" s="1331"/>
      <c r="AF177" s="1331"/>
      <c r="AG177" s="1331"/>
      <c r="AH177" s="1334"/>
      <c r="AI177" s="1509"/>
      <c r="AJ177" s="1331"/>
      <c r="AK177" s="1331">
        <v>-6377900</v>
      </c>
      <c r="AL177" s="1331"/>
      <c r="AM177" s="1331"/>
      <c r="AN177" s="1331"/>
      <c r="AO177" s="1331"/>
      <c r="AP177" s="1331"/>
      <c r="AQ177" s="1331"/>
      <c r="AR177" s="1331"/>
      <c r="AS177" s="1331"/>
      <c r="AT177" s="1331"/>
      <c r="AU177" s="1334"/>
    </row>
    <row r="178" spans="1:47" ht="39" customHeight="1" x14ac:dyDescent="0.2">
      <c r="A178" s="1546" t="s">
        <v>2015</v>
      </c>
      <c r="B178" s="1490" t="s">
        <v>2697</v>
      </c>
      <c r="C178" s="1474" t="s">
        <v>2698</v>
      </c>
      <c r="D178" s="1331"/>
      <c r="E178" s="1331"/>
      <c r="F178" s="1331"/>
      <c r="G178" s="1331"/>
      <c r="H178" s="1332"/>
      <c r="I178" s="1332"/>
      <c r="J178" s="1332"/>
      <c r="K178" s="1332"/>
      <c r="L178" s="1332"/>
      <c r="M178" s="1507"/>
      <c r="N178" s="1502"/>
      <c r="O178" s="1332"/>
      <c r="P178" s="1331"/>
      <c r="Q178" s="1331"/>
      <c r="R178" s="1331"/>
      <c r="S178" s="1331"/>
      <c r="T178" s="1331"/>
      <c r="U178" s="1331"/>
      <c r="V178" s="1331"/>
      <c r="W178" s="1334"/>
      <c r="X178" s="1509"/>
      <c r="Y178" s="1331"/>
      <c r="Z178" s="1331"/>
      <c r="AA178" s="1331"/>
      <c r="AB178" s="1331"/>
      <c r="AC178" s="1331"/>
      <c r="AD178" s="1331"/>
      <c r="AE178" s="1331"/>
      <c r="AF178" s="1331"/>
      <c r="AG178" s="1331"/>
      <c r="AH178" s="1334"/>
      <c r="AI178" s="1509"/>
      <c r="AJ178" s="1331"/>
      <c r="AK178" s="1331"/>
      <c r="AL178" s="1331">
        <v>-988100</v>
      </c>
      <c r="AM178" s="1331"/>
      <c r="AN178" s="1331"/>
      <c r="AO178" s="1331"/>
      <c r="AP178" s="1331"/>
      <c r="AQ178" s="1331"/>
      <c r="AR178" s="1331"/>
      <c r="AS178" s="1331"/>
      <c r="AT178" s="1331"/>
      <c r="AU178" s="1334"/>
    </row>
    <row r="179" spans="1:47" ht="43.5" customHeight="1" x14ac:dyDescent="0.2">
      <c r="A179" s="1546" t="s">
        <v>2018</v>
      </c>
      <c r="B179" s="1490" t="s">
        <v>2703</v>
      </c>
      <c r="C179" s="1474" t="s">
        <v>2704</v>
      </c>
      <c r="D179" s="1331">
        <v>-144920</v>
      </c>
      <c r="E179" s="1331"/>
      <c r="F179" s="1331"/>
      <c r="G179" s="1331"/>
      <c r="H179" s="1332"/>
      <c r="I179" s="1332"/>
      <c r="J179" s="1332"/>
      <c r="K179" s="1332"/>
      <c r="L179" s="1332"/>
      <c r="M179" s="1507"/>
      <c r="N179" s="1502"/>
      <c r="O179" s="1332"/>
      <c r="P179" s="1331"/>
      <c r="Q179" s="1331"/>
      <c r="R179" s="1331"/>
      <c r="S179" s="1331"/>
      <c r="T179" s="1331"/>
      <c r="U179" s="1331"/>
      <c r="V179" s="1331"/>
      <c r="W179" s="1334"/>
      <c r="X179" s="1509"/>
      <c r="Y179" s="1331"/>
      <c r="Z179" s="1331"/>
      <c r="AA179" s="1331"/>
      <c r="AB179" s="1331"/>
      <c r="AC179" s="1331"/>
      <c r="AD179" s="1331"/>
      <c r="AE179" s="1331"/>
      <c r="AF179" s="1331"/>
      <c r="AG179" s="1331"/>
      <c r="AH179" s="1334"/>
      <c r="AI179" s="1509"/>
      <c r="AJ179" s="1331"/>
      <c r="AK179" s="1331"/>
      <c r="AL179" s="1331"/>
      <c r="AM179" s="1331"/>
      <c r="AN179" s="1331"/>
      <c r="AO179" s="1331"/>
      <c r="AP179" s="1331"/>
      <c r="AQ179" s="1331"/>
      <c r="AR179" s="1331"/>
      <c r="AS179" s="1331"/>
      <c r="AT179" s="1331"/>
      <c r="AU179" s="1334"/>
    </row>
    <row r="180" spans="1:47" ht="43.5" customHeight="1" x14ac:dyDescent="0.2">
      <c r="A180" s="1546" t="s">
        <v>2019</v>
      </c>
      <c r="B180" s="1490" t="s">
        <v>2705</v>
      </c>
      <c r="C180" s="1474" t="s">
        <v>2706</v>
      </c>
      <c r="D180" s="1331"/>
      <c r="E180" s="1331"/>
      <c r="F180" s="1331"/>
      <c r="G180" s="1331"/>
      <c r="H180" s="1332"/>
      <c r="I180" s="1332"/>
      <c r="J180" s="1332"/>
      <c r="K180" s="1332"/>
      <c r="L180" s="1332"/>
      <c r="M180" s="1507"/>
      <c r="N180" s="1502"/>
      <c r="O180" s="1332"/>
      <c r="P180" s="1331"/>
      <c r="Q180" s="1331"/>
      <c r="R180" s="1331"/>
      <c r="S180" s="1331"/>
      <c r="T180" s="1331"/>
      <c r="U180" s="1331"/>
      <c r="V180" s="1331"/>
      <c r="W180" s="1334"/>
      <c r="X180" s="1509"/>
      <c r="Y180" s="1331"/>
      <c r="Z180" s="1331"/>
      <c r="AA180" s="1331"/>
      <c r="AB180" s="1331"/>
      <c r="AC180" s="1331"/>
      <c r="AD180" s="1331"/>
      <c r="AE180" s="1331"/>
      <c r="AF180" s="1331"/>
      <c r="AG180" s="1331"/>
      <c r="AH180" s="1334"/>
      <c r="AI180" s="1509"/>
      <c r="AJ180" s="1331"/>
      <c r="AK180" s="1331">
        <v>-2956052</v>
      </c>
      <c r="AL180" s="1331"/>
      <c r="AM180" s="1331"/>
      <c r="AN180" s="1331"/>
      <c r="AO180" s="1331"/>
      <c r="AP180" s="1331"/>
      <c r="AQ180" s="1331"/>
      <c r="AR180" s="1331"/>
      <c r="AS180" s="1331"/>
      <c r="AT180" s="1331"/>
      <c r="AU180" s="1334"/>
    </row>
    <row r="181" spans="1:47" ht="36.75" customHeight="1" x14ac:dyDescent="0.2">
      <c r="A181" s="1546" t="s">
        <v>2324</v>
      </c>
      <c r="B181" s="1490" t="s">
        <v>2713</v>
      </c>
      <c r="C181" s="1474" t="s">
        <v>2714</v>
      </c>
      <c r="D181" s="1331"/>
      <c r="E181" s="1331"/>
      <c r="F181" s="1331"/>
      <c r="G181" s="1331"/>
      <c r="H181" s="1332"/>
      <c r="I181" s="1332"/>
      <c r="J181" s="1332"/>
      <c r="K181" s="1332"/>
      <c r="L181" s="1332"/>
      <c r="M181" s="1507"/>
      <c r="N181" s="1502"/>
      <c r="O181" s="1332"/>
      <c r="P181" s="1331"/>
      <c r="Q181" s="1331"/>
      <c r="R181" s="1331"/>
      <c r="S181" s="1331"/>
      <c r="T181" s="1331"/>
      <c r="U181" s="1331"/>
      <c r="V181" s="1331"/>
      <c r="W181" s="1334"/>
      <c r="X181" s="1509"/>
      <c r="Y181" s="1331"/>
      <c r="Z181" s="1331"/>
      <c r="AA181" s="1331"/>
      <c r="AB181" s="1331"/>
      <c r="AC181" s="1331"/>
      <c r="AD181" s="1331"/>
      <c r="AE181" s="1331"/>
      <c r="AF181" s="1331"/>
      <c r="AG181" s="1331"/>
      <c r="AH181" s="1334"/>
      <c r="AI181" s="1509"/>
      <c r="AJ181" s="1331"/>
      <c r="AK181" s="1331"/>
      <c r="AL181" s="1331"/>
      <c r="AM181" s="1331"/>
      <c r="AN181" s="1331"/>
      <c r="AO181" s="1331"/>
      <c r="AP181" s="1331">
        <v>20000</v>
      </c>
      <c r="AQ181" s="1331"/>
      <c r="AR181" s="1331"/>
      <c r="AS181" s="1331"/>
      <c r="AT181" s="1331"/>
      <c r="AU181" s="1334"/>
    </row>
    <row r="182" spans="1:47" ht="51" customHeight="1" x14ac:dyDescent="0.2">
      <c r="A182" s="1546" t="s">
        <v>2446</v>
      </c>
      <c r="B182" s="1490" t="s">
        <v>2718</v>
      </c>
      <c r="C182" s="1474" t="s">
        <v>2820</v>
      </c>
      <c r="D182" s="1331"/>
      <c r="E182" s="1331"/>
      <c r="F182" s="1331"/>
      <c r="G182" s="1331"/>
      <c r="H182" s="1332"/>
      <c r="I182" s="1332"/>
      <c r="J182" s="1332"/>
      <c r="K182" s="1332"/>
      <c r="L182" s="1332"/>
      <c r="M182" s="1507"/>
      <c r="N182" s="1502"/>
      <c r="O182" s="1332"/>
      <c r="P182" s="1331">
        <v>-197549</v>
      </c>
      <c r="Q182" s="1331"/>
      <c r="R182" s="1331"/>
      <c r="S182" s="1331"/>
      <c r="T182" s="1331"/>
      <c r="U182" s="1331"/>
      <c r="V182" s="1331"/>
      <c r="W182" s="1334"/>
      <c r="X182" s="1509"/>
      <c r="Y182" s="1331"/>
      <c r="Z182" s="1331"/>
      <c r="AA182" s="1331"/>
      <c r="AB182" s="1331"/>
      <c r="AC182" s="1331"/>
      <c r="AD182" s="1331"/>
      <c r="AE182" s="1331"/>
      <c r="AF182" s="1331"/>
      <c r="AG182" s="1331"/>
      <c r="AH182" s="1334"/>
      <c r="AI182" s="1509"/>
      <c r="AJ182" s="1331"/>
      <c r="AK182" s="1331"/>
      <c r="AL182" s="1331"/>
      <c r="AM182" s="1331"/>
      <c r="AN182" s="1331"/>
      <c r="AO182" s="1331"/>
      <c r="AP182" s="1331"/>
      <c r="AQ182" s="1331"/>
      <c r="AR182" s="1331"/>
      <c r="AS182" s="1331"/>
      <c r="AT182" s="1331"/>
      <c r="AU182" s="1334"/>
    </row>
    <row r="183" spans="1:47" ht="43.5" customHeight="1" x14ac:dyDescent="0.2">
      <c r="A183" s="1546" t="s">
        <v>2451</v>
      </c>
      <c r="B183" s="1490" t="s">
        <v>2721</v>
      </c>
      <c r="C183" s="1474" t="s">
        <v>2722</v>
      </c>
      <c r="D183" s="1331"/>
      <c r="E183" s="1331"/>
      <c r="F183" s="1331"/>
      <c r="G183" s="1331"/>
      <c r="H183" s="1332"/>
      <c r="I183" s="1332"/>
      <c r="J183" s="1332"/>
      <c r="K183" s="1332"/>
      <c r="L183" s="1332"/>
      <c r="M183" s="1507"/>
      <c r="N183" s="1502"/>
      <c r="O183" s="1332"/>
      <c r="P183" s="1331">
        <v>-139294</v>
      </c>
      <c r="Q183" s="1331"/>
      <c r="R183" s="1331"/>
      <c r="S183" s="1331"/>
      <c r="T183" s="1331"/>
      <c r="U183" s="1331"/>
      <c r="V183" s="1331"/>
      <c r="W183" s="1334"/>
      <c r="X183" s="1509"/>
      <c r="Y183" s="1331"/>
      <c r="Z183" s="1331"/>
      <c r="AA183" s="1331"/>
      <c r="AB183" s="1331"/>
      <c r="AC183" s="1331"/>
      <c r="AD183" s="1331"/>
      <c r="AE183" s="1331"/>
      <c r="AF183" s="1331"/>
      <c r="AG183" s="1331"/>
      <c r="AH183" s="1334"/>
      <c r="AI183" s="1509"/>
      <c r="AJ183" s="1331"/>
      <c r="AK183" s="1331"/>
      <c r="AL183" s="1331"/>
      <c r="AM183" s="1331"/>
      <c r="AN183" s="1331"/>
      <c r="AO183" s="1331"/>
      <c r="AP183" s="1331"/>
      <c r="AQ183" s="1331"/>
      <c r="AR183" s="1331"/>
      <c r="AS183" s="1331"/>
      <c r="AT183" s="1331"/>
      <c r="AU183" s="1334"/>
    </row>
    <row r="184" spans="1:47" ht="51.75" customHeight="1" x14ac:dyDescent="0.2">
      <c r="A184" s="1546" t="s">
        <v>2455</v>
      </c>
      <c r="B184" s="1490" t="s">
        <v>2727</v>
      </c>
      <c r="C184" s="1474" t="s">
        <v>2728</v>
      </c>
      <c r="D184" s="1331"/>
      <c r="E184" s="1331"/>
      <c r="F184" s="1331"/>
      <c r="G184" s="1331"/>
      <c r="H184" s="1332"/>
      <c r="I184" s="1332"/>
      <c r="J184" s="1332"/>
      <c r="K184" s="1332"/>
      <c r="L184" s="1332"/>
      <c r="M184" s="1507"/>
      <c r="N184" s="1502"/>
      <c r="O184" s="1332"/>
      <c r="P184" s="1331">
        <v>-2495573</v>
      </c>
      <c r="Q184" s="1331"/>
      <c r="R184" s="1331"/>
      <c r="S184" s="1331"/>
      <c r="T184" s="1331"/>
      <c r="U184" s="1331"/>
      <c r="V184" s="1331"/>
      <c r="W184" s="1334"/>
      <c r="X184" s="1509"/>
      <c r="Y184" s="1331"/>
      <c r="Z184" s="1331"/>
      <c r="AA184" s="1331"/>
      <c r="AB184" s="1331"/>
      <c r="AC184" s="1331"/>
      <c r="AD184" s="1331"/>
      <c r="AE184" s="1331"/>
      <c r="AF184" s="1331"/>
      <c r="AG184" s="1331"/>
      <c r="AH184" s="1334"/>
      <c r="AI184" s="1509"/>
      <c r="AJ184" s="1331"/>
      <c r="AK184" s="1331"/>
      <c r="AL184" s="1331"/>
      <c r="AM184" s="1331"/>
      <c r="AN184" s="1331"/>
      <c r="AO184" s="1331"/>
      <c r="AP184" s="1331"/>
      <c r="AQ184" s="1331"/>
      <c r="AR184" s="1331"/>
      <c r="AS184" s="1331"/>
      <c r="AT184" s="1331"/>
      <c r="AU184" s="1334"/>
    </row>
    <row r="185" spans="1:47" ht="45.75" customHeight="1" x14ac:dyDescent="0.2">
      <c r="A185" s="1546" t="s">
        <v>2459</v>
      </c>
      <c r="B185" s="1490" t="s">
        <v>2729</v>
      </c>
      <c r="C185" s="1474" t="s">
        <v>2730</v>
      </c>
      <c r="D185" s="1331"/>
      <c r="E185" s="1331"/>
      <c r="F185" s="1331"/>
      <c r="G185" s="1331"/>
      <c r="H185" s="1332"/>
      <c r="I185" s="1332"/>
      <c r="J185" s="1332"/>
      <c r="K185" s="1332"/>
      <c r="L185" s="1332"/>
      <c r="M185" s="1507"/>
      <c r="N185" s="1502"/>
      <c r="O185" s="1332"/>
      <c r="P185" s="1331">
        <v>-1295029</v>
      </c>
      <c r="Q185" s="1331"/>
      <c r="R185" s="1331"/>
      <c r="S185" s="1331"/>
      <c r="T185" s="1331"/>
      <c r="U185" s="1331"/>
      <c r="V185" s="1331"/>
      <c r="W185" s="1334"/>
      <c r="X185" s="1509"/>
      <c r="Y185" s="1331"/>
      <c r="Z185" s="1331"/>
      <c r="AA185" s="1331"/>
      <c r="AB185" s="1331"/>
      <c r="AC185" s="1331"/>
      <c r="AD185" s="1331"/>
      <c r="AE185" s="1331"/>
      <c r="AF185" s="1331"/>
      <c r="AG185" s="1331"/>
      <c r="AH185" s="1334"/>
      <c r="AI185" s="1509"/>
      <c r="AJ185" s="1331"/>
      <c r="AK185" s="1331"/>
      <c r="AL185" s="1331"/>
      <c r="AM185" s="1331"/>
      <c r="AN185" s="1331"/>
      <c r="AO185" s="1331"/>
      <c r="AP185" s="1331"/>
      <c r="AQ185" s="1331"/>
      <c r="AR185" s="1331"/>
      <c r="AS185" s="1331"/>
      <c r="AT185" s="1331"/>
      <c r="AU185" s="1334"/>
    </row>
    <row r="186" spans="1:47" ht="43.5" customHeight="1" x14ac:dyDescent="0.2">
      <c r="A186" s="1546" t="s">
        <v>2461</v>
      </c>
      <c r="B186" s="1490" t="s">
        <v>2733</v>
      </c>
      <c r="C186" s="1474" t="s">
        <v>2734</v>
      </c>
      <c r="D186" s="1331"/>
      <c r="E186" s="1331"/>
      <c r="F186" s="1331"/>
      <c r="G186" s="1331"/>
      <c r="H186" s="1332"/>
      <c r="I186" s="1332"/>
      <c r="J186" s="1332"/>
      <c r="K186" s="1332"/>
      <c r="L186" s="1332"/>
      <c r="M186" s="1507"/>
      <c r="N186" s="1502"/>
      <c r="O186" s="1332"/>
      <c r="P186" s="1331">
        <v>-545724</v>
      </c>
      <c r="Q186" s="1331"/>
      <c r="R186" s="1331"/>
      <c r="S186" s="1331"/>
      <c r="T186" s="1331"/>
      <c r="U186" s="1331"/>
      <c r="V186" s="1331"/>
      <c r="W186" s="1334"/>
      <c r="X186" s="1509"/>
      <c r="Y186" s="1331"/>
      <c r="Z186" s="1331"/>
      <c r="AA186" s="1331"/>
      <c r="AB186" s="1331"/>
      <c r="AC186" s="1331"/>
      <c r="AD186" s="1331"/>
      <c r="AE186" s="1331"/>
      <c r="AF186" s="1331"/>
      <c r="AG186" s="1331"/>
      <c r="AH186" s="1334"/>
      <c r="AI186" s="1509"/>
      <c r="AJ186" s="1331"/>
      <c r="AK186" s="1331"/>
      <c r="AL186" s="1331"/>
      <c r="AM186" s="1331"/>
      <c r="AN186" s="1331"/>
      <c r="AO186" s="1331"/>
      <c r="AP186" s="1331"/>
      <c r="AQ186" s="1331"/>
      <c r="AR186" s="1331"/>
      <c r="AS186" s="1331"/>
      <c r="AT186" s="1331"/>
      <c r="AU186" s="1334"/>
    </row>
    <row r="187" spans="1:47" ht="43.5" customHeight="1" x14ac:dyDescent="0.2">
      <c r="A187" s="1546" t="s">
        <v>2463</v>
      </c>
      <c r="B187" s="1490" t="s">
        <v>2735</v>
      </c>
      <c r="C187" s="1474" t="s">
        <v>2736</v>
      </c>
      <c r="D187" s="1331"/>
      <c r="E187" s="1331"/>
      <c r="F187" s="1331"/>
      <c r="G187" s="1331"/>
      <c r="H187" s="1332"/>
      <c r="I187" s="1332"/>
      <c r="J187" s="1332"/>
      <c r="K187" s="1332"/>
      <c r="L187" s="1332"/>
      <c r="M187" s="1507">
        <v>47144129</v>
      </c>
      <c r="N187" s="1502"/>
      <c r="O187" s="1332"/>
      <c r="P187" s="1331"/>
      <c r="Q187" s="1331"/>
      <c r="R187" s="1331"/>
      <c r="S187" s="1331"/>
      <c r="T187" s="1331"/>
      <c r="U187" s="1331"/>
      <c r="V187" s="1331"/>
      <c r="W187" s="1334"/>
      <c r="X187" s="1509"/>
      <c r="Y187" s="1331"/>
      <c r="Z187" s="1331"/>
      <c r="AA187" s="1331"/>
      <c r="AB187" s="1331"/>
      <c r="AC187" s="1331"/>
      <c r="AD187" s="1331"/>
      <c r="AE187" s="1331"/>
      <c r="AF187" s="1331"/>
      <c r="AG187" s="1331"/>
      <c r="AH187" s="1334"/>
      <c r="AI187" s="1509"/>
      <c r="AJ187" s="1331"/>
      <c r="AK187" s="1331"/>
      <c r="AL187" s="1331"/>
      <c r="AM187" s="1331"/>
      <c r="AN187" s="1331"/>
      <c r="AO187" s="1331"/>
      <c r="AP187" s="1331"/>
      <c r="AQ187" s="1331"/>
      <c r="AR187" s="1331"/>
      <c r="AS187" s="1331"/>
      <c r="AT187" s="1331"/>
      <c r="AU187" s="1334"/>
    </row>
    <row r="188" spans="1:47" ht="43.5" customHeight="1" x14ac:dyDescent="0.2">
      <c r="A188" s="1546" t="s">
        <v>2465</v>
      </c>
      <c r="B188" s="1490" t="s">
        <v>2737</v>
      </c>
      <c r="C188" s="1474" t="s">
        <v>2738</v>
      </c>
      <c r="D188" s="1331"/>
      <c r="E188" s="1331"/>
      <c r="F188" s="1331"/>
      <c r="G188" s="1331"/>
      <c r="H188" s="1332"/>
      <c r="I188" s="1332"/>
      <c r="J188" s="1332"/>
      <c r="K188" s="1332"/>
      <c r="L188" s="1332"/>
      <c r="M188" s="1507"/>
      <c r="N188" s="1502"/>
      <c r="O188" s="1332"/>
      <c r="P188" s="1331">
        <v>-952500</v>
      </c>
      <c r="Q188" s="1331"/>
      <c r="R188" s="1331"/>
      <c r="S188" s="1331"/>
      <c r="T188" s="1331"/>
      <c r="U188" s="1331"/>
      <c r="V188" s="1331"/>
      <c r="W188" s="1334"/>
      <c r="X188" s="1509"/>
      <c r="Y188" s="1331"/>
      <c r="Z188" s="1331"/>
      <c r="AA188" s="1331"/>
      <c r="AB188" s="1331"/>
      <c r="AC188" s="1331"/>
      <c r="AD188" s="1331"/>
      <c r="AE188" s="1331"/>
      <c r="AF188" s="1331"/>
      <c r="AG188" s="1331"/>
      <c r="AH188" s="1334"/>
      <c r="AI188" s="1509"/>
      <c r="AJ188" s="1331"/>
      <c r="AK188" s="1331"/>
      <c r="AL188" s="1331"/>
      <c r="AM188" s="1331"/>
      <c r="AN188" s="1331"/>
      <c r="AO188" s="1331"/>
      <c r="AP188" s="1331"/>
      <c r="AQ188" s="1331"/>
      <c r="AR188" s="1331"/>
      <c r="AS188" s="1331"/>
      <c r="AT188" s="1331"/>
      <c r="AU188" s="1334"/>
    </row>
    <row r="189" spans="1:47" ht="43.5" customHeight="1" x14ac:dyDescent="0.2">
      <c r="A189" s="1546" t="s">
        <v>2483</v>
      </c>
      <c r="B189" s="1490" t="s">
        <v>2739</v>
      </c>
      <c r="C189" s="1474" t="s">
        <v>2740</v>
      </c>
      <c r="D189" s="1331"/>
      <c r="E189" s="1331"/>
      <c r="F189" s="1331"/>
      <c r="G189" s="1331"/>
      <c r="H189" s="1332"/>
      <c r="I189" s="1332"/>
      <c r="J189" s="1332"/>
      <c r="K189" s="1332"/>
      <c r="L189" s="1332"/>
      <c r="M189" s="1507"/>
      <c r="N189" s="1502"/>
      <c r="O189" s="1332"/>
      <c r="P189" s="1331">
        <v>-952500</v>
      </c>
      <c r="Q189" s="1331"/>
      <c r="R189" s="1331"/>
      <c r="S189" s="1331"/>
      <c r="T189" s="1331"/>
      <c r="U189" s="1331"/>
      <c r="V189" s="1331"/>
      <c r="W189" s="1334"/>
      <c r="X189" s="1509"/>
      <c r="Y189" s="1331"/>
      <c r="Z189" s="1331"/>
      <c r="AA189" s="1331"/>
      <c r="AB189" s="1331"/>
      <c r="AC189" s="1331"/>
      <c r="AD189" s="1331"/>
      <c r="AE189" s="1331"/>
      <c r="AF189" s="1331"/>
      <c r="AG189" s="1331"/>
      <c r="AH189" s="1334"/>
      <c r="AI189" s="1509"/>
      <c r="AJ189" s="1331"/>
      <c r="AK189" s="1331"/>
      <c r="AL189" s="1331"/>
      <c r="AM189" s="1331"/>
      <c r="AN189" s="1331"/>
      <c r="AO189" s="1331"/>
      <c r="AP189" s="1331"/>
      <c r="AQ189" s="1331"/>
      <c r="AR189" s="1331"/>
      <c r="AS189" s="1331"/>
      <c r="AT189" s="1331"/>
      <c r="AU189" s="1334"/>
    </row>
    <row r="190" spans="1:47" ht="44.25" customHeight="1" x14ac:dyDescent="0.2">
      <c r="A190" s="1546" t="s">
        <v>2484</v>
      </c>
      <c r="B190" s="1490" t="s">
        <v>2741</v>
      </c>
      <c r="C190" s="1474" t="s">
        <v>2742</v>
      </c>
      <c r="D190" s="1331"/>
      <c r="E190" s="1331"/>
      <c r="F190" s="1331"/>
      <c r="G190" s="1331"/>
      <c r="H190" s="1332"/>
      <c r="I190" s="1332"/>
      <c r="J190" s="1332"/>
      <c r="K190" s="1332"/>
      <c r="L190" s="1332"/>
      <c r="M190" s="1507"/>
      <c r="N190" s="1502"/>
      <c r="O190" s="1332"/>
      <c r="P190" s="1331">
        <v>-936382</v>
      </c>
      <c r="Q190" s="1331"/>
      <c r="R190" s="1331"/>
      <c r="S190" s="1331"/>
      <c r="T190" s="1331"/>
      <c r="U190" s="1331"/>
      <c r="V190" s="1331"/>
      <c r="W190" s="1334"/>
      <c r="X190" s="1509"/>
      <c r="Y190" s="1331"/>
      <c r="Z190" s="1331"/>
      <c r="AA190" s="1331"/>
      <c r="AB190" s="1331"/>
      <c r="AC190" s="1331"/>
      <c r="AD190" s="1331"/>
      <c r="AE190" s="1331"/>
      <c r="AF190" s="1331"/>
      <c r="AG190" s="1331"/>
      <c r="AH190" s="1334"/>
      <c r="AI190" s="1509"/>
      <c r="AJ190" s="1331"/>
      <c r="AK190" s="1331"/>
      <c r="AL190" s="1331"/>
      <c r="AM190" s="1331"/>
      <c r="AN190" s="1331"/>
      <c r="AO190" s="1331"/>
      <c r="AP190" s="1331"/>
      <c r="AQ190" s="1331"/>
      <c r="AR190" s="1331"/>
      <c r="AS190" s="1331"/>
      <c r="AT190" s="1331"/>
      <c r="AU190" s="1334"/>
    </row>
    <row r="191" spans="1:47" ht="53.25" customHeight="1" x14ac:dyDescent="0.2">
      <c r="A191" s="1546" t="s">
        <v>2487</v>
      </c>
      <c r="B191" s="1490" t="s">
        <v>2743</v>
      </c>
      <c r="C191" s="1474" t="s">
        <v>2744</v>
      </c>
      <c r="D191" s="1331"/>
      <c r="E191" s="1331"/>
      <c r="F191" s="1331"/>
      <c r="G191" s="1331"/>
      <c r="H191" s="1332"/>
      <c r="I191" s="1332"/>
      <c r="J191" s="1332"/>
      <c r="K191" s="1332"/>
      <c r="L191" s="1332"/>
      <c r="M191" s="1507"/>
      <c r="N191" s="1502"/>
      <c r="O191" s="1332"/>
      <c r="P191" s="1331">
        <v>-508000</v>
      </c>
      <c r="Q191" s="1331"/>
      <c r="R191" s="1331"/>
      <c r="S191" s="1331"/>
      <c r="T191" s="1331"/>
      <c r="U191" s="1331"/>
      <c r="V191" s="1331"/>
      <c r="W191" s="1334"/>
      <c r="X191" s="1509"/>
      <c r="Y191" s="1331"/>
      <c r="Z191" s="1331"/>
      <c r="AA191" s="1331"/>
      <c r="AB191" s="1331"/>
      <c r="AC191" s="1331"/>
      <c r="AD191" s="1331"/>
      <c r="AE191" s="1331"/>
      <c r="AF191" s="1331"/>
      <c r="AG191" s="1331"/>
      <c r="AH191" s="1334"/>
      <c r="AI191" s="1509"/>
      <c r="AJ191" s="1331"/>
      <c r="AK191" s="1331"/>
      <c r="AL191" s="1331"/>
      <c r="AM191" s="1331"/>
      <c r="AN191" s="1331"/>
      <c r="AO191" s="1331"/>
      <c r="AP191" s="1331"/>
      <c r="AQ191" s="1331"/>
      <c r="AR191" s="1331"/>
      <c r="AS191" s="1331"/>
      <c r="AT191" s="1331"/>
      <c r="AU191" s="1334"/>
    </row>
    <row r="192" spans="1:47" ht="55.5" customHeight="1" x14ac:dyDescent="0.2">
      <c r="A192" s="1546" t="s">
        <v>2489</v>
      </c>
      <c r="B192" s="1490" t="s">
        <v>2755</v>
      </c>
      <c r="C192" s="1474" t="s">
        <v>2756</v>
      </c>
      <c r="D192" s="1331"/>
      <c r="E192" s="1331"/>
      <c r="F192" s="1331"/>
      <c r="G192" s="1331"/>
      <c r="H192" s="1332"/>
      <c r="I192" s="1332"/>
      <c r="J192" s="1332"/>
      <c r="K192" s="1332"/>
      <c r="L192" s="1332"/>
      <c r="M192" s="1507"/>
      <c r="N192" s="1502"/>
      <c r="O192" s="1332"/>
      <c r="P192" s="1331"/>
      <c r="Q192" s="1331"/>
      <c r="R192" s="1331"/>
      <c r="S192" s="1331"/>
      <c r="T192" s="1331"/>
      <c r="U192" s="1331"/>
      <c r="V192" s="1331"/>
      <c r="W192" s="1334">
        <v>-3072000</v>
      </c>
      <c r="X192" s="1509"/>
      <c r="Y192" s="1331"/>
      <c r="Z192" s="1331"/>
      <c r="AA192" s="1331"/>
      <c r="AB192" s="1331"/>
      <c r="AC192" s="1331"/>
      <c r="AD192" s="1331"/>
      <c r="AE192" s="1331"/>
      <c r="AF192" s="1331"/>
      <c r="AG192" s="1331"/>
      <c r="AH192" s="1334"/>
      <c r="AI192" s="1509"/>
      <c r="AJ192" s="1331"/>
      <c r="AK192" s="1331"/>
      <c r="AL192" s="1331"/>
      <c r="AM192" s="1331"/>
      <c r="AN192" s="1331"/>
      <c r="AO192" s="1331"/>
      <c r="AP192" s="1331"/>
      <c r="AQ192" s="1331"/>
      <c r="AR192" s="1331"/>
      <c r="AS192" s="1331"/>
      <c r="AT192" s="1331"/>
      <c r="AU192" s="1334"/>
    </row>
    <row r="193" spans="1:47" ht="54.75" customHeight="1" x14ac:dyDescent="0.2">
      <c r="A193" s="1546" t="s">
        <v>2492</v>
      </c>
      <c r="B193" s="1490" t="s">
        <v>2757</v>
      </c>
      <c r="C193" s="1474" t="s">
        <v>2758</v>
      </c>
      <c r="D193" s="1331"/>
      <c r="E193" s="1331"/>
      <c r="F193" s="1331"/>
      <c r="G193" s="1331"/>
      <c r="H193" s="1332"/>
      <c r="I193" s="1332"/>
      <c r="J193" s="1332"/>
      <c r="K193" s="1332"/>
      <c r="L193" s="1332"/>
      <c r="M193" s="1507"/>
      <c r="N193" s="1502"/>
      <c r="O193" s="1332"/>
      <c r="P193" s="1331"/>
      <c r="Q193" s="1331"/>
      <c r="R193" s="1331"/>
      <c r="S193" s="1331"/>
      <c r="T193" s="1331"/>
      <c r="U193" s="1331"/>
      <c r="V193" s="1331"/>
      <c r="W193" s="1334">
        <v>-896000</v>
      </c>
      <c r="X193" s="1509"/>
      <c r="Y193" s="1331"/>
      <c r="Z193" s="1331"/>
      <c r="AA193" s="1331"/>
      <c r="AB193" s="1331"/>
      <c r="AC193" s="1331"/>
      <c r="AD193" s="1331"/>
      <c r="AE193" s="1331"/>
      <c r="AF193" s="1331"/>
      <c r="AG193" s="1331"/>
      <c r="AH193" s="1334"/>
      <c r="AI193" s="1509"/>
      <c r="AJ193" s="1331"/>
      <c r="AK193" s="1331"/>
      <c r="AL193" s="1331"/>
      <c r="AM193" s="1331"/>
      <c r="AN193" s="1331"/>
      <c r="AO193" s="1331"/>
      <c r="AP193" s="1331"/>
      <c r="AQ193" s="1331"/>
      <c r="AR193" s="1331"/>
      <c r="AS193" s="1331"/>
      <c r="AT193" s="1331"/>
      <c r="AU193" s="1334"/>
    </row>
    <row r="194" spans="1:47" ht="53.25" customHeight="1" x14ac:dyDescent="0.2">
      <c r="A194" s="1546" t="s">
        <v>2494</v>
      </c>
      <c r="B194" s="1490" t="s">
        <v>2759</v>
      </c>
      <c r="C194" s="1474" t="s">
        <v>2760</v>
      </c>
      <c r="D194" s="1331"/>
      <c r="E194" s="1331"/>
      <c r="F194" s="1331"/>
      <c r="G194" s="1331"/>
      <c r="H194" s="1332"/>
      <c r="I194" s="1332"/>
      <c r="J194" s="1332"/>
      <c r="K194" s="1332"/>
      <c r="L194" s="1332"/>
      <c r="M194" s="1507"/>
      <c r="N194" s="1502"/>
      <c r="O194" s="1332"/>
      <c r="P194" s="1331"/>
      <c r="Q194" s="1331"/>
      <c r="R194" s="1331"/>
      <c r="S194" s="1331"/>
      <c r="T194" s="1331"/>
      <c r="U194" s="1331"/>
      <c r="V194" s="1331"/>
      <c r="W194" s="1334">
        <v>-896000</v>
      </c>
      <c r="X194" s="1509"/>
      <c r="Y194" s="1331"/>
      <c r="Z194" s="1331"/>
      <c r="AA194" s="1331"/>
      <c r="AB194" s="1331"/>
      <c r="AC194" s="1331"/>
      <c r="AD194" s="1331"/>
      <c r="AE194" s="1331"/>
      <c r="AF194" s="1331"/>
      <c r="AG194" s="1331"/>
      <c r="AH194" s="1334"/>
      <c r="AI194" s="1509"/>
      <c r="AJ194" s="1331"/>
      <c r="AK194" s="1331"/>
      <c r="AL194" s="1331"/>
      <c r="AM194" s="1331"/>
      <c r="AN194" s="1331"/>
      <c r="AO194" s="1331"/>
      <c r="AP194" s="1331"/>
      <c r="AQ194" s="1331"/>
      <c r="AR194" s="1331"/>
      <c r="AS194" s="1331"/>
      <c r="AT194" s="1331"/>
      <c r="AU194" s="1334"/>
    </row>
    <row r="195" spans="1:47" ht="55.5" customHeight="1" x14ac:dyDescent="0.2">
      <c r="A195" s="1546" t="s">
        <v>2498</v>
      </c>
      <c r="B195" s="1490" t="s">
        <v>2761</v>
      </c>
      <c r="C195" s="1474" t="s">
        <v>2762</v>
      </c>
      <c r="D195" s="1331"/>
      <c r="E195" s="1331"/>
      <c r="F195" s="1331"/>
      <c r="G195" s="1331"/>
      <c r="H195" s="1332"/>
      <c r="I195" s="1332"/>
      <c r="J195" s="1332"/>
      <c r="K195" s="1332"/>
      <c r="L195" s="1332"/>
      <c r="M195" s="1507"/>
      <c r="N195" s="1502"/>
      <c r="O195" s="1332"/>
      <c r="P195" s="1331"/>
      <c r="Q195" s="1331"/>
      <c r="R195" s="1331"/>
      <c r="S195" s="1331"/>
      <c r="T195" s="1331"/>
      <c r="U195" s="1331"/>
      <c r="V195" s="1331"/>
      <c r="W195" s="1334">
        <v>-9024000</v>
      </c>
      <c r="X195" s="1509"/>
      <c r="Y195" s="1331"/>
      <c r="Z195" s="1331"/>
      <c r="AA195" s="1331"/>
      <c r="AB195" s="1331"/>
      <c r="AC195" s="1331"/>
      <c r="AD195" s="1331"/>
      <c r="AE195" s="1331"/>
      <c r="AF195" s="1331"/>
      <c r="AG195" s="1331"/>
      <c r="AH195" s="1334"/>
      <c r="AI195" s="1509"/>
      <c r="AJ195" s="1331"/>
      <c r="AK195" s="1331"/>
      <c r="AL195" s="1331"/>
      <c r="AM195" s="1331"/>
      <c r="AN195" s="1331"/>
      <c r="AO195" s="1331"/>
      <c r="AP195" s="1331"/>
      <c r="AQ195" s="1331"/>
      <c r="AR195" s="1331"/>
      <c r="AS195" s="1331"/>
      <c r="AT195" s="1331"/>
      <c r="AU195" s="1334"/>
    </row>
    <row r="196" spans="1:47" ht="54" customHeight="1" x14ac:dyDescent="0.2">
      <c r="A196" s="1546" t="s">
        <v>2500</v>
      </c>
      <c r="B196" s="1490" t="s">
        <v>2763</v>
      </c>
      <c r="C196" s="1474" t="s">
        <v>2764</v>
      </c>
      <c r="D196" s="1331"/>
      <c r="E196" s="1331"/>
      <c r="F196" s="1331"/>
      <c r="G196" s="1331"/>
      <c r="H196" s="1332"/>
      <c r="I196" s="1332"/>
      <c r="J196" s="1332"/>
      <c r="K196" s="1332"/>
      <c r="L196" s="1332"/>
      <c r="M196" s="1507"/>
      <c r="N196" s="1502"/>
      <c r="O196" s="1332"/>
      <c r="P196" s="1331"/>
      <c r="Q196" s="1331"/>
      <c r="R196" s="1331"/>
      <c r="S196" s="1331"/>
      <c r="T196" s="1331"/>
      <c r="U196" s="1331"/>
      <c r="V196" s="1331"/>
      <c r="W196" s="1334">
        <v>-5888000</v>
      </c>
      <c r="X196" s="1509"/>
      <c r="Y196" s="1331"/>
      <c r="Z196" s="1331"/>
      <c r="AA196" s="1331"/>
      <c r="AB196" s="1331"/>
      <c r="AC196" s="1331"/>
      <c r="AD196" s="1331"/>
      <c r="AE196" s="1331"/>
      <c r="AF196" s="1331"/>
      <c r="AG196" s="1331"/>
      <c r="AH196" s="1334"/>
      <c r="AI196" s="1509"/>
      <c r="AJ196" s="1331"/>
      <c r="AK196" s="1331"/>
      <c r="AL196" s="1331"/>
      <c r="AM196" s="1331"/>
      <c r="AN196" s="1331"/>
      <c r="AO196" s="1331"/>
      <c r="AP196" s="1331"/>
      <c r="AQ196" s="1331"/>
      <c r="AR196" s="1331"/>
      <c r="AS196" s="1331"/>
      <c r="AT196" s="1331"/>
      <c r="AU196" s="1334"/>
    </row>
    <row r="197" spans="1:47" ht="55.5" customHeight="1" x14ac:dyDescent="0.2">
      <c r="A197" s="1546" t="s">
        <v>2503</v>
      </c>
      <c r="B197" s="1490" t="s">
        <v>2765</v>
      </c>
      <c r="C197" s="1474" t="s">
        <v>2766</v>
      </c>
      <c r="D197" s="1331"/>
      <c r="E197" s="1331"/>
      <c r="F197" s="1331"/>
      <c r="G197" s="1331"/>
      <c r="H197" s="1332"/>
      <c r="I197" s="1332"/>
      <c r="J197" s="1332"/>
      <c r="K197" s="1332"/>
      <c r="L197" s="1332"/>
      <c r="M197" s="1507"/>
      <c r="N197" s="1502"/>
      <c r="O197" s="1332"/>
      <c r="P197" s="1331"/>
      <c r="Q197" s="1331"/>
      <c r="R197" s="1331"/>
      <c r="S197" s="1331"/>
      <c r="T197" s="1331"/>
      <c r="U197" s="1331"/>
      <c r="V197" s="1331"/>
      <c r="W197" s="1334">
        <v>-5632000</v>
      </c>
      <c r="X197" s="1509"/>
      <c r="Y197" s="1331"/>
      <c r="Z197" s="1331"/>
      <c r="AA197" s="1331"/>
      <c r="AB197" s="1331"/>
      <c r="AC197" s="1331"/>
      <c r="AD197" s="1331"/>
      <c r="AE197" s="1331"/>
      <c r="AF197" s="1331"/>
      <c r="AG197" s="1331"/>
      <c r="AH197" s="1334"/>
      <c r="AI197" s="1509"/>
      <c r="AJ197" s="1331"/>
      <c r="AK197" s="1331"/>
      <c r="AL197" s="1331"/>
      <c r="AM197" s="1331"/>
      <c r="AN197" s="1331"/>
      <c r="AO197" s="1331"/>
      <c r="AP197" s="1331"/>
      <c r="AQ197" s="1331"/>
      <c r="AR197" s="1331"/>
      <c r="AS197" s="1331"/>
      <c r="AT197" s="1331"/>
      <c r="AU197" s="1334"/>
    </row>
    <row r="198" spans="1:47" ht="58.5" customHeight="1" x14ac:dyDescent="0.2">
      <c r="A198" s="1546" t="s">
        <v>2505</v>
      </c>
      <c r="B198" s="1490" t="s">
        <v>2767</v>
      </c>
      <c r="C198" s="1474" t="s">
        <v>2768</v>
      </c>
      <c r="D198" s="1331"/>
      <c r="E198" s="1331"/>
      <c r="F198" s="1331"/>
      <c r="G198" s="1331"/>
      <c r="H198" s="1332"/>
      <c r="I198" s="1332"/>
      <c r="J198" s="1332"/>
      <c r="K198" s="1332"/>
      <c r="L198" s="1332"/>
      <c r="M198" s="1507"/>
      <c r="N198" s="1502"/>
      <c r="O198" s="1332"/>
      <c r="P198" s="1331"/>
      <c r="Q198" s="1331"/>
      <c r="R198" s="1331"/>
      <c r="S198" s="1331"/>
      <c r="T198" s="1331"/>
      <c r="U198" s="1331"/>
      <c r="V198" s="1331"/>
      <c r="W198" s="1334">
        <v>-5568000</v>
      </c>
      <c r="X198" s="1509"/>
      <c r="Y198" s="1331"/>
      <c r="Z198" s="1331"/>
      <c r="AA198" s="1331"/>
      <c r="AB198" s="1331"/>
      <c r="AC198" s="1331"/>
      <c r="AD198" s="1331"/>
      <c r="AE198" s="1331"/>
      <c r="AF198" s="1331"/>
      <c r="AG198" s="1331"/>
      <c r="AH198" s="1334"/>
      <c r="AI198" s="1509"/>
      <c r="AJ198" s="1331"/>
      <c r="AK198" s="1331"/>
      <c r="AL198" s="1331"/>
      <c r="AM198" s="1331"/>
      <c r="AN198" s="1331"/>
      <c r="AO198" s="1331"/>
      <c r="AP198" s="1331"/>
      <c r="AQ198" s="1331"/>
      <c r="AR198" s="1331"/>
      <c r="AS198" s="1331"/>
      <c r="AT198" s="1331"/>
      <c r="AU198" s="1334"/>
    </row>
    <row r="199" spans="1:47" ht="53.25" customHeight="1" x14ac:dyDescent="0.2">
      <c r="A199" s="1546" t="s">
        <v>2507</v>
      </c>
      <c r="B199" s="1490" t="s">
        <v>2769</v>
      </c>
      <c r="C199" s="1474" t="s">
        <v>2770</v>
      </c>
      <c r="D199" s="1331"/>
      <c r="E199" s="1331"/>
      <c r="F199" s="1331"/>
      <c r="G199" s="1331"/>
      <c r="H199" s="1332"/>
      <c r="I199" s="1332"/>
      <c r="J199" s="1332"/>
      <c r="K199" s="1332"/>
      <c r="L199" s="1332"/>
      <c r="M199" s="1507"/>
      <c r="N199" s="1502"/>
      <c r="O199" s="1332"/>
      <c r="P199" s="1331"/>
      <c r="Q199" s="1331"/>
      <c r="R199" s="1331"/>
      <c r="S199" s="1331"/>
      <c r="T199" s="1331"/>
      <c r="U199" s="1331"/>
      <c r="V199" s="1331"/>
      <c r="W199" s="1334">
        <v>-1408000</v>
      </c>
      <c r="X199" s="1509"/>
      <c r="Y199" s="1331"/>
      <c r="Z199" s="1331"/>
      <c r="AA199" s="1331"/>
      <c r="AB199" s="1331"/>
      <c r="AC199" s="1331"/>
      <c r="AD199" s="1331"/>
      <c r="AE199" s="1331"/>
      <c r="AF199" s="1331"/>
      <c r="AG199" s="1331"/>
      <c r="AH199" s="1334"/>
      <c r="AI199" s="1509"/>
      <c r="AJ199" s="1331"/>
      <c r="AK199" s="1331"/>
      <c r="AL199" s="1331"/>
      <c r="AM199" s="1331"/>
      <c r="AN199" s="1331"/>
      <c r="AO199" s="1331"/>
      <c r="AP199" s="1331"/>
      <c r="AQ199" s="1331"/>
      <c r="AR199" s="1331"/>
      <c r="AS199" s="1331"/>
      <c r="AT199" s="1331"/>
      <c r="AU199" s="1334"/>
    </row>
    <row r="200" spans="1:47" ht="57.75" customHeight="1" x14ac:dyDescent="0.2">
      <c r="A200" s="1546" t="s">
        <v>2509</v>
      </c>
      <c r="B200" s="1490" t="s">
        <v>2771</v>
      </c>
      <c r="C200" s="1474" t="s">
        <v>2772</v>
      </c>
      <c r="D200" s="1331"/>
      <c r="E200" s="1331"/>
      <c r="F200" s="1331"/>
      <c r="G200" s="1331"/>
      <c r="H200" s="1332"/>
      <c r="I200" s="1332"/>
      <c r="J200" s="1332"/>
      <c r="K200" s="1332"/>
      <c r="L200" s="1332"/>
      <c r="M200" s="1507"/>
      <c r="N200" s="1502"/>
      <c r="O200" s="1332"/>
      <c r="P200" s="1331"/>
      <c r="Q200" s="1331"/>
      <c r="R200" s="1331"/>
      <c r="S200" s="1331"/>
      <c r="T200" s="1331"/>
      <c r="U200" s="1331"/>
      <c r="V200" s="1331"/>
      <c r="W200" s="1334">
        <v>-7552000</v>
      </c>
      <c r="X200" s="1509"/>
      <c r="Y200" s="1331"/>
      <c r="Z200" s="1331"/>
      <c r="AA200" s="1331"/>
      <c r="AB200" s="1331"/>
      <c r="AC200" s="1331"/>
      <c r="AD200" s="1331"/>
      <c r="AE200" s="1331"/>
      <c r="AF200" s="1331"/>
      <c r="AG200" s="1331"/>
      <c r="AH200" s="1334"/>
      <c r="AI200" s="1509"/>
      <c r="AJ200" s="1331"/>
      <c r="AK200" s="1331"/>
      <c r="AL200" s="1331"/>
      <c r="AM200" s="1331"/>
      <c r="AN200" s="1331"/>
      <c r="AO200" s="1331"/>
      <c r="AP200" s="1331"/>
      <c r="AQ200" s="1331"/>
      <c r="AR200" s="1331"/>
      <c r="AS200" s="1331"/>
      <c r="AT200" s="1331"/>
      <c r="AU200" s="1334"/>
    </row>
    <row r="201" spans="1:47" ht="57" customHeight="1" x14ac:dyDescent="0.2">
      <c r="A201" s="1545" t="s">
        <v>2511</v>
      </c>
      <c r="B201" s="1493" t="s">
        <v>2778</v>
      </c>
      <c r="C201" s="1169" t="s">
        <v>2779</v>
      </c>
      <c r="D201" s="1331"/>
      <c r="E201" s="1331"/>
      <c r="F201" s="1331"/>
      <c r="G201" s="1331"/>
      <c r="H201" s="1332"/>
      <c r="I201" s="1332"/>
      <c r="J201" s="1332"/>
      <c r="K201" s="1332"/>
      <c r="L201" s="1332"/>
      <c r="M201" s="1507"/>
      <c r="N201" s="1502"/>
      <c r="O201" s="1332"/>
      <c r="P201" s="1331"/>
      <c r="Q201" s="1331"/>
      <c r="R201" s="1331"/>
      <c r="S201" s="1331"/>
      <c r="T201" s="1331"/>
      <c r="U201" s="1331"/>
      <c r="V201" s="1331"/>
      <c r="W201" s="1334">
        <v>-1760000</v>
      </c>
      <c r="X201" s="1509"/>
      <c r="Y201" s="1331"/>
      <c r="Z201" s="1331"/>
      <c r="AA201" s="1331"/>
      <c r="AB201" s="1331"/>
      <c r="AC201" s="1331"/>
      <c r="AD201" s="1331"/>
      <c r="AE201" s="1331"/>
      <c r="AF201" s="1331"/>
      <c r="AG201" s="1331"/>
      <c r="AH201" s="1334"/>
      <c r="AI201" s="1509"/>
      <c r="AJ201" s="1331"/>
      <c r="AK201" s="1331"/>
      <c r="AL201" s="1331"/>
      <c r="AM201" s="1331"/>
      <c r="AN201" s="1331"/>
      <c r="AO201" s="1331"/>
      <c r="AP201" s="1331"/>
      <c r="AQ201" s="1331"/>
      <c r="AR201" s="1331"/>
      <c r="AS201" s="1331"/>
      <c r="AT201" s="1331"/>
      <c r="AU201" s="1334"/>
    </row>
    <row r="202" spans="1:47" ht="43.5" customHeight="1" x14ac:dyDescent="0.2">
      <c r="A202" s="1545" t="s">
        <v>2513</v>
      </c>
      <c r="B202" s="1493" t="s">
        <v>2782</v>
      </c>
      <c r="C202" s="1169" t="s">
        <v>2783</v>
      </c>
      <c r="D202" s="1331"/>
      <c r="E202" s="1331"/>
      <c r="F202" s="1331"/>
      <c r="G202" s="1331"/>
      <c r="H202" s="1332"/>
      <c r="I202" s="1332"/>
      <c r="J202" s="1332"/>
      <c r="K202" s="1332"/>
      <c r="L202" s="1332"/>
      <c r="M202" s="1507"/>
      <c r="N202" s="1502"/>
      <c r="O202" s="1332"/>
      <c r="P202" s="1331"/>
      <c r="Q202" s="1331"/>
      <c r="R202" s="1331"/>
      <c r="S202" s="1331"/>
      <c r="T202" s="1331"/>
      <c r="U202" s="1331"/>
      <c r="V202" s="1331"/>
      <c r="W202" s="1334"/>
      <c r="X202" s="1509"/>
      <c r="Y202" s="1331"/>
      <c r="Z202" s="1331"/>
      <c r="AA202" s="1331"/>
      <c r="AB202" s="1331"/>
      <c r="AC202" s="1331"/>
      <c r="AD202" s="1331"/>
      <c r="AE202" s="1331"/>
      <c r="AF202" s="1331"/>
      <c r="AG202" s="1331"/>
      <c r="AH202" s="1334"/>
      <c r="AI202" s="1509"/>
      <c r="AJ202" s="1331"/>
      <c r="AK202" s="1331"/>
      <c r="AL202" s="1331"/>
      <c r="AM202" s="1331"/>
      <c r="AN202" s="1331"/>
      <c r="AO202" s="1331"/>
      <c r="AP202" s="1331"/>
      <c r="AQ202" s="1331"/>
      <c r="AR202" s="1331">
        <v>-254000</v>
      </c>
      <c r="AS202" s="1331"/>
      <c r="AT202" s="1331"/>
      <c r="AU202" s="1334"/>
    </row>
    <row r="203" spans="1:47" ht="36" customHeight="1" x14ac:dyDescent="0.2">
      <c r="A203" s="1545" t="s">
        <v>2516</v>
      </c>
      <c r="B203" s="1493" t="s">
        <v>2785</v>
      </c>
      <c r="C203" s="1169" t="s">
        <v>2786</v>
      </c>
      <c r="D203" s="1331"/>
      <c r="E203" s="1331"/>
      <c r="F203" s="1331"/>
      <c r="G203" s="1331"/>
      <c r="H203" s="1332"/>
      <c r="I203" s="1332"/>
      <c r="J203" s="1332"/>
      <c r="K203" s="1332"/>
      <c r="L203" s="1332"/>
      <c r="M203" s="1507"/>
      <c r="N203" s="1502"/>
      <c r="O203" s="1332"/>
      <c r="P203" s="1331"/>
      <c r="Q203" s="1331"/>
      <c r="R203" s="1331"/>
      <c r="S203" s="1331"/>
      <c r="T203" s="1331"/>
      <c r="U203" s="1331"/>
      <c r="V203" s="1331"/>
      <c r="W203" s="1334"/>
      <c r="X203" s="1509"/>
      <c r="Y203" s="1331"/>
      <c r="Z203" s="1331"/>
      <c r="AA203" s="1331"/>
      <c r="AB203" s="1331"/>
      <c r="AC203" s="1331"/>
      <c r="AD203" s="1331"/>
      <c r="AE203" s="1331"/>
      <c r="AF203" s="1331"/>
      <c r="AG203" s="1331"/>
      <c r="AH203" s="1334"/>
      <c r="AI203" s="1509">
        <v>-6287348</v>
      </c>
      <c r="AJ203" s="1331"/>
      <c r="AK203" s="1331"/>
      <c r="AL203" s="1331"/>
      <c r="AM203" s="1331"/>
      <c r="AN203" s="1331"/>
      <c r="AO203" s="1331"/>
      <c r="AP203" s="1331"/>
      <c r="AQ203" s="1331"/>
      <c r="AR203" s="1331"/>
      <c r="AS203" s="1331"/>
      <c r="AT203" s="1331"/>
      <c r="AU203" s="1334"/>
    </row>
    <row r="204" spans="1:47" ht="57.75" customHeight="1" x14ac:dyDescent="0.2">
      <c r="A204" s="1545" t="s">
        <v>2533</v>
      </c>
      <c r="B204" s="1493" t="s">
        <v>2802</v>
      </c>
      <c r="C204" s="1169" t="s">
        <v>2804</v>
      </c>
      <c r="D204" s="1331"/>
      <c r="E204" s="1331"/>
      <c r="F204" s="1331"/>
      <c r="G204" s="1331"/>
      <c r="H204" s="1332"/>
      <c r="I204" s="1332"/>
      <c r="J204" s="1332"/>
      <c r="K204" s="1332"/>
      <c r="L204" s="1332"/>
      <c r="M204" s="1507"/>
      <c r="N204" s="1502"/>
      <c r="O204" s="1332"/>
      <c r="P204" s="1331"/>
      <c r="Q204" s="1331"/>
      <c r="R204" s="1331"/>
      <c r="S204" s="1331"/>
      <c r="T204" s="1331"/>
      <c r="U204" s="1331"/>
      <c r="V204" s="1331"/>
      <c r="W204" s="1334"/>
      <c r="X204" s="1509"/>
      <c r="Y204" s="1331"/>
      <c r="Z204" s="1331"/>
      <c r="AA204" s="1331"/>
      <c r="AB204" s="1331"/>
      <c r="AC204" s="1331"/>
      <c r="AD204" s="1331"/>
      <c r="AE204" s="1331"/>
      <c r="AF204" s="1331"/>
      <c r="AG204" s="1331"/>
      <c r="AH204" s="1334"/>
      <c r="AI204" s="1509">
        <v>-1860550</v>
      </c>
      <c r="AJ204" s="1331"/>
      <c r="AK204" s="1331"/>
      <c r="AL204" s="1331"/>
      <c r="AM204" s="1331"/>
      <c r="AN204" s="1331"/>
      <c r="AO204" s="1331"/>
      <c r="AP204" s="1331"/>
      <c r="AQ204" s="1331"/>
      <c r="AR204" s="1331"/>
      <c r="AS204" s="1331"/>
      <c r="AT204" s="1331"/>
      <c r="AU204" s="1334"/>
    </row>
    <row r="205" spans="1:47" ht="35.25" customHeight="1" x14ac:dyDescent="0.2">
      <c r="A205" s="1545" t="s">
        <v>2544</v>
      </c>
      <c r="B205" s="1493" t="s">
        <v>2810</v>
      </c>
      <c r="C205" s="1169" t="s">
        <v>2811</v>
      </c>
      <c r="D205" s="1331"/>
      <c r="E205" s="1331"/>
      <c r="F205" s="1331"/>
      <c r="G205" s="1331"/>
      <c r="H205" s="1332"/>
      <c r="I205" s="1332"/>
      <c r="J205" s="1332"/>
      <c r="K205" s="1332"/>
      <c r="L205" s="1332"/>
      <c r="M205" s="1507"/>
      <c r="N205" s="1502"/>
      <c r="O205" s="1332"/>
      <c r="P205" s="1331"/>
      <c r="Q205" s="1331"/>
      <c r="R205" s="1331"/>
      <c r="S205" s="1331"/>
      <c r="T205" s="1331"/>
      <c r="U205" s="1331"/>
      <c r="V205" s="1331"/>
      <c r="W205" s="1334"/>
      <c r="X205" s="1509"/>
      <c r="Y205" s="1331"/>
      <c r="Z205" s="1331"/>
      <c r="AA205" s="1331"/>
      <c r="AB205" s="1331"/>
      <c r="AC205" s="1331"/>
      <c r="AD205" s="1331"/>
      <c r="AE205" s="1331"/>
      <c r="AF205" s="1331"/>
      <c r="AG205" s="1331"/>
      <c r="AH205" s="1334"/>
      <c r="AI205" s="1509"/>
      <c r="AJ205" s="1331"/>
      <c r="AK205" s="1331"/>
      <c r="AL205" s="1331"/>
      <c r="AM205" s="1331"/>
      <c r="AN205" s="1331"/>
      <c r="AO205" s="1331"/>
      <c r="AP205" s="1331"/>
      <c r="AQ205" s="1331"/>
      <c r="AR205" s="1331">
        <v>80000000</v>
      </c>
      <c r="AS205" s="1331"/>
      <c r="AT205" s="1331"/>
      <c r="AU205" s="1334"/>
    </row>
    <row r="206" spans="1:47" ht="36" customHeight="1" x14ac:dyDescent="0.2">
      <c r="A206" s="1545" t="s">
        <v>2545</v>
      </c>
      <c r="B206" s="1493" t="s">
        <v>2812</v>
      </c>
      <c r="C206" s="1169" t="s">
        <v>2813</v>
      </c>
      <c r="D206" s="1331"/>
      <c r="E206" s="1331"/>
      <c r="F206" s="1331"/>
      <c r="G206" s="1331"/>
      <c r="H206" s="1332"/>
      <c r="I206" s="1332"/>
      <c r="J206" s="1332"/>
      <c r="K206" s="1332"/>
      <c r="L206" s="1332"/>
      <c r="M206" s="1507"/>
      <c r="N206" s="1502"/>
      <c r="O206" s="1332"/>
      <c r="P206" s="1331"/>
      <c r="Q206" s="1331"/>
      <c r="R206" s="1331"/>
      <c r="S206" s="1331"/>
      <c r="T206" s="1331"/>
      <c r="U206" s="1331"/>
      <c r="V206" s="1331"/>
      <c r="W206" s="1334"/>
      <c r="X206" s="1509"/>
      <c r="Y206" s="1331"/>
      <c r="Z206" s="1331"/>
      <c r="AA206" s="1331"/>
      <c r="AB206" s="1331"/>
      <c r="AC206" s="1331"/>
      <c r="AD206" s="1331"/>
      <c r="AE206" s="1331"/>
      <c r="AF206" s="1331"/>
      <c r="AG206" s="1331"/>
      <c r="AH206" s="1334"/>
      <c r="AI206" s="1509"/>
      <c r="AJ206" s="1331"/>
      <c r="AK206" s="1331"/>
      <c r="AL206" s="1331"/>
      <c r="AM206" s="1331"/>
      <c r="AN206" s="1331"/>
      <c r="AO206" s="1331"/>
      <c r="AP206" s="1331">
        <v>20000</v>
      </c>
      <c r="AQ206" s="1331"/>
      <c r="AR206" s="1331"/>
      <c r="AS206" s="1331"/>
      <c r="AT206" s="1331"/>
      <c r="AU206" s="1334"/>
    </row>
    <row r="207" spans="1:47" ht="55.5" customHeight="1" x14ac:dyDescent="0.2">
      <c r="A207" s="1545" t="s">
        <v>2548</v>
      </c>
      <c r="B207" s="1493" t="s">
        <v>2816</v>
      </c>
      <c r="C207" s="1169" t="s">
        <v>2817</v>
      </c>
      <c r="D207" s="1331"/>
      <c r="E207" s="1331"/>
      <c r="F207" s="1331"/>
      <c r="G207" s="1331"/>
      <c r="H207" s="1332"/>
      <c r="I207" s="1332"/>
      <c r="J207" s="1332"/>
      <c r="K207" s="1332"/>
      <c r="L207" s="1332"/>
      <c r="M207" s="1507"/>
      <c r="N207" s="1502"/>
      <c r="O207" s="1332"/>
      <c r="P207" s="1331"/>
      <c r="Q207" s="1331"/>
      <c r="R207" s="1331"/>
      <c r="S207" s="1331"/>
      <c r="T207" s="1331"/>
      <c r="U207" s="1331"/>
      <c r="V207" s="1331"/>
      <c r="W207" s="1334">
        <v>2924837</v>
      </c>
      <c r="X207" s="1509"/>
      <c r="Y207" s="1331"/>
      <c r="Z207" s="1331"/>
      <c r="AA207" s="1331"/>
      <c r="AB207" s="1331"/>
      <c r="AC207" s="1331"/>
      <c r="AD207" s="1331"/>
      <c r="AE207" s="1331"/>
      <c r="AF207" s="1331"/>
      <c r="AG207" s="1331"/>
      <c r="AH207" s="1334"/>
      <c r="AI207" s="1509"/>
      <c r="AJ207" s="1331"/>
      <c r="AK207" s="1331"/>
      <c r="AL207" s="1331"/>
      <c r="AM207" s="1331"/>
      <c r="AN207" s="1331"/>
      <c r="AO207" s="1331"/>
      <c r="AP207" s="1331"/>
      <c r="AQ207" s="1331"/>
      <c r="AR207" s="1331"/>
      <c r="AS207" s="1331"/>
      <c r="AT207" s="1331"/>
      <c r="AU207" s="1334"/>
    </row>
    <row r="208" spans="1:47" ht="57.75" customHeight="1" x14ac:dyDescent="0.2">
      <c r="A208" s="1546" t="s">
        <v>2552</v>
      </c>
      <c r="B208" s="1490" t="s">
        <v>2825</v>
      </c>
      <c r="C208" s="1474" t="s">
        <v>2826</v>
      </c>
      <c r="D208" s="1331"/>
      <c r="E208" s="1331"/>
      <c r="F208" s="1331"/>
      <c r="G208" s="1331"/>
      <c r="H208" s="1332"/>
      <c r="I208" s="1332"/>
      <c r="J208" s="1332"/>
      <c r="K208" s="1332"/>
      <c r="L208" s="1332"/>
      <c r="M208" s="1507"/>
      <c r="N208" s="1502"/>
      <c r="O208" s="1332"/>
      <c r="P208" s="1331"/>
      <c r="Q208" s="1331"/>
      <c r="R208" s="1331"/>
      <c r="S208" s="1331"/>
      <c r="T208" s="1331"/>
      <c r="U208" s="1331"/>
      <c r="V208" s="1331"/>
      <c r="W208" s="1334">
        <v>-1017000</v>
      </c>
      <c r="X208" s="1509"/>
      <c r="Y208" s="1331"/>
      <c r="Z208" s="1331"/>
      <c r="AA208" s="1331"/>
      <c r="AB208" s="1331"/>
      <c r="AC208" s="1331"/>
      <c r="AD208" s="1331"/>
      <c r="AE208" s="1331"/>
      <c r="AF208" s="1331"/>
      <c r="AG208" s="1331"/>
      <c r="AH208" s="1334"/>
      <c r="AI208" s="1509"/>
      <c r="AJ208" s="1331"/>
      <c r="AK208" s="1331"/>
      <c r="AL208" s="1331"/>
      <c r="AM208" s="1331"/>
      <c r="AN208" s="1331"/>
      <c r="AO208" s="1331"/>
      <c r="AP208" s="1331"/>
      <c r="AQ208" s="1331"/>
      <c r="AR208" s="1331"/>
      <c r="AS208" s="1331"/>
      <c r="AT208" s="1331"/>
      <c r="AU208" s="1334"/>
    </row>
    <row r="209" spans="1:47" ht="36.75" customHeight="1" x14ac:dyDescent="0.2">
      <c r="A209" s="1546" t="s">
        <v>2556</v>
      </c>
      <c r="B209" s="1490" t="s">
        <v>2833</v>
      </c>
      <c r="C209" s="1474" t="s">
        <v>2834</v>
      </c>
      <c r="D209" s="1331"/>
      <c r="E209" s="1331"/>
      <c r="F209" s="1331"/>
      <c r="G209" s="1331"/>
      <c r="H209" s="1332"/>
      <c r="I209" s="1332"/>
      <c r="J209" s="1332"/>
      <c r="K209" s="1332"/>
      <c r="L209" s="1332"/>
      <c r="M209" s="1507"/>
      <c r="N209" s="1502"/>
      <c r="O209" s="1332"/>
      <c r="P209" s="1331"/>
      <c r="Q209" s="1331"/>
      <c r="R209" s="1331"/>
      <c r="S209" s="1331"/>
      <c r="T209" s="1331"/>
      <c r="U209" s="1331"/>
      <c r="V209" s="1331"/>
      <c r="W209" s="1334"/>
      <c r="X209" s="1509"/>
      <c r="Y209" s="1331"/>
      <c r="Z209" s="1331"/>
      <c r="AA209" s="1331"/>
      <c r="AB209" s="1331"/>
      <c r="AC209" s="1331"/>
      <c r="AD209" s="1331"/>
      <c r="AE209" s="1331"/>
      <c r="AF209" s="1331"/>
      <c r="AG209" s="1331"/>
      <c r="AH209" s="1334"/>
      <c r="AI209" s="1509">
        <v>-19030950</v>
      </c>
      <c r="AJ209" s="1331"/>
      <c r="AK209" s="1331"/>
      <c r="AL209" s="1331"/>
      <c r="AM209" s="1331"/>
      <c r="AN209" s="1331"/>
      <c r="AO209" s="1331"/>
      <c r="AP209" s="1331"/>
      <c r="AQ209" s="1331"/>
      <c r="AR209" s="1331"/>
      <c r="AS209" s="1331"/>
      <c r="AT209" s="1331"/>
      <c r="AU209" s="1334"/>
    </row>
    <row r="210" spans="1:47" ht="39" customHeight="1" x14ac:dyDescent="0.2">
      <c r="A210" s="1546" t="s">
        <v>2558</v>
      </c>
      <c r="B210" s="1490" t="s">
        <v>2835</v>
      </c>
      <c r="C210" s="1474" t="s">
        <v>3007</v>
      </c>
      <c r="D210" s="1331"/>
      <c r="E210" s="1331"/>
      <c r="F210" s="1331"/>
      <c r="G210" s="1331"/>
      <c r="H210" s="1332"/>
      <c r="I210" s="1332"/>
      <c r="J210" s="1332"/>
      <c r="K210" s="1332"/>
      <c r="L210" s="1332"/>
      <c r="M210" s="1507"/>
      <c r="N210" s="1502"/>
      <c r="O210" s="1332"/>
      <c r="P210" s="1331"/>
      <c r="Q210" s="1331"/>
      <c r="R210" s="1331"/>
      <c r="S210" s="1331"/>
      <c r="T210" s="1331"/>
      <c r="U210" s="1331"/>
      <c r="V210" s="1331"/>
      <c r="W210" s="1334"/>
      <c r="X210" s="1509"/>
      <c r="Y210" s="1331"/>
      <c r="Z210" s="1331"/>
      <c r="AA210" s="1331"/>
      <c r="AB210" s="1331"/>
      <c r="AC210" s="1331"/>
      <c r="AD210" s="1331"/>
      <c r="AE210" s="1331"/>
      <c r="AF210" s="1331"/>
      <c r="AG210" s="1331"/>
      <c r="AH210" s="1334"/>
      <c r="AI210" s="1509">
        <v>-7594600</v>
      </c>
      <c r="AJ210" s="1331"/>
      <c r="AK210" s="1331"/>
      <c r="AL210" s="1331"/>
      <c r="AM210" s="1331"/>
      <c r="AN210" s="1331"/>
      <c r="AO210" s="1331"/>
      <c r="AP210" s="1331"/>
      <c r="AQ210" s="1331"/>
      <c r="AR210" s="1331"/>
      <c r="AS210" s="1331"/>
      <c r="AT210" s="1331"/>
      <c r="AU210" s="1334"/>
    </row>
    <row r="211" spans="1:47" ht="44.25" customHeight="1" x14ac:dyDescent="0.2">
      <c r="A211" s="1546" t="s">
        <v>2571</v>
      </c>
      <c r="B211" s="1490" t="s">
        <v>2845</v>
      </c>
      <c r="C211" s="1474" t="s">
        <v>2846</v>
      </c>
      <c r="D211" s="1331"/>
      <c r="E211" s="1331"/>
      <c r="F211" s="1331"/>
      <c r="G211" s="1331"/>
      <c r="H211" s="1332"/>
      <c r="I211" s="1332"/>
      <c r="J211" s="1332"/>
      <c r="K211" s="1332"/>
      <c r="L211" s="1332"/>
      <c r="M211" s="1507"/>
      <c r="N211" s="1502"/>
      <c r="O211" s="1332"/>
      <c r="P211" s="1331">
        <v>-2066798</v>
      </c>
      <c r="Q211" s="1331"/>
      <c r="R211" s="1331"/>
      <c r="S211" s="1331"/>
      <c r="T211" s="1331"/>
      <c r="U211" s="1331"/>
      <c r="V211" s="1331"/>
      <c r="W211" s="1334"/>
      <c r="X211" s="1509"/>
      <c r="Y211" s="1331"/>
      <c r="Z211" s="1331"/>
      <c r="AA211" s="1331"/>
      <c r="AB211" s="1331"/>
      <c r="AC211" s="1331"/>
      <c r="AD211" s="1331"/>
      <c r="AE211" s="1331"/>
      <c r="AF211" s="1331"/>
      <c r="AG211" s="1331"/>
      <c r="AH211" s="1334"/>
      <c r="AI211" s="1509"/>
      <c r="AJ211" s="1331"/>
      <c r="AK211" s="1331"/>
      <c r="AL211" s="1331"/>
      <c r="AM211" s="1331"/>
      <c r="AN211" s="1331"/>
      <c r="AO211" s="1331"/>
      <c r="AP211" s="1331"/>
      <c r="AQ211" s="1331"/>
      <c r="AR211" s="1331"/>
      <c r="AS211" s="1331"/>
      <c r="AT211" s="1331"/>
      <c r="AU211" s="1334"/>
    </row>
    <row r="212" spans="1:47" ht="45" customHeight="1" x14ac:dyDescent="0.2">
      <c r="A212" s="1546" t="s">
        <v>2573</v>
      </c>
      <c r="B212" s="1490" t="s">
        <v>2848</v>
      </c>
      <c r="C212" s="1474" t="s">
        <v>2849</v>
      </c>
      <c r="D212" s="1331"/>
      <c r="E212" s="1331"/>
      <c r="F212" s="1331"/>
      <c r="G212" s="1331"/>
      <c r="H212" s="1332"/>
      <c r="I212" s="1332"/>
      <c r="J212" s="1332"/>
      <c r="K212" s="1332"/>
      <c r="L212" s="1332"/>
      <c r="M212" s="1507"/>
      <c r="N212" s="1502"/>
      <c r="O212" s="1332"/>
      <c r="P212" s="1331">
        <v>20000000</v>
      </c>
      <c r="Q212" s="1331"/>
      <c r="R212" s="1331"/>
      <c r="S212" s="1331"/>
      <c r="T212" s="1331"/>
      <c r="U212" s="1331"/>
      <c r="V212" s="1331"/>
      <c r="W212" s="1334"/>
      <c r="X212" s="1509"/>
      <c r="Y212" s="1331"/>
      <c r="Z212" s="1331"/>
      <c r="AA212" s="1331"/>
      <c r="AB212" s="1331"/>
      <c r="AC212" s="1331"/>
      <c r="AD212" s="1331"/>
      <c r="AE212" s="1331"/>
      <c r="AF212" s="1331"/>
      <c r="AG212" s="1331"/>
      <c r="AH212" s="1334"/>
      <c r="AI212" s="1509"/>
      <c r="AJ212" s="1331"/>
      <c r="AK212" s="1331"/>
      <c r="AL212" s="1331"/>
      <c r="AM212" s="1331"/>
      <c r="AN212" s="1331"/>
      <c r="AO212" s="1331"/>
      <c r="AP212" s="1331"/>
      <c r="AQ212" s="1331"/>
      <c r="AR212" s="1331">
        <v>-20000000</v>
      </c>
      <c r="AS212" s="1331"/>
      <c r="AT212" s="1331"/>
      <c r="AU212" s="1334"/>
    </row>
    <row r="213" spans="1:47" ht="66" customHeight="1" x14ac:dyDescent="0.2">
      <c r="A213" s="1546" t="s">
        <v>2576</v>
      </c>
      <c r="B213" s="1490" t="s">
        <v>2851</v>
      </c>
      <c r="C213" s="1474" t="s">
        <v>2853</v>
      </c>
      <c r="D213" s="1331"/>
      <c r="E213" s="1331"/>
      <c r="F213" s="1331"/>
      <c r="G213" s="1331"/>
      <c r="H213" s="1332"/>
      <c r="I213" s="1332"/>
      <c r="J213" s="1332"/>
      <c r="K213" s="1332"/>
      <c r="L213" s="1332"/>
      <c r="M213" s="1507">
        <v>-47144129</v>
      </c>
      <c r="N213" s="1502"/>
      <c r="O213" s="1332"/>
      <c r="P213" s="1331"/>
      <c r="Q213" s="1331"/>
      <c r="R213" s="1331"/>
      <c r="S213" s="1331"/>
      <c r="T213" s="1331"/>
      <c r="U213" s="1331"/>
      <c r="V213" s="1331"/>
      <c r="W213" s="1334"/>
      <c r="X213" s="1509"/>
      <c r="Y213" s="1331"/>
      <c r="Z213" s="1331"/>
      <c r="AA213" s="1331"/>
      <c r="AB213" s="1331"/>
      <c r="AC213" s="1331"/>
      <c r="AD213" s="1331"/>
      <c r="AE213" s="1331"/>
      <c r="AF213" s="1331"/>
      <c r="AG213" s="1331"/>
      <c r="AH213" s="1334"/>
      <c r="AI213" s="1509">
        <v>47144129</v>
      </c>
      <c r="AJ213" s="1331"/>
      <c r="AK213" s="1331"/>
      <c r="AL213" s="1331"/>
      <c r="AM213" s="1331"/>
      <c r="AN213" s="1331"/>
      <c r="AO213" s="1331"/>
      <c r="AP213" s="1331"/>
      <c r="AQ213" s="1331"/>
      <c r="AR213" s="1331"/>
      <c r="AS213" s="1331"/>
      <c r="AT213" s="1331"/>
      <c r="AU213" s="1334"/>
    </row>
    <row r="214" spans="1:47" ht="49.5" customHeight="1" x14ac:dyDescent="0.2">
      <c r="A214" s="1546" t="s">
        <v>2582</v>
      </c>
      <c r="B214" s="1490" t="s">
        <v>2858</v>
      </c>
      <c r="C214" s="1474" t="s">
        <v>2849</v>
      </c>
      <c r="D214" s="1331"/>
      <c r="E214" s="1331"/>
      <c r="F214" s="1331"/>
      <c r="G214" s="1331"/>
      <c r="H214" s="1332"/>
      <c r="I214" s="1332"/>
      <c r="J214" s="1332"/>
      <c r="K214" s="1332"/>
      <c r="L214" s="1332"/>
      <c r="M214" s="1507"/>
      <c r="N214" s="1502"/>
      <c r="O214" s="1332"/>
      <c r="P214" s="1331">
        <v>34000000</v>
      </c>
      <c r="Q214" s="1331"/>
      <c r="R214" s="1331"/>
      <c r="S214" s="1331"/>
      <c r="T214" s="1331"/>
      <c r="U214" s="1331"/>
      <c r="V214" s="1331"/>
      <c r="W214" s="1334"/>
      <c r="X214" s="1509"/>
      <c r="Y214" s="1331"/>
      <c r="Z214" s="1331"/>
      <c r="AA214" s="1331"/>
      <c r="AB214" s="1331"/>
      <c r="AC214" s="1331"/>
      <c r="AD214" s="1331"/>
      <c r="AE214" s="1331"/>
      <c r="AF214" s="1331"/>
      <c r="AG214" s="1331"/>
      <c r="AH214" s="1334"/>
      <c r="AI214" s="1509"/>
      <c r="AJ214" s="1331"/>
      <c r="AK214" s="1331"/>
      <c r="AL214" s="1331"/>
      <c r="AM214" s="1331"/>
      <c r="AN214" s="1331"/>
      <c r="AO214" s="1331"/>
      <c r="AP214" s="1331"/>
      <c r="AQ214" s="1331"/>
      <c r="AR214" s="1331">
        <v>-34000000</v>
      </c>
      <c r="AS214" s="1331"/>
      <c r="AT214" s="1331"/>
      <c r="AU214" s="1334"/>
    </row>
    <row r="215" spans="1:47" ht="46.5" customHeight="1" x14ac:dyDescent="0.2">
      <c r="A215" s="1546" t="s">
        <v>2584</v>
      </c>
      <c r="B215" s="1490" t="s">
        <v>2859</v>
      </c>
      <c r="C215" s="1474" t="s">
        <v>2860</v>
      </c>
      <c r="D215" s="1331"/>
      <c r="E215" s="1331"/>
      <c r="F215" s="1331"/>
      <c r="G215" s="1331"/>
      <c r="H215" s="1332"/>
      <c r="I215" s="1332"/>
      <c r="J215" s="1332"/>
      <c r="K215" s="1332"/>
      <c r="L215" s="1332"/>
      <c r="M215" s="1507"/>
      <c r="N215" s="1502"/>
      <c r="O215" s="1332"/>
      <c r="P215" s="1331">
        <v>-1254125</v>
      </c>
      <c r="Q215" s="1331"/>
      <c r="R215" s="1331"/>
      <c r="S215" s="1331"/>
      <c r="T215" s="1331"/>
      <c r="U215" s="1331"/>
      <c r="V215" s="1331"/>
      <c r="W215" s="1334"/>
      <c r="X215" s="1509"/>
      <c r="Y215" s="1331"/>
      <c r="Z215" s="1331"/>
      <c r="AA215" s="1331"/>
      <c r="AB215" s="1331"/>
      <c r="AC215" s="1331"/>
      <c r="AD215" s="1331"/>
      <c r="AE215" s="1331"/>
      <c r="AF215" s="1331"/>
      <c r="AG215" s="1331"/>
      <c r="AH215" s="1334"/>
      <c r="AI215" s="1509"/>
      <c r="AJ215" s="1331"/>
      <c r="AK215" s="1331"/>
      <c r="AL215" s="1331"/>
      <c r="AM215" s="1331"/>
      <c r="AN215" s="1331"/>
      <c r="AO215" s="1331"/>
      <c r="AP215" s="1331"/>
      <c r="AQ215" s="1331"/>
      <c r="AR215" s="1331"/>
      <c r="AS215" s="1331"/>
      <c r="AT215" s="1331"/>
      <c r="AU215" s="1334"/>
    </row>
    <row r="216" spans="1:47" ht="40.5" customHeight="1" x14ac:dyDescent="0.2">
      <c r="A216" s="1546" t="s">
        <v>2588</v>
      </c>
      <c r="B216" s="1490" t="s">
        <v>2861</v>
      </c>
      <c r="C216" s="1474" t="s">
        <v>2862</v>
      </c>
      <c r="D216" s="1331"/>
      <c r="E216" s="1331"/>
      <c r="F216" s="1331"/>
      <c r="G216" s="1331"/>
      <c r="H216" s="1332"/>
      <c r="I216" s="1332"/>
      <c r="J216" s="1332"/>
      <c r="K216" s="1332"/>
      <c r="L216" s="1332"/>
      <c r="M216" s="1507"/>
      <c r="N216" s="1502"/>
      <c r="O216" s="1332"/>
      <c r="P216" s="1331"/>
      <c r="Q216" s="1331"/>
      <c r="R216" s="1331"/>
      <c r="S216" s="1331"/>
      <c r="T216" s="1331"/>
      <c r="U216" s="1331"/>
      <c r="V216" s="1331"/>
      <c r="W216" s="1334"/>
      <c r="X216" s="1509"/>
      <c r="Y216" s="1331"/>
      <c r="Z216" s="1331"/>
      <c r="AA216" s="1331"/>
      <c r="AB216" s="1331"/>
      <c r="AC216" s="1331"/>
      <c r="AD216" s="1331"/>
      <c r="AE216" s="1331"/>
      <c r="AF216" s="1331"/>
      <c r="AG216" s="1331"/>
      <c r="AH216" s="1334"/>
      <c r="AI216" s="1509"/>
      <c r="AJ216" s="1331"/>
      <c r="AK216" s="1331"/>
      <c r="AL216" s="1331"/>
      <c r="AM216" s="1331"/>
      <c r="AN216" s="1331"/>
      <c r="AO216" s="1331"/>
      <c r="AP216" s="1331"/>
      <c r="AQ216" s="1331"/>
      <c r="AR216" s="1331"/>
      <c r="AS216" s="1331"/>
      <c r="AT216" s="1331"/>
      <c r="AU216" s="1334">
        <v>-1500000</v>
      </c>
    </row>
    <row r="217" spans="1:47" ht="48" customHeight="1" x14ac:dyDescent="0.2">
      <c r="A217" s="1546" t="s">
        <v>2599</v>
      </c>
      <c r="B217" s="1490" t="s">
        <v>2870</v>
      </c>
      <c r="C217" s="1474" t="s">
        <v>2871</v>
      </c>
      <c r="D217" s="1331"/>
      <c r="E217" s="1331"/>
      <c r="F217" s="1331"/>
      <c r="G217" s="1331"/>
      <c r="H217" s="1332"/>
      <c r="I217" s="1332"/>
      <c r="J217" s="1332"/>
      <c r="K217" s="1332"/>
      <c r="L217" s="1332"/>
      <c r="M217" s="1507"/>
      <c r="N217" s="1502"/>
      <c r="O217" s="1332"/>
      <c r="P217" s="1331">
        <v>-594360</v>
      </c>
      <c r="Q217" s="1331"/>
      <c r="R217" s="1331"/>
      <c r="S217" s="1331"/>
      <c r="T217" s="1331"/>
      <c r="U217" s="1331"/>
      <c r="V217" s="1331"/>
      <c r="W217" s="1334"/>
      <c r="X217" s="1509"/>
      <c r="Y217" s="1331"/>
      <c r="Z217" s="1331"/>
      <c r="AA217" s="1331"/>
      <c r="AB217" s="1331"/>
      <c r="AC217" s="1331"/>
      <c r="AD217" s="1331"/>
      <c r="AE217" s="1331"/>
      <c r="AF217" s="1331"/>
      <c r="AG217" s="1331"/>
      <c r="AH217" s="1334"/>
      <c r="AI217" s="1509"/>
      <c r="AJ217" s="1331"/>
      <c r="AK217" s="1331"/>
      <c r="AL217" s="1331"/>
      <c r="AM217" s="1331"/>
      <c r="AN217" s="1331"/>
      <c r="AO217" s="1331"/>
      <c r="AP217" s="1331"/>
      <c r="AQ217" s="1331"/>
      <c r="AR217" s="1331"/>
      <c r="AS217" s="1331"/>
      <c r="AT217" s="1331"/>
      <c r="AU217" s="1334"/>
    </row>
    <row r="218" spans="1:47" ht="68.25" customHeight="1" x14ac:dyDescent="0.2">
      <c r="A218" s="1546" t="s">
        <v>2602</v>
      </c>
      <c r="B218" s="1490" t="s">
        <v>2873</v>
      </c>
      <c r="C218" s="1474" t="s">
        <v>3009</v>
      </c>
      <c r="D218" s="1331"/>
      <c r="E218" s="1331"/>
      <c r="F218" s="1331"/>
      <c r="G218" s="1331"/>
      <c r="H218" s="1332"/>
      <c r="I218" s="1332"/>
      <c r="J218" s="1332"/>
      <c r="K218" s="1332"/>
      <c r="L218" s="1332"/>
      <c r="M218" s="1507"/>
      <c r="N218" s="1502"/>
      <c r="O218" s="1332"/>
      <c r="P218" s="1331"/>
      <c r="Q218" s="1331"/>
      <c r="R218" s="1331"/>
      <c r="S218" s="1331"/>
      <c r="T218" s="1331"/>
      <c r="U218" s="1331"/>
      <c r="V218" s="1331"/>
      <c r="W218" s="1334"/>
      <c r="X218" s="1509"/>
      <c r="Y218" s="1331"/>
      <c r="Z218" s="1331"/>
      <c r="AA218" s="1331"/>
      <c r="AB218" s="1331"/>
      <c r="AC218" s="1331"/>
      <c r="AD218" s="1331"/>
      <c r="AE218" s="1331"/>
      <c r="AF218" s="1331"/>
      <c r="AG218" s="1331"/>
      <c r="AH218" s="1334"/>
      <c r="AI218" s="1509"/>
      <c r="AJ218" s="1331"/>
      <c r="AK218" s="1331"/>
      <c r="AL218" s="1331"/>
      <c r="AM218" s="1331"/>
      <c r="AN218" s="1331"/>
      <c r="AO218" s="1331"/>
      <c r="AP218" s="1331"/>
      <c r="AQ218" s="1331"/>
      <c r="AR218" s="1331"/>
      <c r="AS218" s="1331"/>
      <c r="AT218" s="1331">
        <v>-5000000</v>
      </c>
      <c r="AU218" s="1334"/>
    </row>
    <row r="219" spans="1:47" ht="55.5" customHeight="1" x14ac:dyDescent="0.2">
      <c r="A219" s="1546" t="s">
        <v>2605</v>
      </c>
      <c r="B219" s="1490" t="s">
        <v>2877</v>
      </c>
      <c r="C219" s="1474" t="s">
        <v>2878</v>
      </c>
      <c r="D219" s="1331"/>
      <c r="E219" s="1331"/>
      <c r="F219" s="1331"/>
      <c r="G219" s="1331"/>
      <c r="H219" s="1332"/>
      <c r="I219" s="1332"/>
      <c r="J219" s="1332"/>
      <c r="K219" s="1332"/>
      <c r="L219" s="1332"/>
      <c r="M219" s="1507"/>
      <c r="N219" s="1502"/>
      <c r="O219" s="1332"/>
      <c r="P219" s="1331">
        <v>-154305</v>
      </c>
      <c r="Q219" s="1331"/>
      <c r="R219" s="1331"/>
      <c r="S219" s="1331"/>
      <c r="T219" s="1331"/>
      <c r="U219" s="1331"/>
      <c r="V219" s="1331"/>
      <c r="W219" s="1334"/>
      <c r="X219" s="1509"/>
      <c r="Y219" s="1331"/>
      <c r="Z219" s="1331"/>
      <c r="AA219" s="1331"/>
      <c r="AB219" s="1331"/>
      <c r="AC219" s="1331"/>
      <c r="AD219" s="1331"/>
      <c r="AE219" s="1331"/>
      <c r="AF219" s="1331"/>
      <c r="AG219" s="1331"/>
      <c r="AH219" s="1334"/>
      <c r="AI219" s="1509"/>
      <c r="AJ219" s="1331"/>
      <c r="AK219" s="1331"/>
      <c r="AL219" s="1331"/>
      <c r="AM219" s="1331"/>
      <c r="AN219" s="1331"/>
      <c r="AO219" s="1331"/>
      <c r="AP219" s="1331"/>
      <c r="AQ219" s="1331"/>
      <c r="AR219" s="1331"/>
      <c r="AS219" s="1331"/>
      <c r="AT219" s="1331"/>
      <c r="AU219" s="1334"/>
    </row>
    <row r="220" spans="1:47" ht="48" customHeight="1" x14ac:dyDescent="0.2">
      <c r="A220" s="1546" t="s">
        <v>2612</v>
      </c>
      <c r="B220" s="1490" t="s">
        <v>2880</v>
      </c>
      <c r="C220" s="1474" t="s">
        <v>2881</v>
      </c>
      <c r="D220" s="1331"/>
      <c r="E220" s="1331"/>
      <c r="F220" s="1331"/>
      <c r="G220" s="1331"/>
      <c r="H220" s="1332"/>
      <c r="I220" s="1332"/>
      <c r="J220" s="1332"/>
      <c r="K220" s="1332"/>
      <c r="L220" s="1332"/>
      <c r="M220" s="1507"/>
      <c r="N220" s="1502"/>
      <c r="O220" s="1332"/>
      <c r="P220" s="1331">
        <v>-10996643</v>
      </c>
      <c r="Q220" s="1331"/>
      <c r="R220" s="1331"/>
      <c r="S220" s="1331"/>
      <c r="T220" s="1331"/>
      <c r="U220" s="1331"/>
      <c r="V220" s="1331"/>
      <c r="W220" s="1334"/>
      <c r="X220" s="1509"/>
      <c r="Y220" s="1331"/>
      <c r="Z220" s="1331"/>
      <c r="AA220" s="1331"/>
      <c r="AB220" s="1331"/>
      <c r="AC220" s="1331"/>
      <c r="AD220" s="1331"/>
      <c r="AE220" s="1331"/>
      <c r="AF220" s="1331"/>
      <c r="AG220" s="1331"/>
      <c r="AH220" s="1334"/>
      <c r="AI220" s="1509"/>
      <c r="AJ220" s="1331"/>
      <c r="AK220" s="1331"/>
      <c r="AL220" s="1331"/>
      <c r="AM220" s="1331"/>
      <c r="AN220" s="1331"/>
      <c r="AO220" s="1331"/>
      <c r="AP220" s="1331"/>
      <c r="AQ220" s="1331"/>
      <c r="AR220" s="1331"/>
      <c r="AS220" s="1331"/>
      <c r="AT220" s="1331"/>
      <c r="AU220" s="1334"/>
    </row>
    <row r="221" spans="1:47" ht="57" customHeight="1" x14ac:dyDescent="0.2">
      <c r="A221" s="1546" t="s">
        <v>2613</v>
      </c>
      <c r="B221" s="1490" t="s">
        <v>2883</v>
      </c>
      <c r="C221" s="1474" t="s">
        <v>2884</v>
      </c>
      <c r="D221" s="1331"/>
      <c r="E221" s="1331"/>
      <c r="F221" s="1331"/>
      <c r="G221" s="1331"/>
      <c r="H221" s="1332"/>
      <c r="I221" s="1332"/>
      <c r="J221" s="1332"/>
      <c r="K221" s="1332"/>
      <c r="L221" s="1332"/>
      <c r="M221" s="1507"/>
      <c r="N221" s="1502"/>
      <c r="O221" s="1332"/>
      <c r="P221" s="1331"/>
      <c r="Q221" s="1331"/>
      <c r="R221" s="1331"/>
      <c r="S221" s="1331"/>
      <c r="T221" s="1331"/>
      <c r="U221" s="1331"/>
      <c r="V221" s="1331"/>
      <c r="W221" s="1334"/>
      <c r="X221" s="1509"/>
      <c r="Y221" s="1331"/>
      <c r="Z221" s="1331"/>
      <c r="AA221" s="1331"/>
      <c r="AB221" s="1331"/>
      <c r="AC221" s="1331"/>
      <c r="AD221" s="1331"/>
      <c r="AE221" s="1331"/>
      <c r="AF221" s="1331"/>
      <c r="AG221" s="1331"/>
      <c r="AH221" s="1334"/>
      <c r="AI221" s="1509">
        <v>-2286000</v>
      </c>
      <c r="AJ221" s="1331"/>
      <c r="AK221" s="1331"/>
      <c r="AL221" s="1331"/>
      <c r="AM221" s="1331"/>
      <c r="AN221" s="1331"/>
      <c r="AO221" s="1331"/>
      <c r="AP221" s="1331"/>
      <c r="AQ221" s="1331"/>
      <c r="AR221" s="1331"/>
      <c r="AS221" s="1331"/>
      <c r="AT221" s="1331"/>
      <c r="AU221" s="1334"/>
    </row>
    <row r="222" spans="1:47" ht="41.25" customHeight="1" x14ac:dyDescent="0.2">
      <c r="A222" s="1546" t="s">
        <v>2616</v>
      </c>
      <c r="B222" s="1490" t="s">
        <v>2885</v>
      </c>
      <c r="C222" s="1474" t="s">
        <v>2886</v>
      </c>
      <c r="D222" s="1331"/>
      <c r="E222" s="1331"/>
      <c r="F222" s="1331"/>
      <c r="G222" s="1331"/>
      <c r="H222" s="1332"/>
      <c r="I222" s="1332"/>
      <c r="J222" s="1332"/>
      <c r="K222" s="1332"/>
      <c r="L222" s="1332"/>
      <c r="M222" s="1507"/>
      <c r="N222" s="1502"/>
      <c r="O222" s="1332"/>
      <c r="P222" s="1331"/>
      <c r="Q222" s="1331"/>
      <c r="R222" s="1331"/>
      <c r="S222" s="1331"/>
      <c r="T222" s="1331"/>
      <c r="U222" s="1331"/>
      <c r="V222" s="1331"/>
      <c r="W222" s="1334"/>
      <c r="X222" s="1509"/>
      <c r="Y222" s="1331"/>
      <c r="Z222" s="1331"/>
      <c r="AA222" s="1331"/>
      <c r="AB222" s="1331"/>
      <c r="AC222" s="1331"/>
      <c r="AD222" s="1331"/>
      <c r="AE222" s="1331"/>
      <c r="AF222" s="1331"/>
      <c r="AG222" s="1331"/>
      <c r="AH222" s="1334"/>
      <c r="AI222" s="1509">
        <v>-6350000</v>
      </c>
      <c r="AJ222" s="1331"/>
      <c r="AK222" s="1331"/>
      <c r="AL222" s="1331"/>
      <c r="AM222" s="1331"/>
      <c r="AN222" s="1331"/>
      <c r="AO222" s="1331"/>
      <c r="AP222" s="1331"/>
      <c r="AQ222" s="1331"/>
      <c r="AR222" s="1331"/>
      <c r="AS222" s="1331"/>
      <c r="AT222" s="1331"/>
      <c r="AU222" s="1334"/>
    </row>
    <row r="223" spans="1:47" ht="93.75" customHeight="1" x14ac:dyDescent="0.2">
      <c r="A223" s="1546" t="s">
        <v>2618</v>
      </c>
      <c r="B223" s="1490" t="s">
        <v>2887</v>
      </c>
      <c r="C223" s="1474" t="s">
        <v>2888</v>
      </c>
      <c r="D223" s="1331"/>
      <c r="E223" s="1331"/>
      <c r="F223" s="1331"/>
      <c r="G223" s="1331"/>
      <c r="H223" s="1332"/>
      <c r="I223" s="1332"/>
      <c r="J223" s="1332"/>
      <c r="K223" s="1332"/>
      <c r="L223" s="1332"/>
      <c r="M223" s="1507"/>
      <c r="N223" s="1502"/>
      <c r="O223" s="1332"/>
      <c r="P223" s="1331"/>
      <c r="Q223" s="1331"/>
      <c r="R223" s="1331"/>
      <c r="S223" s="1331"/>
      <c r="T223" s="1331"/>
      <c r="U223" s="1331"/>
      <c r="V223" s="1331"/>
      <c r="W223" s="1334"/>
      <c r="X223" s="1509"/>
      <c r="Y223" s="1331"/>
      <c r="Z223" s="1331"/>
      <c r="AA223" s="1331"/>
      <c r="AB223" s="1331"/>
      <c r="AC223" s="1331"/>
      <c r="AD223" s="1331"/>
      <c r="AE223" s="1331"/>
      <c r="AF223" s="1331"/>
      <c r="AG223" s="1331">
        <v>-300000</v>
      </c>
      <c r="AH223" s="1334"/>
      <c r="AI223" s="1509"/>
      <c r="AJ223" s="1331"/>
      <c r="AK223" s="1331"/>
      <c r="AL223" s="1331"/>
      <c r="AM223" s="1331"/>
      <c r="AN223" s="1331"/>
      <c r="AO223" s="1331"/>
      <c r="AP223" s="1331"/>
      <c r="AQ223" s="1331"/>
      <c r="AR223" s="1331"/>
      <c r="AS223" s="1331"/>
      <c r="AT223" s="1331"/>
      <c r="AU223" s="1334"/>
    </row>
    <row r="224" spans="1:47" ht="69.75" customHeight="1" x14ac:dyDescent="0.2">
      <c r="A224" s="1546" t="s">
        <v>2620</v>
      </c>
      <c r="B224" s="1490" t="s">
        <v>2890</v>
      </c>
      <c r="C224" s="1474" t="s">
        <v>2891</v>
      </c>
      <c r="D224" s="1331"/>
      <c r="E224" s="1331"/>
      <c r="F224" s="1331"/>
      <c r="G224" s="1331"/>
      <c r="H224" s="1332"/>
      <c r="I224" s="1332"/>
      <c r="J224" s="1332"/>
      <c r="K224" s="1332"/>
      <c r="L224" s="1332"/>
      <c r="M224" s="1507"/>
      <c r="N224" s="1502"/>
      <c r="O224" s="1332"/>
      <c r="P224" s="1331"/>
      <c r="Q224" s="1331"/>
      <c r="R224" s="1331"/>
      <c r="S224" s="1331"/>
      <c r="T224" s="1331"/>
      <c r="U224" s="1331"/>
      <c r="V224" s="1331"/>
      <c r="W224" s="1334"/>
      <c r="X224" s="1509"/>
      <c r="Y224" s="1331"/>
      <c r="Z224" s="1331"/>
      <c r="AA224" s="1331"/>
      <c r="AB224" s="1331"/>
      <c r="AC224" s="1331"/>
      <c r="AD224" s="1331"/>
      <c r="AE224" s="1331"/>
      <c r="AF224" s="1331">
        <v>-225000</v>
      </c>
      <c r="AG224" s="1331"/>
      <c r="AH224" s="1334"/>
      <c r="AI224" s="1509"/>
      <c r="AJ224" s="1331"/>
      <c r="AK224" s="1331"/>
      <c r="AL224" s="1331"/>
      <c r="AM224" s="1331"/>
      <c r="AN224" s="1331"/>
      <c r="AO224" s="1331"/>
      <c r="AP224" s="1331"/>
      <c r="AQ224" s="1331"/>
      <c r="AR224" s="1331"/>
      <c r="AS224" s="1331"/>
      <c r="AT224" s="1331"/>
      <c r="AU224" s="1334"/>
    </row>
    <row r="225" spans="1:47" ht="43.5" customHeight="1" x14ac:dyDescent="0.2">
      <c r="A225" s="1546" t="s">
        <v>2626</v>
      </c>
      <c r="B225" s="1490" t="s">
        <v>2898</v>
      </c>
      <c r="C225" s="1474" t="s">
        <v>2899</v>
      </c>
      <c r="D225" s="1331"/>
      <c r="E225" s="1331"/>
      <c r="F225" s="1331"/>
      <c r="G225" s="1331"/>
      <c r="H225" s="1332"/>
      <c r="I225" s="1332"/>
      <c r="J225" s="1332"/>
      <c r="K225" s="1332"/>
      <c r="L225" s="1332"/>
      <c r="M225" s="1507"/>
      <c r="N225" s="1502"/>
      <c r="O225" s="1332"/>
      <c r="P225" s="1331">
        <v>-5448300</v>
      </c>
      <c r="Q225" s="1331"/>
      <c r="R225" s="1331"/>
      <c r="S225" s="1331"/>
      <c r="T225" s="1331"/>
      <c r="U225" s="1331"/>
      <c r="V225" s="1331"/>
      <c r="W225" s="1334"/>
      <c r="X225" s="1509"/>
      <c r="Y225" s="1331"/>
      <c r="Z225" s="1331"/>
      <c r="AA225" s="1331"/>
      <c r="AB225" s="1331"/>
      <c r="AC225" s="1331"/>
      <c r="AD225" s="1331"/>
      <c r="AE225" s="1331"/>
      <c r="AF225" s="1331"/>
      <c r="AG225" s="1331"/>
      <c r="AH225" s="1334"/>
      <c r="AI225" s="1509"/>
      <c r="AJ225" s="1331"/>
      <c r="AK225" s="1331"/>
      <c r="AL225" s="1331"/>
      <c r="AM225" s="1331"/>
      <c r="AN225" s="1331"/>
      <c r="AO225" s="1331"/>
      <c r="AP225" s="1331"/>
      <c r="AQ225" s="1331"/>
      <c r="AR225" s="1331"/>
      <c r="AS225" s="1331"/>
      <c r="AT225" s="1331"/>
      <c r="AU225" s="1334"/>
    </row>
    <row r="226" spans="1:47" ht="37.5" customHeight="1" x14ac:dyDescent="0.2">
      <c r="A226" s="1546" t="s">
        <v>2910</v>
      </c>
      <c r="B226" s="1490" t="s">
        <v>2911</v>
      </c>
      <c r="C226" s="1474" t="s">
        <v>2912</v>
      </c>
      <c r="D226" s="1331"/>
      <c r="E226" s="1331"/>
      <c r="F226" s="1331"/>
      <c r="G226" s="1331"/>
      <c r="H226" s="1332"/>
      <c r="I226" s="1332"/>
      <c r="J226" s="1332"/>
      <c r="K226" s="1332"/>
      <c r="L226" s="1332"/>
      <c r="M226" s="1507"/>
      <c r="N226" s="1502"/>
      <c r="O226" s="1332"/>
      <c r="P226" s="1331"/>
      <c r="Q226" s="1331"/>
      <c r="R226" s="1331"/>
      <c r="S226" s="1331"/>
      <c r="T226" s="1331"/>
      <c r="U226" s="1331"/>
      <c r="V226" s="1331"/>
      <c r="W226" s="1334"/>
      <c r="X226" s="1509"/>
      <c r="Y226" s="1331"/>
      <c r="Z226" s="1331"/>
      <c r="AA226" s="1331"/>
      <c r="AB226" s="1331"/>
      <c r="AC226" s="1331"/>
      <c r="AD226" s="1331"/>
      <c r="AE226" s="1331"/>
      <c r="AF226" s="1331"/>
      <c r="AG226" s="1331"/>
      <c r="AH226" s="1334"/>
      <c r="AI226" s="1509">
        <v>-4000000</v>
      </c>
      <c r="AJ226" s="1331"/>
      <c r="AK226" s="1331"/>
      <c r="AL226" s="1331"/>
      <c r="AM226" s="1331"/>
      <c r="AN226" s="1331"/>
      <c r="AO226" s="1331"/>
      <c r="AP226" s="1331"/>
      <c r="AQ226" s="1331"/>
      <c r="AR226" s="1331"/>
      <c r="AS226" s="1331"/>
      <c r="AT226" s="1331"/>
      <c r="AU226" s="1334"/>
    </row>
    <row r="227" spans="1:47" ht="56.25" customHeight="1" x14ac:dyDescent="0.2">
      <c r="A227" s="1546" t="s">
        <v>2656</v>
      </c>
      <c r="B227" s="1490" t="s">
        <v>2913</v>
      </c>
      <c r="C227" s="1474" t="s">
        <v>2914</v>
      </c>
      <c r="D227" s="1331"/>
      <c r="E227" s="1331"/>
      <c r="F227" s="1331"/>
      <c r="G227" s="1331"/>
      <c r="H227" s="1332"/>
      <c r="I227" s="1332"/>
      <c r="J227" s="1332"/>
      <c r="K227" s="1332"/>
      <c r="L227" s="1332"/>
      <c r="M227" s="1507"/>
      <c r="N227" s="1502"/>
      <c r="O227" s="1332"/>
      <c r="P227" s="1331">
        <v>-242221</v>
      </c>
      <c r="Q227" s="1331"/>
      <c r="R227" s="1331"/>
      <c r="S227" s="1331"/>
      <c r="T227" s="1331"/>
      <c r="U227" s="1331"/>
      <c r="V227" s="1331"/>
      <c r="W227" s="1334"/>
      <c r="X227" s="1509"/>
      <c r="Y227" s="1331"/>
      <c r="Z227" s="1331"/>
      <c r="AA227" s="1331"/>
      <c r="AB227" s="1331"/>
      <c r="AC227" s="1331"/>
      <c r="AD227" s="1331"/>
      <c r="AE227" s="1331"/>
      <c r="AF227" s="1331"/>
      <c r="AG227" s="1331"/>
      <c r="AH227" s="1334"/>
      <c r="AI227" s="1509"/>
      <c r="AJ227" s="1331"/>
      <c r="AK227" s="1331"/>
      <c r="AL227" s="1331"/>
      <c r="AM227" s="1331"/>
      <c r="AN227" s="1331"/>
      <c r="AO227" s="1331"/>
      <c r="AP227" s="1331"/>
      <c r="AQ227" s="1331"/>
      <c r="AR227" s="1331"/>
      <c r="AS227" s="1331"/>
      <c r="AT227" s="1331"/>
      <c r="AU227" s="1334"/>
    </row>
    <row r="228" spans="1:47" ht="40.5" customHeight="1" x14ac:dyDescent="0.2">
      <c r="A228" s="1546" t="s">
        <v>2659</v>
      </c>
      <c r="B228" s="1490" t="s">
        <v>2916</v>
      </c>
      <c r="C228" s="1474" t="s">
        <v>2917</v>
      </c>
      <c r="D228" s="1331"/>
      <c r="E228" s="1331"/>
      <c r="F228" s="1331"/>
      <c r="G228" s="1331"/>
      <c r="H228" s="1332"/>
      <c r="I228" s="1332"/>
      <c r="J228" s="1332"/>
      <c r="K228" s="1332"/>
      <c r="L228" s="1332"/>
      <c r="M228" s="1507"/>
      <c r="N228" s="1502"/>
      <c r="O228" s="1332"/>
      <c r="P228" s="1331"/>
      <c r="Q228" s="1331"/>
      <c r="R228" s="1331"/>
      <c r="S228" s="1331"/>
      <c r="T228" s="1331"/>
      <c r="U228" s="1331"/>
      <c r="V228" s="1331"/>
      <c r="W228" s="1334"/>
      <c r="X228" s="1509"/>
      <c r="Y228" s="1331"/>
      <c r="Z228" s="1331"/>
      <c r="AA228" s="1331"/>
      <c r="AB228" s="1331"/>
      <c r="AC228" s="1331"/>
      <c r="AD228" s="1331"/>
      <c r="AE228" s="1331"/>
      <c r="AF228" s="1331"/>
      <c r="AG228" s="1331"/>
      <c r="AH228" s="1334"/>
      <c r="AI228" s="1509">
        <v>-12694920</v>
      </c>
      <c r="AJ228" s="1331"/>
      <c r="AK228" s="1331"/>
      <c r="AL228" s="1331"/>
      <c r="AM228" s="1331"/>
      <c r="AN228" s="1331"/>
      <c r="AO228" s="1331"/>
      <c r="AP228" s="1331"/>
      <c r="AQ228" s="1331"/>
      <c r="AR228" s="1331"/>
      <c r="AS228" s="1331"/>
      <c r="AT228" s="1331"/>
      <c r="AU228" s="1334"/>
    </row>
    <row r="229" spans="1:47" ht="43.5" customHeight="1" x14ac:dyDescent="0.2">
      <c r="A229" s="1546" t="s">
        <v>2662</v>
      </c>
      <c r="B229" s="1490" t="s">
        <v>2918</v>
      </c>
      <c r="C229" s="1474" t="s">
        <v>2919</v>
      </c>
      <c r="D229" s="1331"/>
      <c r="E229" s="1331"/>
      <c r="F229" s="1331"/>
      <c r="G229" s="1331"/>
      <c r="H229" s="1332"/>
      <c r="I229" s="1332"/>
      <c r="J229" s="1332"/>
      <c r="K229" s="1332"/>
      <c r="L229" s="1332"/>
      <c r="M229" s="1507"/>
      <c r="N229" s="1502"/>
      <c r="O229" s="1332"/>
      <c r="P229" s="1331"/>
      <c r="Q229" s="1331"/>
      <c r="R229" s="1331"/>
      <c r="S229" s="1331"/>
      <c r="T229" s="1331"/>
      <c r="U229" s="1331"/>
      <c r="V229" s="1331"/>
      <c r="W229" s="1334"/>
      <c r="X229" s="1509"/>
      <c r="Y229" s="1331"/>
      <c r="Z229" s="1331"/>
      <c r="AA229" s="1331"/>
      <c r="AB229" s="1331"/>
      <c r="AC229" s="1331"/>
      <c r="AD229" s="1331"/>
      <c r="AE229" s="1331"/>
      <c r="AF229" s="1331"/>
      <c r="AG229" s="1331"/>
      <c r="AH229" s="1334"/>
      <c r="AI229" s="1509">
        <v>-758952</v>
      </c>
      <c r="AJ229" s="1331"/>
      <c r="AK229" s="1331"/>
      <c r="AL229" s="1331"/>
      <c r="AM229" s="1331"/>
      <c r="AN229" s="1331"/>
      <c r="AO229" s="1331"/>
      <c r="AP229" s="1331"/>
      <c r="AQ229" s="1331"/>
      <c r="AR229" s="1331"/>
      <c r="AS229" s="1331"/>
      <c r="AT229" s="1331"/>
      <c r="AU229" s="1334"/>
    </row>
    <row r="230" spans="1:47" ht="69.75" customHeight="1" x14ac:dyDescent="0.2">
      <c r="A230" s="1546" t="s">
        <v>2665</v>
      </c>
      <c r="B230" s="1490" t="s">
        <v>2920</v>
      </c>
      <c r="C230" s="1474" t="s">
        <v>2921</v>
      </c>
      <c r="D230" s="1331"/>
      <c r="E230" s="1331"/>
      <c r="F230" s="1331"/>
      <c r="G230" s="1331"/>
      <c r="H230" s="1332"/>
      <c r="I230" s="1332"/>
      <c r="J230" s="1332"/>
      <c r="K230" s="1332"/>
      <c r="L230" s="1332"/>
      <c r="M230" s="1507"/>
      <c r="N230" s="1502"/>
      <c r="O230" s="1332"/>
      <c r="P230" s="1331">
        <v>-190500</v>
      </c>
      <c r="Q230" s="1331"/>
      <c r="R230" s="1331"/>
      <c r="S230" s="1331"/>
      <c r="T230" s="1331"/>
      <c r="U230" s="1331"/>
      <c r="V230" s="1331"/>
      <c r="W230" s="1334"/>
      <c r="X230" s="1509"/>
      <c r="Y230" s="1331"/>
      <c r="Z230" s="1331"/>
      <c r="AA230" s="1331"/>
      <c r="AB230" s="1331"/>
      <c r="AC230" s="1331"/>
      <c r="AD230" s="1331"/>
      <c r="AE230" s="1331"/>
      <c r="AF230" s="1331"/>
      <c r="AG230" s="1331"/>
      <c r="AH230" s="1334"/>
      <c r="AI230" s="1509"/>
      <c r="AJ230" s="1331"/>
      <c r="AK230" s="1331"/>
      <c r="AL230" s="1331"/>
      <c r="AM230" s="1331"/>
      <c r="AN230" s="1331"/>
      <c r="AO230" s="1331"/>
      <c r="AP230" s="1331"/>
      <c r="AQ230" s="1331"/>
      <c r="AR230" s="1331"/>
      <c r="AS230" s="1331"/>
      <c r="AT230" s="1331"/>
      <c r="AU230" s="1334"/>
    </row>
    <row r="231" spans="1:47" ht="69" customHeight="1" x14ac:dyDescent="0.2">
      <c r="A231" s="1546" t="s">
        <v>2667</v>
      </c>
      <c r="B231" s="1490" t="s">
        <v>2922</v>
      </c>
      <c r="C231" s="1474" t="s">
        <v>2923</v>
      </c>
      <c r="D231" s="1331"/>
      <c r="E231" s="1331"/>
      <c r="F231" s="1331"/>
      <c r="G231" s="1331"/>
      <c r="H231" s="1332"/>
      <c r="I231" s="1332"/>
      <c r="J231" s="1332"/>
      <c r="K231" s="1332"/>
      <c r="L231" s="1332"/>
      <c r="M231" s="1507"/>
      <c r="N231" s="1502"/>
      <c r="O231" s="1332"/>
      <c r="P231" s="1331"/>
      <c r="Q231" s="1331"/>
      <c r="R231" s="1331"/>
      <c r="S231" s="1331"/>
      <c r="T231" s="1331"/>
      <c r="U231" s="1331"/>
      <c r="V231" s="1331"/>
      <c r="W231" s="1334"/>
      <c r="X231" s="1509"/>
      <c r="Y231" s="1331"/>
      <c r="Z231" s="1331"/>
      <c r="AA231" s="1331"/>
      <c r="AB231" s="1331"/>
      <c r="AC231" s="1331"/>
      <c r="AD231" s="1331"/>
      <c r="AE231" s="1331"/>
      <c r="AF231" s="1331"/>
      <c r="AG231" s="1331"/>
      <c r="AH231" s="1334"/>
      <c r="AI231" s="1509"/>
      <c r="AJ231" s="1331"/>
      <c r="AK231" s="1331"/>
      <c r="AL231" s="1331"/>
      <c r="AM231" s="1331"/>
      <c r="AN231" s="1331"/>
      <c r="AO231" s="1331"/>
      <c r="AP231" s="1331"/>
      <c r="AQ231" s="1331"/>
      <c r="AR231" s="1331">
        <v>-7000000</v>
      </c>
      <c r="AS231" s="1331"/>
      <c r="AT231" s="1331"/>
      <c r="AU231" s="1334"/>
    </row>
    <row r="232" spans="1:47" ht="68.25" customHeight="1" x14ac:dyDescent="0.2">
      <c r="A232" s="1546" t="s">
        <v>2670</v>
      </c>
      <c r="B232" s="1490" t="s">
        <v>2926</v>
      </c>
      <c r="C232" s="1474" t="s">
        <v>2927</v>
      </c>
      <c r="D232" s="1331"/>
      <c r="E232" s="1331"/>
      <c r="F232" s="1331"/>
      <c r="G232" s="1331"/>
      <c r="H232" s="1332"/>
      <c r="I232" s="1332"/>
      <c r="J232" s="1332"/>
      <c r="K232" s="1332"/>
      <c r="L232" s="1332"/>
      <c r="M232" s="1507"/>
      <c r="N232" s="1502"/>
      <c r="O232" s="1332"/>
      <c r="P232" s="1331"/>
      <c r="Q232" s="1331"/>
      <c r="R232" s="1331"/>
      <c r="S232" s="1331"/>
      <c r="T232" s="1331"/>
      <c r="U232" s="1331"/>
      <c r="V232" s="1331"/>
      <c r="W232" s="1334"/>
      <c r="X232" s="1509"/>
      <c r="Y232" s="1331"/>
      <c r="Z232" s="1331"/>
      <c r="AA232" s="1331"/>
      <c r="AB232" s="1331"/>
      <c r="AC232" s="1331"/>
      <c r="AD232" s="1331"/>
      <c r="AE232" s="1331"/>
      <c r="AF232" s="1331"/>
      <c r="AG232" s="1331"/>
      <c r="AH232" s="1334"/>
      <c r="AI232" s="1509"/>
      <c r="AJ232" s="1331"/>
      <c r="AK232" s="1331"/>
      <c r="AL232" s="1331"/>
      <c r="AM232" s="1331"/>
      <c r="AN232" s="1331"/>
      <c r="AO232" s="1331"/>
      <c r="AP232" s="1331"/>
      <c r="AQ232" s="1331"/>
      <c r="AR232" s="1331">
        <v>-7000000</v>
      </c>
      <c r="AS232" s="1331"/>
      <c r="AT232" s="1331"/>
      <c r="AU232" s="1334"/>
    </row>
    <row r="233" spans="1:47" ht="48" customHeight="1" x14ac:dyDescent="0.2">
      <c r="A233" s="1546" t="s">
        <v>2675</v>
      </c>
      <c r="B233" s="1490" t="s">
        <v>2933</v>
      </c>
      <c r="C233" s="1474" t="s">
        <v>2934</v>
      </c>
      <c r="D233" s="1331"/>
      <c r="E233" s="1331"/>
      <c r="F233" s="1331"/>
      <c r="G233" s="1331"/>
      <c r="H233" s="1332"/>
      <c r="I233" s="1332"/>
      <c r="J233" s="1332"/>
      <c r="K233" s="1332"/>
      <c r="L233" s="1332"/>
      <c r="M233" s="1507"/>
      <c r="N233" s="1502"/>
      <c r="O233" s="1332"/>
      <c r="P233" s="1331"/>
      <c r="Q233" s="1331"/>
      <c r="R233" s="1331"/>
      <c r="S233" s="1331"/>
      <c r="T233" s="1331"/>
      <c r="U233" s="1331"/>
      <c r="V233" s="1331"/>
      <c r="W233" s="1334"/>
      <c r="X233" s="1509"/>
      <c r="Y233" s="1331"/>
      <c r="Z233" s="1331"/>
      <c r="AA233" s="1331"/>
      <c r="AB233" s="1331"/>
      <c r="AC233" s="1331"/>
      <c r="AD233" s="1331"/>
      <c r="AE233" s="1331"/>
      <c r="AF233" s="1331"/>
      <c r="AG233" s="1331"/>
      <c r="AH233" s="1334"/>
      <c r="AI233" s="1509"/>
      <c r="AJ233" s="1331"/>
      <c r="AK233" s="1331"/>
      <c r="AL233" s="1331"/>
      <c r="AM233" s="1331"/>
      <c r="AN233" s="1331"/>
      <c r="AO233" s="1331"/>
      <c r="AP233" s="1331"/>
      <c r="AQ233" s="1331"/>
      <c r="AR233" s="1331">
        <v>-2540000</v>
      </c>
      <c r="AS233" s="1331"/>
      <c r="AT233" s="1331"/>
      <c r="AU233" s="1334"/>
    </row>
    <row r="234" spans="1:47" ht="48" customHeight="1" x14ac:dyDescent="0.2">
      <c r="A234" s="1546" t="s">
        <v>2677</v>
      </c>
      <c r="B234" s="1490" t="s">
        <v>2935</v>
      </c>
      <c r="C234" s="1474" t="s">
        <v>2938</v>
      </c>
      <c r="D234" s="1331"/>
      <c r="E234" s="1331"/>
      <c r="F234" s="1331"/>
      <c r="G234" s="1331"/>
      <c r="H234" s="1332"/>
      <c r="I234" s="1332"/>
      <c r="J234" s="1332"/>
      <c r="K234" s="1332"/>
      <c r="L234" s="1332"/>
      <c r="M234" s="1507"/>
      <c r="N234" s="1502"/>
      <c r="O234" s="1332"/>
      <c r="P234" s="1331">
        <v>-1091278</v>
      </c>
      <c r="Q234" s="1331"/>
      <c r="R234" s="1331"/>
      <c r="S234" s="1331"/>
      <c r="T234" s="1331"/>
      <c r="U234" s="1331"/>
      <c r="V234" s="1331"/>
      <c r="W234" s="1334"/>
      <c r="X234" s="1509"/>
      <c r="Y234" s="1331"/>
      <c r="Z234" s="1331"/>
      <c r="AA234" s="1331"/>
      <c r="AB234" s="1331"/>
      <c r="AC234" s="1331"/>
      <c r="AD234" s="1331"/>
      <c r="AE234" s="1331"/>
      <c r="AF234" s="1331"/>
      <c r="AG234" s="1331"/>
      <c r="AH234" s="1334"/>
      <c r="AI234" s="1509"/>
      <c r="AJ234" s="1331"/>
      <c r="AK234" s="1331"/>
      <c r="AL234" s="1331"/>
      <c r="AM234" s="1331"/>
      <c r="AN234" s="1331"/>
      <c r="AO234" s="1331"/>
      <c r="AP234" s="1331"/>
      <c r="AQ234" s="1331"/>
      <c r="AR234" s="1331"/>
      <c r="AS234" s="1331"/>
      <c r="AT234" s="1331"/>
      <c r="AU234" s="1334"/>
    </row>
    <row r="235" spans="1:47" ht="48" customHeight="1" x14ac:dyDescent="0.2">
      <c r="A235" s="1546" t="s">
        <v>2940</v>
      </c>
      <c r="B235" s="1490" t="s">
        <v>2941</v>
      </c>
      <c r="C235" s="1474" t="s">
        <v>2942</v>
      </c>
      <c r="D235" s="1331"/>
      <c r="E235" s="1331"/>
      <c r="F235" s="1331"/>
      <c r="G235" s="1331"/>
      <c r="H235" s="1332"/>
      <c r="I235" s="1332"/>
      <c r="J235" s="1332"/>
      <c r="K235" s="1332"/>
      <c r="L235" s="1332"/>
      <c r="M235" s="1507"/>
      <c r="N235" s="1502"/>
      <c r="O235" s="1332"/>
      <c r="P235" s="1331">
        <v>-61601433</v>
      </c>
      <c r="Q235" s="1331"/>
      <c r="R235" s="1331"/>
      <c r="S235" s="1331"/>
      <c r="T235" s="1331"/>
      <c r="U235" s="1331"/>
      <c r="V235" s="1331"/>
      <c r="W235" s="1334"/>
      <c r="X235" s="1509"/>
      <c r="Y235" s="1331"/>
      <c r="Z235" s="1331"/>
      <c r="AA235" s="1331"/>
      <c r="AB235" s="1331"/>
      <c r="AC235" s="1331"/>
      <c r="AD235" s="1331"/>
      <c r="AE235" s="1331"/>
      <c r="AF235" s="1331"/>
      <c r="AG235" s="1331"/>
      <c r="AH235" s="1334"/>
      <c r="AI235" s="1509"/>
      <c r="AJ235" s="1331"/>
      <c r="AK235" s="1331"/>
      <c r="AL235" s="1331"/>
      <c r="AM235" s="1331"/>
      <c r="AN235" s="1331"/>
      <c r="AO235" s="1331"/>
      <c r="AP235" s="1331"/>
      <c r="AQ235" s="1331"/>
      <c r="AR235" s="1331"/>
      <c r="AS235" s="1331"/>
      <c r="AT235" s="1331"/>
      <c r="AU235" s="1334"/>
    </row>
    <row r="236" spans="1:47" ht="47.25" customHeight="1" x14ac:dyDescent="0.2">
      <c r="A236" s="1546" t="s">
        <v>2943</v>
      </c>
      <c r="B236" s="1490" t="s">
        <v>2944</v>
      </c>
      <c r="C236" s="1474" t="s">
        <v>2945</v>
      </c>
      <c r="D236" s="1331"/>
      <c r="E236" s="1331"/>
      <c r="F236" s="1331"/>
      <c r="G236" s="1331"/>
      <c r="H236" s="1332"/>
      <c r="I236" s="1332"/>
      <c r="J236" s="1332"/>
      <c r="K236" s="1332"/>
      <c r="L236" s="1332"/>
      <c r="M236" s="1507"/>
      <c r="N236" s="1502"/>
      <c r="O236" s="1332"/>
      <c r="P236" s="1331"/>
      <c r="Q236" s="1331"/>
      <c r="R236" s="1331"/>
      <c r="S236" s="1331"/>
      <c r="T236" s="1331"/>
      <c r="U236" s="1331"/>
      <c r="V236" s="1331"/>
      <c r="W236" s="1334"/>
      <c r="X236" s="1509"/>
      <c r="Y236" s="1331"/>
      <c r="Z236" s="1331"/>
      <c r="AA236" s="1331"/>
      <c r="AB236" s="1331"/>
      <c r="AC236" s="1331"/>
      <c r="AD236" s="1331"/>
      <c r="AE236" s="1331"/>
      <c r="AF236" s="1331"/>
      <c r="AG236" s="1331"/>
      <c r="AH236" s="1334"/>
      <c r="AI236" s="1509"/>
      <c r="AJ236" s="1331"/>
      <c r="AK236" s="1331"/>
      <c r="AL236" s="1331"/>
      <c r="AM236" s="1331"/>
      <c r="AN236" s="1331"/>
      <c r="AO236" s="1331"/>
      <c r="AP236" s="1331"/>
      <c r="AQ236" s="1331"/>
      <c r="AR236" s="1331">
        <v>-4552506</v>
      </c>
      <c r="AS236" s="1331"/>
      <c r="AT236" s="1331"/>
      <c r="AU236" s="1334"/>
    </row>
    <row r="237" spans="1:47" ht="48" customHeight="1" x14ac:dyDescent="0.2">
      <c r="A237" s="1546" t="s">
        <v>2679</v>
      </c>
      <c r="B237" s="1490" t="s">
        <v>2947</v>
      </c>
      <c r="C237" s="1474" t="s">
        <v>2948</v>
      </c>
      <c r="D237" s="1331"/>
      <c r="E237" s="1331"/>
      <c r="F237" s="1331"/>
      <c r="G237" s="1331"/>
      <c r="H237" s="1332"/>
      <c r="I237" s="1332"/>
      <c r="J237" s="1332"/>
      <c r="K237" s="1332"/>
      <c r="L237" s="1332"/>
      <c r="M237" s="1507"/>
      <c r="N237" s="1502"/>
      <c r="O237" s="1332"/>
      <c r="P237" s="1331"/>
      <c r="Q237" s="1331"/>
      <c r="R237" s="1331"/>
      <c r="S237" s="1331"/>
      <c r="T237" s="1331"/>
      <c r="U237" s="1331"/>
      <c r="V237" s="1331"/>
      <c r="W237" s="1334"/>
      <c r="X237" s="1509"/>
      <c r="Y237" s="1331"/>
      <c r="Z237" s="1331"/>
      <c r="AA237" s="1331"/>
      <c r="AB237" s="1331"/>
      <c r="AC237" s="1331"/>
      <c r="AD237" s="1331"/>
      <c r="AE237" s="1331"/>
      <c r="AF237" s="1331"/>
      <c r="AG237" s="1331"/>
      <c r="AH237" s="1334"/>
      <c r="AI237" s="1509"/>
      <c r="AJ237" s="1331"/>
      <c r="AK237" s="1331"/>
      <c r="AL237" s="1331"/>
      <c r="AM237" s="1331"/>
      <c r="AN237" s="1331"/>
      <c r="AO237" s="1331"/>
      <c r="AP237" s="1331"/>
      <c r="AQ237" s="1331"/>
      <c r="AR237" s="1331">
        <v>-5466080</v>
      </c>
      <c r="AS237" s="1331"/>
      <c r="AT237" s="1331"/>
      <c r="AU237" s="1334"/>
    </row>
    <row r="238" spans="1:47" ht="42" customHeight="1" x14ac:dyDescent="0.2">
      <c r="A238" s="1546" t="s">
        <v>2681</v>
      </c>
      <c r="B238" s="1490" t="s">
        <v>2949</v>
      </c>
      <c r="C238" s="1474" t="s">
        <v>2950</v>
      </c>
      <c r="D238" s="1331"/>
      <c r="E238" s="1331"/>
      <c r="F238" s="1331"/>
      <c r="G238" s="1331"/>
      <c r="H238" s="1332"/>
      <c r="I238" s="1332"/>
      <c r="J238" s="1332"/>
      <c r="K238" s="1332"/>
      <c r="L238" s="1332"/>
      <c r="M238" s="1507"/>
      <c r="N238" s="1502"/>
      <c r="O238" s="1332"/>
      <c r="P238" s="1331"/>
      <c r="Q238" s="1331"/>
      <c r="R238" s="1331"/>
      <c r="S238" s="1331"/>
      <c r="T238" s="1331"/>
      <c r="U238" s="1331"/>
      <c r="V238" s="1331"/>
      <c r="W238" s="1334"/>
      <c r="X238" s="1509"/>
      <c r="Y238" s="1331"/>
      <c r="Z238" s="1331"/>
      <c r="AA238" s="1331"/>
      <c r="AB238" s="1331"/>
      <c r="AC238" s="1331"/>
      <c r="AD238" s="1331"/>
      <c r="AE238" s="1331"/>
      <c r="AF238" s="1331"/>
      <c r="AG238" s="1331"/>
      <c r="AH238" s="1334"/>
      <c r="AI238" s="1509"/>
      <c r="AJ238" s="1331"/>
      <c r="AK238" s="1331"/>
      <c r="AL238" s="1331"/>
      <c r="AM238" s="1331"/>
      <c r="AN238" s="1331"/>
      <c r="AO238" s="1331"/>
      <c r="AP238" s="1331"/>
      <c r="AQ238" s="1331"/>
      <c r="AR238" s="1331">
        <v>-7620000</v>
      </c>
      <c r="AS238" s="1331"/>
      <c r="AT238" s="1331"/>
      <c r="AU238" s="1334"/>
    </row>
    <row r="239" spans="1:47" ht="48" customHeight="1" x14ac:dyDescent="0.2">
      <c r="A239" s="1546" t="s">
        <v>2685</v>
      </c>
      <c r="B239" s="1490" t="s">
        <v>2951</v>
      </c>
      <c r="C239" s="1474" t="s">
        <v>2952</v>
      </c>
      <c r="D239" s="1331"/>
      <c r="E239" s="1331"/>
      <c r="F239" s="1331"/>
      <c r="G239" s="1331"/>
      <c r="H239" s="1332"/>
      <c r="I239" s="1332"/>
      <c r="J239" s="1332"/>
      <c r="K239" s="1332"/>
      <c r="L239" s="1332"/>
      <c r="M239" s="1507"/>
      <c r="N239" s="1502"/>
      <c r="O239" s="1332"/>
      <c r="P239" s="1331"/>
      <c r="Q239" s="1331"/>
      <c r="R239" s="1331"/>
      <c r="S239" s="1331"/>
      <c r="T239" s="1331"/>
      <c r="U239" s="1331"/>
      <c r="V239" s="1331"/>
      <c r="W239" s="1334"/>
      <c r="X239" s="1509"/>
      <c r="Y239" s="1331"/>
      <c r="Z239" s="1331"/>
      <c r="AA239" s="1331"/>
      <c r="AB239" s="1331"/>
      <c r="AC239" s="1331"/>
      <c r="AD239" s="1331"/>
      <c r="AE239" s="1331"/>
      <c r="AF239" s="1331"/>
      <c r="AG239" s="1331"/>
      <c r="AH239" s="1334"/>
      <c r="AI239" s="1509"/>
      <c r="AJ239" s="1331"/>
      <c r="AK239" s="1331"/>
      <c r="AL239" s="1331"/>
      <c r="AM239" s="1331"/>
      <c r="AN239" s="1331"/>
      <c r="AO239" s="1331"/>
      <c r="AP239" s="1331"/>
      <c r="AQ239" s="1331"/>
      <c r="AR239" s="1331">
        <v>-12700000</v>
      </c>
      <c r="AS239" s="1331"/>
      <c r="AT239" s="1331"/>
      <c r="AU239" s="1334"/>
    </row>
    <row r="240" spans="1:47" ht="37.5" customHeight="1" x14ac:dyDescent="0.2">
      <c r="A240" s="1546" t="s">
        <v>2687</v>
      </c>
      <c r="B240" s="1490" t="s">
        <v>2953</v>
      </c>
      <c r="C240" s="1474" t="s">
        <v>2954</v>
      </c>
      <c r="D240" s="1331"/>
      <c r="E240" s="1331"/>
      <c r="F240" s="1331"/>
      <c r="G240" s="1331"/>
      <c r="H240" s="1332"/>
      <c r="I240" s="1332"/>
      <c r="J240" s="1332"/>
      <c r="K240" s="1332"/>
      <c r="L240" s="1332"/>
      <c r="M240" s="1507"/>
      <c r="N240" s="1502"/>
      <c r="O240" s="1332"/>
      <c r="P240" s="1331"/>
      <c r="Q240" s="1331"/>
      <c r="R240" s="1331"/>
      <c r="S240" s="1331"/>
      <c r="T240" s="1331"/>
      <c r="U240" s="1331"/>
      <c r="V240" s="1331"/>
      <c r="W240" s="1334"/>
      <c r="X240" s="1509"/>
      <c r="Y240" s="1331"/>
      <c r="Z240" s="1331"/>
      <c r="AA240" s="1331"/>
      <c r="AB240" s="1331"/>
      <c r="AC240" s="1331"/>
      <c r="AD240" s="1331"/>
      <c r="AE240" s="1331"/>
      <c r="AF240" s="1331"/>
      <c r="AG240" s="1331"/>
      <c r="AH240" s="1334"/>
      <c r="AI240" s="1509">
        <v>-4445000</v>
      </c>
      <c r="AJ240" s="1331"/>
      <c r="AK240" s="1331"/>
      <c r="AL240" s="1331"/>
      <c r="AM240" s="1331"/>
      <c r="AN240" s="1331"/>
      <c r="AO240" s="1331"/>
      <c r="AP240" s="1331"/>
      <c r="AQ240" s="1331"/>
      <c r="AR240" s="1331"/>
      <c r="AS240" s="1331"/>
      <c r="AT240" s="1331"/>
      <c r="AU240" s="1334"/>
    </row>
    <row r="241" spans="1:47" ht="45.75" customHeight="1" x14ac:dyDescent="0.2">
      <c r="A241" s="1546" t="s">
        <v>2691</v>
      </c>
      <c r="B241" s="1490" t="s">
        <v>2970</v>
      </c>
      <c r="C241" s="1474" t="s">
        <v>2971</v>
      </c>
      <c r="D241" s="1331"/>
      <c r="E241" s="1331"/>
      <c r="F241" s="1331"/>
      <c r="G241" s="1331"/>
      <c r="H241" s="1332"/>
      <c r="I241" s="1332"/>
      <c r="J241" s="1332"/>
      <c r="K241" s="1332"/>
      <c r="L241" s="1332"/>
      <c r="M241" s="1507"/>
      <c r="N241" s="1502"/>
      <c r="O241" s="1332"/>
      <c r="P241" s="1331"/>
      <c r="Q241" s="1331"/>
      <c r="R241" s="1331"/>
      <c r="S241" s="1331"/>
      <c r="T241" s="1331"/>
      <c r="U241" s="1331"/>
      <c r="V241" s="1331"/>
      <c r="W241" s="1334"/>
      <c r="X241" s="1509"/>
      <c r="Y241" s="1331"/>
      <c r="Z241" s="1331"/>
      <c r="AA241" s="1331"/>
      <c r="AB241" s="1331"/>
      <c r="AC241" s="1331"/>
      <c r="AD241" s="1331"/>
      <c r="AE241" s="1331"/>
      <c r="AF241" s="1331"/>
      <c r="AG241" s="1331"/>
      <c r="AH241" s="1334"/>
      <c r="AI241" s="1509"/>
      <c r="AJ241" s="1331"/>
      <c r="AK241" s="1331"/>
      <c r="AL241" s="1331"/>
      <c r="AM241" s="1331"/>
      <c r="AN241" s="1331"/>
      <c r="AO241" s="1331"/>
      <c r="AP241" s="1331"/>
      <c r="AQ241" s="1331"/>
      <c r="AR241" s="1331">
        <v>-500000</v>
      </c>
      <c r="AS241" s="1331"/>
      <c r="AT241" s="1331"/>
      <c r="AU241" s="1334"/>
    </row>
    <row r="242" spans="1:47" ht="48" customHeight="1" x14ac:dyDescent="0.2">
      <c r="A242" s="1546" t="s">
        <v>2695</v>
      </c>
      <c r="B242" s="1490" t="s">
        <v>2974</v>
      </c>
      <c r="C242" s="1474" t="s">
        <v>2975</v>
      </c>
      <c r="D242" s="1331"/>
      <c r="E242" s="1331"/>
      <c r="F242" s="1331"/>
      <c r="G242" s="1331"/>
      <c r="H242" s="1332"/>
      <c r="I242" s="1332"/>
      <c r="J242" s="1332"/>
      <c r="K242" s="1332"/>
      <c r="L242" s="1332"/>
      <c r="M242" s="1507"/>
      <c r="N242" s="1502"/>
      <c r="O242" s="1332"/>
      <c r="P242" s="1331"/>
      <c r="Q242" s="1331"/>
      <c r="R242" s="1331"/>
      <c r="S242" s="1331"/>
      <c r="T242" s="1331"/>
      <c r="U242" s="1331"/>
      <c r="V242" s="1331"/>
      <c r="W242" s="1334"/>
      <c r="X242" s="1509"/>
      <c r="Y242" s="1331"/>
      <c r="Z242" s="1331"/>
      <c r="AA242" s="1331"/>
      <c r="AB242" s="1331"/>
      <c r="AC242" s="1331"/>
      <c r="AD242" s="1331"/>
      <c r="AE242" s="1331"/>
      <c r="AF242" s="1331"/>
      <c r="AG242" s="1331"/>
      <c r="AH242" s="1334"/>
      <c r="AI242" s="1509"/>
      <c r="AJ242" s="1331"/>
      <c r="AK242" s="1331"/>
      <c r="AL242" s="1331"/>
      <c r="AM242" s="1331"/>
      <c r="AN242" s="1331"/>
      <c r="AO242" s="1331"/>
      <c r="AP242" s="1331"/>
      <c r="AQ242" s="1331"/>
      <c r="AR242" s="1331">
        <v>30000000</v>
      </c>
      <c r="AS242" s="1331"/>
      <c r="AT242" s="1331"/>
      <c r="AU242" s="1334"/>
    </row>
    <row r="243" spans="1:47" ht="43.5" customHeight="1" x14ac:dyDescent="0.2">
      <c r="A243" s="1546" t="s">
        <v>2701</v>
      </c>
      <c r="B243" s="1490" t="s">
        <v>2982</v>
      </c>
      <c r="C243" s="1474" t="s">
        <v>2983</v>
      </c>
      <c r="D243" s="1331"/>
      <c r="E243" s="1331"/>
      <c r="F243" s="1331"/>
      <c r="G243" s="1331"/>
      <c r="H243" s="1332"/>
      <c r="I243" s="1332"/>
      <c r="J243" s="1332"/>
      <c r="K243" s="1332"/>
      <c r="L243" s="1332"/>
      <c r="M243" s="1507"/>
      <c r="N243" s="1502"/>
      <c r="O243" s="1332"/>
      <c r="P243" s="1331"/>
      <c r="Q243" s="1331"/>
      <c r="R243" s="1331"/>
      <c r="S243" s="1331"/>
      <c r="T243" s="1331"/>
      <c r="U243" s="1331"/>
      <c r="V243" s="1331"/>
      <c r="W243" s="1334"/>
      <c r="X243" s="1509"/>
      <c r="Y243" s="1331"/>
      <c r="Z243" s="1331"/>
      <c r="AA243" s="1331"/>
      <c r="AB243" s="1331"/>
      <c r="AC243" s="1331"/>
      <c r="AD243" s="1331"/>
      <c r="AE243" s="1331"/>
      <c r="AF243" s="1331"/>
      <c r="AG243" s="1331"/>
      <c r="AH243" s="1334"/>
      <c r="AI243" s="1509"/>
      <c r="AJ243" s="1331"/>
      <c r="AK243" s="1331"/>
      <c r="AL243" s="1331"/>
      <c r="AM243" s="1331"/>
      <c r="AN243" s="1331"/>
      <c r="AO243" s="1331"/>
      <c r="AP243" s="1331"/>
      <c r="AQ243" s="1331"/>
      <c r="AR243" s="1331">
        <v>-10160000</v>
      </c>
      <c r="AS243" s="1331"/>
      <c r="AT243" s="1331"/>
      <c r="AU243" s="1334"/>
    </row>
    <row r="244" spans="1:47" ht="43.5" customHeight="1" x14ac:dyDescent="0.2">
      <c r="A244" s="1546" t="s">
        <v>2703</v>
      </c>
      <c r="B244" s="1490" t="s">
        <v>2984</v>
      </c>
      <c r="C244" s="1474" t="s">
        <v>2985</v>
      </c>
      <c r="D244" s="1331"/>
      <c r="E244" s="1331"/>
      <c r="F244" s="1331"/>
      <c r="G244" s="1331"/>
      <c r="H244" s="1332"/>
      <c r="I244" s="1332"/>
      <c r="J244" s="1332"/>
      <c r="K244" s="1332"/>
      <c r="L244" s="1332"/>
      <c r="M244" s="1507"/>
      <c r="N244" s="1502"/>
      <c r="O244" s="1332"/>
      <c r="P244" s="1331"/>
      <c r="Q244" s="1331"/>
      <c r="R244" s="1331"/>
      <c r="S244" s="1331"/>
      <c r="T244" s="1331"/>
      <c r="U244" s="1331"/>
      <c r="V244" s="1331"/>
      <c r="W244" s="1334"/>
      <c r="X244" s="1509"/>
      <c r="Y244" s="1331"/>
      <c r="Z244" s="1331"/>
      <c r="AA244" s="1331"/>
      <c r="AB244" s="1331"/>
      <c r="AC244" s="1331"/>
      <c r="AD244" s="1331"/>
      <c r="AE244" s="1331"/>
      <c r="AF244" s="1331"/>
      <c r="AG244" s="1331"/>
      <c r="AH244" s="1334"/>
      <c r="AI244" s="1509">
        <v>-1150000</v>
      </c>
      <c r="AJ244" s="1331"/>
      <c r="AK244" s="1331"/>
      <c r="AL244" s="1331"/>
      <c r="AM244" s="1331"/>
      <c r="AN244" s="1331"/>
      <c r="AO244" s="1331"/>
      <c r="AP244" s="1331"/>
      <c r="AQ244" s="1331"/>
      <c r="AR244" s="1331"/>
      <c r="AS244" s="1331"/>
      <c r="AT244" s="1331"/>
      <c r="AU244" s="1334"/>
    </row>
    <row r="245" spans="1:47" ht="47.25" customHeight="1" x14ac:dyDescent="0.2">
      <c r="A245" s="1546" t="s">
        <v>2711</v>
      </c>
      <c r="B245" s="1490" t="s">
        <v>2997</v>
      </c>
      <c r="C245" s="1474" t="s">
        <v>2998</v>
      </c>
      <c r="D245" s="1331"/>
      <c r="E245" s="1331"/>
      <c r="F245" s="1331"/>
      <c r="G245" s="1331"/>
      <c r="H245" s="1332"/>
      <c r="I245" s="1332"/>
      <c r="J245" s="1332"/>
      <c r="K245" s="1332"/>
      <c r="L245" s="1332"/>
      <c r="M245" s="1507"/>
      <c r="N245" s="1502"/>
      <c r="O245" s="1332"/>
      <c r="P245" s="1331"/>
      <c r="Q245" s="1331"/>
      <c r="R245" s="1331"/>
      <c r="S245" s="1331"/>
      <c r="T245" s="1331"/>
      <c r="U245" s="1331"/>
      <c r="V245" s="1331"/>
      <c r="W245" s="1334"/>
      <c r="X245" s="1509"/>
      <c r="Y245" s="1331"/>
      <c r="Z245" s="1331"/>
      <c r="AA245" s="1331"/>
      <c r="AB245" s="1331"/>
      <c r="AC245" s="1331"/>
      <c r="AD245" s="1331"/>
      <c r="AE245" s="1331"/>
      <c r="AF245" s="1331"/>
      <c r="AG245" s="1331"/>
      <c r="AH245" s="1334"/>
      <c r="AI245" s="1509">
        <v>-6639395</v>
      </c>
      <c r="AJ245" s="1331"/>
      <c r="AK245" s="1331"/>
      <c r="AL245" s="1331"/>
      <c r="AM245" s="1331"/>
      <c r="AN245" s="1331"/>
      <c r="AO245" s="1331"/>
      <c r="AP245" s="1331"/>
      <c r="AQ245" s="1331"/>
      <c r="AR245" s="1331"/>
      <c r="AS245" s="1331"/>
      <c r="AT245" s="1331"/>
      <c r="AU245" s="1334"/>
    </row>
    <row r="246" spans="1:47" ht="48.75" customHeight="1" x14ac:dyDescent="0.2">
      <c r="A246" s="1546" t="s">
        <v>2713</v>
      </c>
      <c r="B246" s="1490" t="s">
        <v>3000</v>
      </c>
      <c r="C246" s="1474" t="s">
        <v>3001</v>
      </c>
      <c r="D246" s="1331"/>
      <c r="E246" s="1331"/>
      <c r="F246" s="1331"/>
      <c r="G246" s="1331"/>
      <c r="H246" s="1332"/>
      <c r="I246" s="1332"/>
      <c r="J246" s="1332"/>
      <c r="K246" s="1332"/>
      <c r="L246" s="1332"/>
      <c r="M246" s="1507"/>
      <c r="N246" s="1502"/>
      <c r="O246" s="1332"/>
      <c r="P246" s="1331"/>
      <c r="Q246" s="1331"/>
      <c r="R246" s="1331"/>
      <c r="S246" s="1331"/>
      <c r="T246" s="1331"/>
      <c r="U246" s="1331"/>
      <c r="V246" s="1331"/>
      <c r="W246" s="1334">
        <v>2549064</v>
      </c>
      <c r="X246" s="1509"/>
      <c r="Y246" s="1331"/>
      <c r="Z246" s="1331"/>
      <c r="AA246" s="1331"/>
      <c r="AB246" s="1331"/>
      <c r="AC246" s="1331"/>
      <c r="AD246" s="1331"/>
      <c r="AE246" s="1331"/>
      <c r="AF246" s="1331"/>
      <c r="AG246" s="1331"/>
      <c r="AH246" s="1334"/>
      <c r="AI246" s="1509"/>
      <c r="AJ246" s="1331"/>
      <c r="AK246" s="1331"/>
      <c r="AL246" s="1331"/>
      <c r="AM246" s="1331"/>
      <c r="AN246" s="1331"/>
      <c r="AO246" s="1331"/>
      <c r="AP246" s="1331"/>
      <c r="AQ246" s="1331"/>
      <c r="AR246" s="1331"/>
      <c r="AS246" s="1331"/>
      <c r="AT246" s="1331"/>
      <c r="AU246" s="1334"/>
    </row>
    <row r="247" spans="1:47" ht="48.75" customHeight="1" x14ac:dyDescent="0.2">
      <c r="A247" s="1546" t="s">
        <v>2718</v>
      </c>
      <c r="B247" s="1490" t="s">
        <v>3002</v>
      </c>
      <c r="C247" s="1474" t="s">
        <v>3004</v>
      </c>
      <c r="D247" s="1331"/>
      <c r="E247" s="1331"/>
      <c r="F247" s="1331"/>
      <c r="G247" s="1331"/>
      <c r="H247" s="1332"/>
      <c r="I247" s="1332"/>
      <c r="J247" s="1332"/>
      <c r="K247" s="1332"/>
      <c r="L247" s="1332"/>
      <c r="M247" s="1507"/>
      <c r="N247" s="1502"/>
      <c r="O247" s="1332"/>
      <c r="P247" s="1331"/>
      <c r="Q247" s="1331"/>
      <c r="R247" s="1331"/>
      <c r="S247" s="1331"/>
      <c r="T247" s="1331"/>
      <c r="U247" s="1331"/>
      <c r="V247" s="1331"/>
      <c r="W247" s="1334"/>
      <c r="X247" s="1509"/>
      <c r="Y247" s="1331"/>
      <c r="Z247" s="1331"/>
      <c r="AA247" s="1331"/>
      <c r="AB247" s="1331"/>
      <c r="AC247" s="1331"/>
      <c r="AD247" s="1331"/>
      <c r="AE247" s="1331"/>
      <c r="AF247" s="1331"/>
      <c r="AG247" s="1331"/>
      <c r="AH247" s="1334"/>
      <c r="AI247" s="1509"/>
      <c r="AJ247" s="1331"/>
      <c r="AK247" s="1331"/>
      <c r="AL247" s="1331"/>
      <c r="AM247" s="1331">
        <v>1330512270</v>
      </c>
      <c r="AN247" s="1331"/>
      <c r="AO247" s="1331"/>
      <c r="AP247" s="1331"/>
      <c r="AQ247" s="1331">
        <v>220034305</v>
      </c>
      <c r="AR247" s="1331"/>
      <c r="AS247" s="1331"/>
      <c r="AT247" s="1331"/>
      <c r="AU247" s="1334"/>
    </row>
    <row r="248" spans="1:47" ht="55.5" customHeight="1" x14ac:dyDescent="0.2">
      <c r="A248" s="1546" t="s">
        <v>2724</v>
      </c>
      <c r="B248" s="1490" t="s">
        <v>3013</v>
      </c>
      <c r="C248" s="1474" t="s">
        <v>3015</v>
      </c>
      <c r="D248" s="1331"/>
      <c r="E248" s="1331"/>
      <c r="F248" s="1331"/>
      <c r="G248" s="1331"/>
      <c r="H248" s="1332"/>
      <c r="I248" s="1332"/>
      <c r="J248" s="1332"/>
      <c r="K248" s="1332"/>
      <c r="L248" s="1332"/>
      <c r="M248" s="1507"/>
      <c r="N248" s="1502"/>
      <c r="O248" s="1332"/>
      <c r="P248" s="1331">
        <v>-1943100</v>
      </c>
      <c r="Q248" s="1331"/>
      <c r="R248" s="1331"/>
      <c r="S248" s="1331"/>
      <c r="T248" s="1331"/>
      <c r="U248" s="1331"/>
      <c r="V248" s="1331"/>
      <c r="W248" s="1334"/>
      <c r="X248" s="1509"/>
      <c r="Y248" s="1331"/>
      <c r="Z248" s="1331"/>
      <c r="AA248" s="1331"/>
      <c r="AB248" s="1331"/>
      <c r="AC248" s="1331"/>
      <c r="AD248" s="1331"/>
      <c r="AE248" s="1331"/>
      <c r="AF248" s="1331"/>
      <c r="AG248" s="1331"/>
      <c r="AH248" s="1334"/>
      <c r="AI248" s="1509"/>
      <c r="AJ248" s="1331"/>
      <c r="AK248" s="1331"/>
      <c r="AL248" s="1331"/>
      <c r="AM248" s="1331"/>
      <c r="AN248" s="1331"/>
      <c r="AO248" s="1331"/>
      <c r="AP248" s="1331"/>
      <c r="AQ248" s="1331"/>
      <c r="AR248" s="1331"/>
      <c r="AS248" s="1331"/>
      <c r="AT248" s="1331"/>
      <c r="AU248" s="1334"/>
    </row>
    <row r="249" spans="1:47" ht="48.75" customHeight="1" x14ac:dyDescent="0.2">
      <c r="A249" s="1546" t="s">
        <v>2727</v>
      </c>
      <c r="B249" s="1490" t="s">
        <v>3016</v>
      </c>
      <c r="C249" s="1474" t="s">
        <v>3017</v>
      </c>
      <c r="D249" s="1331"/>
      <c r="E249" s="1331"/>
      <c r="F249" s="1331"/>
      <c r="G249" s="1331"/>
      <c r="H249" s="1332"/>
      <c r="I249" s="1332"/>
      <c r="J249" s="1332"/>
      <c r="K249" s="1332"/>
      <c r="L249" s="1332"/>
      <c r="M249" s="1507"/>
      <c r="N249" s="1502"/>
      <c r="O249" s="1332"/>
      <c r="P249" s="1331"/>
      <c r="Q249" s="1331"/>
      <c r="R249" s="1331"/>
      <c r="S249" s="1331"/>
      <c r="T249" s="1331"/>
      <c r="U249" s="1331"/>
      <c r="V249" s="1331"/>
      <c r="W249" s="1334"/>
      <c r="X249" s="1509"/>
      <c r="Y249" s="1331"/>
      <c r="Z249" s="1331"/>
      <c r="AA249" s="1331"/>
      <c r="AB249" s="1331"/>
      <c r="AC249" s="1331"/>
      <c r="AD249" s="1331"/>
      <c r="AE249" s="1331"/>
      <c r="AF249" s="1331"/>
      <c r="AG249" s="1331"/>
      <c r="AH249" s="1334"/>
      <c r="AI249" s="1509"/>
      <c r="AJ249" s="1331"/>
      <c r="AK249" s="1331"/>
      <c r="AL249" s="1331"/>
      <c r="AM249" s="1331"/>
      <c r="AN249" s="1331"/>
      <c r="AO249" s="1331"/>
      <c r="AP249" s="1331"/>
      <c r="AQ249" s="1331"/>
      <c r="AR249" s="1331">
        <v>-1727200</v>
      </c>
      <c r="AS249" s="1331"/>
      <c r="AT249" s="1331"/>
      <c r="AU249" s="1334"/>
    </row>
    <row r="250" spans="1:47" ht="44.25" customHeight="1" x14ac:dyDescent="0.2">
      <c r="A250" s="1546" t="s">
        <v>2729</v>
      </c>
      <c r="B250" s="1490" t="s">
        <v>3019</v>
      </c>
      <c r="C250" s="1474" t="s">
        <v>3020</v>
      </c>
      <c r="D250" s="1331">
        <v>-58230</v>
      </c>
      <c r="E250" s="1331"/>
      <c r="F250" s="1331"/>
      <c r="G250" s="1331"/>
      <c r="H250" s="1332"/>
      <c r="I250" s="1332"/>
      <c r="J250" s="1332"/>
      <c r="K250" s="1332"/>
      <c r="L250" s="1332"/>
      <c r="M250" s="1507"/>
      <c r="N250" s="1502"/>
      <c r="O250" s="1332"/>
      <c r="P250" s="1331"/>
      <c r="Q250" s="1331"/>
      <c r="R250" s="1331"/>
      <c r="S250" s="1331"/>
      <c r="T250" s="1331"/>
      <c r="U250" s="1331"/>
      <c r="V250" s="1331"/>
      <c r="W250" s="1334"/>
      <c r="X250" s="1509"/>
      <c r="Y250" s="1331"/>
      <c r="Z250" s="1331"/>
      <c r="AA250" s="1331"/>
      <c r="AB250" s="1331"/>
      <c r="AC250" s="1331"/>
      <c r="AD250" s="1331"/>
      <c r="AE250" s="1331"/>
      <c r="AF250" s="1331"/>
      <c r="AG250" s="1331"/>
      <c r="AH250" s="1334"/>
      <c r="AI250" s="1509"/>
      <c r="AJ250" s="1331"/>
      <c r="AK250" s="1331"/>
      <c r="AL250" s="1331"/>
      <c r="AM250" s="1331"/>
      <c r="AN250" s="1331"/>
      <c r="AO250" s="1331"/>
      <c r="AP250" s="1331"/>
      <c r="AQ250" s="1331"/>
      <c r="AR250" s="1331"/>
      <c r="AS250" s="1331"/>
      <c r="AT250" s="1331"/>
      <c r="AU250" s="1334"/>
    </row>
    <row r="251" spans="1:47" ht="44.25" customHeight="1" x14ac:dyDescent="0.2">
      <c r="A251" s="1546" t="s">
        <v>2733</v>
      </c>
      <c r="B251" s="1490" t="s">
        <v>3021</v>
      </c>
      <c r="C251" s="1474" t="s">
        <v>3022</v>
      </c>
      <c r="D251" s="1331"/>
      <c r="E251" s="1331"/>
      <c r="F251" s="1331"/>
      <c r="G251" s="1331"/>
      <c r="H251" s="1332"/>
      <c r="I251" s="1332"/>
      <c r="J251" s="1332"/>
      <c r="K251" s="1332"/>
      <c r="L251" s="1332"/>
      <c r="M251" s="1507"/>
      <c r="N251" s="1502"/>
      <c r="O251" s="1332"/>
      <c r="P251" s="1331"/>
      <c r="Q251" s="1331"/>
      <c r="R251" s="1331"/>
      <c r="S251" s="1331"/>
      <c r="T251" s="1331"/>
      <c r="U251" s="1331"/>
      <c r="V251" s="1331"/>
      <c r="W251" s="1334"/>
      <c r="X251" s="1509"/>
      <c r="Y251" s="1331"/>
      <c r="Z251" s="1331"/>
      <c r="AA251" s="1331"/>
      <c r="AB251" s="1331"/>
      <c r="AC251" s="1331"/>
      <c r="AD251" s="1331"/>
      <c r="AE251" s="1331"/>
      <c r="AF251" s="1331"/>
      <c r="AG251" s="1331"/>
      <c r="AH251" s="1334"/>
      <c r="AI251" s="1509"/>
      <c r="AJ251" s="1331"/>
      <c r="AK251" s="1331"/>
      <c r="AL251" s="1331"/>
      <c r="AM251" s="1331"/>
      <c r="AN251" s="1331"/>
      <c r="AO251" s="1331"/>
      <c r="AP251" s="1331"/>
      <c r="AQ251" s="1331"/>
      <c r="AR251" s="1331">
        <v>-1742440</v>
      </c>
      <c r="AS251" s="1331"/>
      <c r="AT251" s="1331"/>
      <c r="AU251" s="1334"/>
    </row>
    <row r="252" spans="1:47" ht="45.75" customHeight="1" x14ac:dyDescent="0.2">
      <c r="A252" s="1546" t="s">
        <v>2735</v>
      </c>
      <c r="B252" s="1490" t="s">
        <v>3023</v>
      </c>
      <c r="C252" s="1474" t="s">
        <v>3024</v>
      </c>
      <c r="D252" s="1331"/>
      <c r="E252" s="1331"/>
      <c r="F252" s="1331"/>
      <c r="G252" s="1331"/>
      <c r="H252" s="1332"/>
      <c r="I252" s="1332"/>
      <c r="J252" s="1332"/>
      <c r="K252" s="1332"/>
      <c r="L252" s="1332"/>
      <c r="M252" s="1507"/>
      <c r="N252" s="1502"/>
      <c r="O252" s="1332"/>
      <c r="P252" s="1331"/>
      <c r="Q252" s="1331"/>
      <c r="R252" s="1331"/>
      <c r="S252" s="1331"/>
      <c r="T252" s="1331"/>
      <c r="U252" s="1331"/>
      <c r="V252" s="1331"/>
      <c r="W252" s="1334"/>
      <c r="X252" s="1509"/>
      <c r="Y252" s="1331"/>
      <c r="Z252" s="1331"/>
      <c r="AA252" s="1331"/>
      <c r="AB252" s="1331"/>
      <c r="AC252" s="1331"/>
      <c r="AD252" s="1331"/>
      <c r="AE252" s="1331"/>
      <c r="AF252" s="1331"/>
      <c r="AG252" s="1331"/>
      <c r="AH252" s="1334"/>
      <c r="AI252" s="1509"/>
      <c r="AJ252" s="1331"/>
      <c r="AK252" s="1331"/>
      <c r="AL252" s="1331"/>
      <c r="AM252" s="1331"/>
      <c r="AN252" s="1331"/>
      <c r="AO252" s="1331"/>
      <c r="AP252" s="1331"/>
      <c r="AQ252" s="1331"/>
      <c r="AR252" s="1331">
        <v>-7514590</v>
      </c>
      <c r="AS252" s="1331"/>
      <c r="AT252" s="1331"/>
      <c r="AU252" s="1334"/>
    </row>
    <row r="253" spans="1:47" ht="45" customHeight="1" x14ac:dyDescent="0.2">
      <c r="A253" s="1546" t="s">
        <v>2739</v>
      </c>
      <c r="B253" s="1490" t="s">
        <v>3027</v>
      </c>
      <c r="C253" s="1474" t="s">
        <v>3028</v>
      </c>
      <c r="D253" s="1331"/>
      <c r="E253" s="1331"/>
      <c r="F253" s="1331"/>
      <c r="G253" s="1331"/>
      <c r="H253" s="1332"/>
      <c r="I253" s="1332"/>
      <c r="J253" s="1332"/>
      <c r="K253" s="1332"/>
      <c r="L253" s="1332"/>
      <c r="M253" s="1507"/>
      <c r="N253" s="1502"/>
      <c r="O253" s="1332"/>
      <c r="P253" s="1331"/>
      <c r="Q253" s="1331"/>
      <c r="R253" s="1331"/>
      <c r="S253" s="1331"/>
      <c r="T253" s="1331"/>
      <c r="U253" s="1331"/>
      <c r="V253" s="1331"/>
      <c r="W253" s="1334"/>
      <c r="X253" s="1509"/>
      <c r="Y253" s="1331"/>
      <c r="Z253" s="1331"/>
      <c r="AA253" s="1331"/>
      <c r="AB253" s="1331"/>
      <c r="AC253" s="1331"/>
      <c r="AD253" s="1331"/>
      <c r="AE253" s="1331"/>
      <c r="AF253" s="1331"/>
      <c r="AG253" s="1331"/>
      <c r="AH253" s="1334"/>
      <c r="AI253" s="1509"/>
      <c r="AJ253" s="1331"/>
      <c r="AK253" s="1331"/>
      <c r="AL253" s="1331"/>
      <c r="AM253" s="1331"/>
      <c r="AN253" s="1331"/>
      <c r="AO253" s="1331"/>
      <c r="AP253" s="1331"/>
      <c r="AQ253" s="1331"/>
      <c r="AR253" s="1331"/>
      <c r="AS253" s="1331"/>
      <c r="AT253" s="1331"/>
      <c r="AU253" s="1334">
        <v>-250000</v>
      </c>
    </row>
    <row r="254" spans="1:47" ht="45" customHeight="1" x14ac:dyDescent="0.2">
      <c r="A254" s="1546" t="s">
        <v>2765</v>
      </c>
      <c r="B254" s="1490" t="s">
        <v>3056</v>
      </c>
      <c r="C254" s="1474" t="s">
        <v>3057</v>
      </c>
      <c r="D254" s="1331"/>
      <c r="E254" s="1331"/>
      <c r="F254" s="1331"/>
      <c r="G254" s="1331"/>
      <c r="H254" s="1332"/>
      <c r="I254" s="1332"/>
      <c r="J254" s="1332"/>
      <c r="K254" s="1332"/>
      <c r="L254" s="1332"/>
      <c r="M254" s="1507"/>
      <c r="N254" s="1502"/>
      <c r="O254" s="1332"/>
      <c r="P254" s="1331">
        <v>-627888</v>
      </c>
      <c r="Q254" s="1331"/>
      <c r="R254" s="1331"/>
      <c r="S254" s="1331"/>
      <c r="T254" s="1331"/>
      <c r="U254" s="1331"/>
      <c r="V254" s="1331"/>
      <c r="W254" s="1334"/>
      <c r="X254" s="1509"/>
      <c r="Y254" s="1331"/>
      <c r="Z254" s="1331"/>
      <c r="AA254" s="1331"/>
      <c r="AB254" s="1331"/>
      <c r="AC254" s="1331"/>
      <c r="AD254" s="1331"/>
      <c r="AE254" s="1331"/>
      <c r="AF254" s="1331"/>
      <c r="AG254" s="1331"/>
      <c r="AH254" s="1334"/>
      <c r="AI254" s="1509"/>
      <c r="AJ254" s="1331"/>
      <c r="AK254" s="1331"/>
      <c r="AL254" s="1331"/>
      <c r="AM254" s="1331"/>
      <c r="AN254" s="1331"/>
      <c r="AO254" s="1331"/>
      <c r="AP254" s="1331"/>
      <c r="AQ254" s="1331"/>
      <c r="AR254" s="1331"/>
      <c r="AS254" s="1331"/>
      <c r="AT254" s="1331"/>
      <c r="AU254" s="1334"/>
    </row>
    <row r="255" spans="1:47" ht="55.5" customHeight="1" x14ac:dyDescent="0.2">
      <c r="A255" s="1546" t="s">
        <v>2767</v>
      </c>
      <c r="B255" s="1490" t="s">
        <v>3059</v>
      </c>
      <c r="C255" s="1474" t="s">
        <v>3060</v>
      </c>
      <c r="D255" s="1331"/>
      <c r="E255" s="1331"/>
      <c r="F255" s="1331"/>
      <c r="G255" s="1331"/>
      <c r="H255" s="1332"/>
      <c r="I255" s="1332"/>
      <c r="J255" s="1332"/>
      <c r="K255" s="1332"/>
      <c r="L255" s="1332"/>
      <c r="M255" s="1507"/>
      <c r="N255" s="1502"/>
      <c r="O255" s="1332"/>
      <c r="P255" s="1331"/>
      <c r="Q255" s="1331"/>
      <c r="R255" s="1331"/>
      <c r="S255" s="1331"/>
      <c r="T255" s="1331"/>
      <c r="U255" s="1331"/>
      <c r="V255" s="1331"/>
      <c r="W255" s="1334"/>
      <c r="X255" s="1509"/>
      <c r="Y255" s="1331"/>
      <c r="Z255" s="1331"/>
      <c r="AA255" s="1331"/>
      <c r="AB255" s="1331"/>
      <c r="AC255" s="1331"/>
      <c r="AD255" s="1331"/>
      <c r="AE255" s="1331"/>
      <c r="AF255" s="1331"/>
      <c r="AG255" s="1331"/>
      <c r="AH255" s="1334"/>
      <c r="AI255" s="1509"/>
      <c r="AJ255" s="1331"/>
      <c r="AK255" s="1331"/>
      <c r="AL255" s="1331"/>
      <c r="AM255" s="1331"/>
      <c r="AN255" s="1331"/>
      <c r="AO255" s="1331"/>
      <c r="AP255" s="1331"/>
      <c r="AQ255" s="1331"/>
      <c r="AR255" s="1331">
        <v>-6286500</v>
      </c>
      <c r="AS255" s="1331"/>
      <c r="AT255" s="1331"/>
      <c r="AU255" s="1334"/>
    </row>
    <row r="256" spans="1:47" ht="55.5" customHeight="1" x14ac:dyDescent="0.2">
      <c r="A256" s="1546" t="s">
        <v>2769</v>
      </c>
      <c r="B256" s="1490" t="s">
        <v>3062</v>
      </c>
      <c r="C256" s="1474" t="s">
        <v>3063</v>
      </c>
      <c r="D256" s="1331"/>
      <c r="E256" s="1331"/>
      <c r="F256" s="1331"/>
      <c r="G256" s="1331"/>
      <c r="H256" s="1332"/>
      <c r="I256" s="1332"/>
      <c r="J256" s="1332"/>
      <c r="K256" s="1332"/>
      <c r="L256" s="1332"/>
      <c r="M256" s="1507"/>
      <c r="N256" s="1502"/>
      <c r="O256" s="1332"/>
      <c r="P256" s="1331">
        <v>-340741</v>
      </c>
      <c r="Q256" s="1331"/>
      <c r="R256" s="1331"/>
      <c r="S256" s="1331"/>
      <c r="T256" s="1331"/>
      <c r="U256" s="1331"/>
      <c r="V256" s="1331"/>
      <c r="W256" s="1334"/>
      <c r="X256" s="1509"/>
      <c r="Y256" s="1331"/>
      <c r="Z256" s="1331"/>
      <c r="AA256" s="1331"/>
      <c r="AB256" s="1331"/>
      <c r="AC256" s="1331"/>
      <c r="AD256" s="1331"/>
      <c r="AE256" s="1331"/>
      <c r="AF256" s="1331"/>
      <c r="AG256" s="1331"/>
      <c r="AH256" s="1334"/>
      <c r="AI256" s="1509"/>
      <c r="AJ256" s="1331"/>
      <c r="AK256" s="1331"/>
      <c r="AL256" s="1331"/>
      <c r="AM256" s="1331"/>
      <c r="AN256" s="1331"/>
      <c r="AO256" s="1331"/>
      <c r="AP256" s="1331"/>
      <c r="AQ256" s="1331"/>
      <c r="AR256" s="1331"/>
      <c r="AS256" s="1331"/>
      <c r="AT256" s="1331"/>
      <c r="AU256" s="1334"/>
    </row>
    <row r="257" spans="1:47" ht="46.5" customHeight="1" x14ac:dyDescent="0.2">
      <c r="A257" s="1546" t="s">
        <v>2778</v>
      </c>
      <c r="B257" s="1490" t="s">
        <v>3065</v>
      </c>
      <c r="C257" s="1474" t="s">
        <v>3066</v>
      </c>
      <c r="D257" s="1331"/>
      <c r="E257" s="1331"/>
      <c r="F257" s="1331"/>
      <c r="G257" s="1331"/>
      <c r="H257" s="1332"/>
      <c r="I257" s="1332"/>
      <c r="J257" s="1332"/>
      <c r="K257" s="1332"/>
      <c r="L257" s="1332"/>
      <c r="M257" s="1507"/>
      <c r="N257" s="1502"/>
      <c r="O257" s="1332"/>
      <c r="P257" s="1331"/>
      <c r="Q257" s="1331"/>
      <c r="R257" s="1331"/>
      <c r="S257" s="1331"/>
      <c r="T257" s="1331"/>
      <c r="U257" s="1331"/>
      <c r="V257" s="1331"/>
      <c r="W257" s="1334"/>
      <c r="X257" s="1509"/>
      <c r="Y257" s="1331"/>
      <c r="Z257" s="1331"/>
      <c r="AA257" s="1331"/>
      <c r="AB257" s="1331"/>
      <c r="AC257" s="1331"/>
      <c r="AD257" s="1331"/>
      <c r="AE257" s="1331"/>
      <c r="AF257" s="1331"/>
      <c r="AG257" s="1331"/>
      <c r="AH257" s="1334"/>
      <c r="AI257" s="1509"/>
      <c r="AJ257" s="1331"/>
      <c r="AK257" s="1331"/>
      <c r="AL257" s="1331"/>
      <c r="AM257" s="1331"/>
      <c r="AN257" s="1331"/>
      <c r="AO257" s="1331"/>
      <c r="AP257" s="1331"/>
      <c r="AQ257" s="1331"/>
      <c r="AR257" s="1331">
        <v>-1370100</v>
      </c>
      <c r="AS257" s="1331"/>
      <c r="AT257" s="1331"/>
      <c r="AU257" s="1334"/>
    </row>
    <row r="258" spans="1:47" ht="39" customHeight="1" x14ac:dyDescent="0.2">
      <c r="A258" s="1546" t="s">
        <v>3067</v>
      </c>
      <c r="B258" s="1490" t="s">
        <v>3068</v>
      </c>
      <c r="C258" s="1474" t="s">
        <v>3069</v>
      </c>
      <c r="D258" s="1331"/>
      <c r="E258" s="1331"/>
      <c r="F258" s="1331"/>
      <c r="G258" s="1331"/>
      <c r="H258" s="1332"/>
      <c r="I258" s="1332"/>
      <c r="J258" s="1332"/>
      <c r="K258" s="1332"/>
      <c r="L258" s="1332"/>
      <c r="M258" s="1507"/>
      <c r="N258" s="1502"/>
      <c r="O258" s="1332"/>
      <c r="P258" s="1331"/>
      <c r="Q258" s="1331"/>
      <c r="R258" s="1331"/>
      <c r="S258" s="1331"/>
      <c r="T258" s="1331"/>
      <c r="U258" s="1331"/>
      <c r="V258" s="1331"/>
      <c r="W258" s="1334"/>
      <c r="X258" s="1509"/>
      <c r="Y258" s="1331"/>
      <c r="Z258" s="1331"/>
      <c r="AA258" s="1331"/>
      <c r="AB258" s="1331"/>
      <c r="AC258" s="1331"/>
      <c r="AD258" s="1331"/>
      <c r="AE258" s="1331"/>
      <c r="AF258" s="1331"/>
      <c r="AG258" s="1331"/>
      <c r="AH258" s="1334"/>
      <c r="AI258" s="1509">
        <v>-10000000</v>
      </c>
      <c r="AJ258" s="1331"/>
      <c r="AK258" s="1331"/>
      <c r="AL258" s="1331"/>
      <c r="AM258" s="1331"/>
      <c r="AN258" s="1331"/>
      <c r="AO258" s="1331"/>
      <c r="AP258" s="1331"/>
      <c r="AQ258" s="1331"/>
      <c r="AR258" s="1331"/>
      <c r="AS258" s="1331"/>
      <c r="AT258" s="1331"/>
      <c r="AU258" s="1334"/>
    </row>
    <row r="259" spans="1:47" ht="39" customHeight="1" x14ac:dyDescent="0.2">
      <c r="A259" s="1546" t="s">
        <v>3070</v>
      </c>
      <c r="B259" s="1490" t="s">
        <v>3071</v>
      </c>
      <c r="C259" s="1474" t="s">
        <v>3072</v>
      </c>
      <c r="D259" s="1331"/>
      <c r="E259" s="1331"/>
      <c r="F259" s="1331"/>
      <c r="G259" s="1331"/>
      <c r="H259" s="1332"/>
      <c r="I259" s="1332"/>
      <c r="J259" s="1332"/>
      <c r="K259" s="1332"/>
      <c r="L259" s="1332"/>
      <c r="M259" s="1507"/>
      <c r="N259" s="1502"/>
      <c r="O259" s="1332"/>
      <c r="P259" s="1331"/>
      <c r="Q259" s="1331"/>
      <c r="R259" s="1331"/>
      <c r="S259" s="1331"/>
      <c r="T259" s="1331"/>
      <c r="U259" s="1331"/>
      <c r="V259" s="1331"/>
      <c r="W259" s="1334"/>
      <c r="X259" s="1509"/>
      <c r="Y259" s="1331"/>
      <c r="Z259" s="1331"/>
      <c r="AA259" s="1331"/>
      <c r="AB259" s="1331"/>
      <c r="AC259" s="1331"/>
      <c r="AD259" s="1331"/>
      <c r="AE259" s="1331"/>
      <c r="AF259" s="1331"/>
      <c r="AG259" s="1331"/>
      <c r="AH259" s="1334"/>
      <c r="AI259" s="1509">
        <v>-10000000</v>
      </c>
      <c r="AJ259" s="1331"/>
      <c r="AK259" s="1331"/>
      <c r="AL259" s="1331"/>
      <c r="AM259" s="1331"/>
      <c r="AN259" s="1331"/>
      <c r="AO259" s="1331"/>
      <c r="AP259" s="1331"/>
      <c r="AQ259" s="1331"/>
      <c r="AR259" s="1331"/>
      <c r="AS259" s="1331"/>
      <c r="AT259" s="1331"/>
      <c r="AU259" s="1334"/>
    </row>
    <row r="260" spans="1:47" ht="42" customHeight="1" x14ac:dyDescent="0.2">
      <c r="A260" s="1546" t="s">
        <v>2785</v>
      </c>
      <c r="B260" s="1490" t="s">
        <v>3073</v>
      </c>
      <c r="C260" s="1474" t="s">
        <v>3074</v>
      </c>
      <c r="D260" s="1331"/>
      <c r="E260" s="1331"/>
      <c r="F260" s="1331"/>
      <c r="G260" s="1331"/>
      <c r="H260" s="1332"/>
      <c r="I260" s="1332"/>
      <c r="J260" s="1332"/>
      <c r="K260" s="1332"/>
      <c r="L260" s="1332"/>
      <c r="M260" s="1507"/>
      <c r="N260" s="1502"/>
      <c r="O260" s="1332"/>
      <c r="P260" s="1331"/>
      <c r="Q260" s="1331"/>
      <c r="R260" s="1331"/>
      <c r="S260" s="1331"/>
      <c r="T260" s="1331"/>
      <c r="U260" s="1331"/>
      <c r="V260" s="1331"/>
      <c r="W260" s="1334"/>
      <c r="X260" s="1509"/>
      <c r="Y260" s="1331"/>
      <c r="Z260" s="1331"/>
      <c r="AA260" s="1331"/>
      <c r="AB260" s="1331"/>
      <c r="AC260" s="1331"/>
      <c r="AD260" s="1331"/>
      <c r="AE260" s="1331"/>
      <c r="AF260" s="1331"/>
      <c r="AG260" s="1331"/>
      <c r="AH260" s="1334"/>
      <c r="AI260" s="1509">
        <v>-2000000</v>
      </c>
      <c r="AJ260" s="1331"/>
      <c r="AK260" s="1331"/>
      <c r="AL260" s="1331"/>
      <c r="AM260" s="1331"/>
      <c r="AN260" s="1331"/>
      <c r="AO260" s="1331"/>
      <c r="AP260" s="1331"/>
      <c r="AQ260" s="1331"/>
      <c r="AR260" s="1331"/>
      <c r="AS260" s="1331"/>
      <c r="AT260" s="1331"/>
      <c r="AU260" s="1334"/>
    </row>
    <row r="261" spans="1:47" ht="56.25" customHeight="1" x14ac:dyDescent="0.2">
      <c r="A261" s="1546" t="s">
        <v>2787</v>
      </c>
      <c r="B261" s="1490" t="s">
        <v>3081</v>
      </c>
      <c r="C261" s="1474" t="s">
        <v>3082</v>
      </c>
      <c r="D261" s="1331"/>
      <c r="E261" s="1331"/>
      <c r="F261" s="1331"/>
      <c r="G261" s="1331"/>
      <c r="H261" s="1332"/>
      <c r="I261" s="1332"/>
      <c r="J261" s="1332"/>
      <c r="K261" s="1332"/>
      <c r="L261" s="1332"/>
      <c r="M261" s="1507"/>
      <c r="N261" s="1502"/>
      <c r="O261" s="1332"/>
      <c r="P261" s="1331"/>
      <c r="Q261" s="1331"/>
      <c r="R261" s="1331"/>
      <c r="S261" s="1331"/>
      <c r="T261" s="1331"/>
      <c r="U261" s="1331"/>
      <c r="V261" s="1331"/>
      <c r="W261" s="1334"/>
      <c r="X261" s="1509"/>
      <c r="Y261" s="1331"/>
      <c r="Z261" s="1331"/>
      <c r="AA261" s="1331"/>
      <c r="AB261" s="1331"/>
      <c r="AC261" s="1331"/>
      <c r="AD261" s="1331"/>
      <c r="AE261" s="1331"/>
      <c r="AF261" s="1331"/>
      <c r="AG261" s="1331"/>
      <c r="AH261" s="1334"/>
      <c r="AI261" s="1509"/>
      <c r="AJ261" s="1331"/>
      <c r="AK261" s="1331"/>
      <c r="AL261" s="1331"/>
      <c r="AM261" s="1331"/>
      <c r="AN261" s="1331"/>
      <c r="AO261" s="1331"/>
      <c r="AP261" s="1331"/>
      <c r="AQ261" s="1331"/>
      <c r="AR261" s="1331">
        <v>-1555750</v>
      </c>
      <c r="AS261" s="1331"/>
      <c r="AT261" s="1331"/>
      <c r="AU261" s="1334"/>
    </row>
    <row r="262" spans="1:47" ht="42" customHeight="1" x14ac:dyDescent="0.2">
      <c r="A262" s="1546" t="s">
        <v>2790</v>
      </c>
      <c r="B262" s="1490" t="s">
        <v>3084</v>
      </c>
      <c r="C262" s="1474" t="s">
        <v>3085</v>
      </c>
      <c r="D262" s="1331"/>
      <c r="E262" s="1331"/>
      <c r="F262" s="1331"/>
      <c r="G262" s="1331"/>
      <c r="H262" s="1332"/>
      <c r="I262" s="1332"/>
      <c r="J262" s="1332"/>
      <c r="K262" s="1332"/>
      <c r="L262" s="1332"/>
      <c r="M262" s="1507"/>
      <c r="N262" s="1502"/>
      <c r="O262" s="1332"/>
      <c r="P262" s="1331"/>
      <c r="Q262" s="1331"/>
      <c r="R262" s="1331"/>
      <c r="S262" s="1331"/>
      <c r="T262" s="1331"/>
      <c r="U262" s="1331"/>
      <c r="V262" s="1331"/>
      <c r="W262" s="1334"/>
      <c r="X262" s="1509"/>
      <c r="Y262" s="1331"/>
      <c r="Z262" s="1331"/>
      <c r="AA262" s="1331"/>
      <c r="AB262" s="1331"/>
      <c r="AC262" s="1331"/>
      <c r="AD262" s="1331"/>
      <c r="AE262" s="1331"/>
      <c r="AF262" s="1331"/>
      <c r="AG262" s="1331"/>
      <c r="AH262" s="1334"/>
      <c r="AI262" s="1509"/>
      <c r="AJ262" s="1331"/>
      <c r="AK262" s="1331"/>
      <c r="AL262" s="1331"/>
      <c r="AM262" s="1331"/>
      <c r="AN262" s="1331"/>
      <c r="AO262" s="1331"/>
      <c r="AP262" s="1331"/>
      <c r="AQ262" s="1331"/>
      <c r="AR262" s="1331">
        <v>-12885420</v>
      </c>
      <c r="AS262" s="1331"/>
      <c r="AT262" s="1331"/>
      <c r="AU262" s="1334"/>
    </row>
    <row r="263" spans="1:47" ht="42" customHeight="1" x14ac:dyDescent="0.2">
      <c r="A263" s="1546" t="s">
        <v>2796</v>
      </c>
      <c r="B263" s="1490" t="s">
        <v>3092</v>
      </c>
      <c r="C263" s="1474" t="s">
        <v>3093</v>
      </c>
      <c r="D263" s="1331"/>
      <c r="E263" s="1331"/>
      <c r="F263" s="1331"/>
      <c r="G263" s="1331"/>
      <c r="H263" s="1332"/>
      <c r="I263" s="1332"/>
      <c r="J263" s="1332"/>
      <c r="K263" s="1332"/>
      <c r="L263" s="1332"/>
      <c r="M263" s="1507"/>
      <c r="N263" s="1502"/>
      <c r="O263" s="1332"/>
      <c r="P263" s="1331"/>
      <c r="Q263" s="1331"/>
      <c r="R263" s="1331"/>
      <c r="S263" s="1331"/>
      <c r="T263" s="1331"/>
      <c r="U263" s="1331"/>
      <c r="V263" s="1331"/>
      <c r="W263" s="1334"/>
      <c r="X263" s="1509"/>
      <c r="Y263" s="1331"/>
      <c r="Z263" s="1331"/>
      <c r="AA263" s="1331"/>
      <c r="AB263" s="1331"/>
      <c r="AC263" s="1331"/>
      <c r="AD263" s="1331"/>
      <c r="AE263" s="1331"/>
      <c r="AF263" s="1331"/>
      <c r="AG263" s="1331"/>
      <c r="AH263" s="1334"/>
      <c r="AI263" s="1509"/>
      <c r="AJ263" s="1331"/>
      <c r="AK263" s="1331"/>
      <c r="AL263" s="1331"/>
      <c r="AM263" s="1331"/>
      <c r="AN263" s="1331"/>
      <c r="AO263" s="1331"/>
      <c r="AP263" s="1331"/>
      <c r="AQ263" s="1331"/>
      <c r="AR263" s="1331">
        <v>-12062800</v>
      </c>
      <c r="AS263" s="1331"/>
      <c r="AT263" s="1331"/>
      <c r="AU263" s="1334"/>
    </row>
    <row r="264" spans="1:47" ht="42" customHeight="1" x14ac:dyDescent="0.2">
      <c r="A264" s="1546" t="s">
        <v>2798</v>
      </c>
      <c r="B264" s="1490" t="s">
        <v>3095</v>
      </c>
      <c r="C264" s="1474" t="s">
        <v>3096</v>
      </c>
      <c r="D264" s="1331"/>
      <c r="E264" s="1331"/>
      <c r="F264" s="1331"/>
      <c r="G264" s="1331"/>
      <c r="H264" s="1332"/>
      <c r="I264" s="1332"/>
      <c r="J264" s="1332"/>
      <c r="K264" s="1332"/>
      <c r="L264" s="1332"/>
      <c r="M264" s="1507"/>
      <c r="N264" s="1502"/>
      <c r="O264" s="1332"/>
      <c r="P264" s="1331"/>
      <c r="Q264" s="1331"/>
      <c r="R264" s="1331"/>
      <c r="S264" s="1331"/>
      <c r="T264" s="1331"/>
      <c r="U264" s="1331"/>
      <c r="V264" s="1331"/>
      <c r="W264" s="1334"/>
      <c r="X264" s="1509"/>
      <c r="Y264" s="1331"/>
      <c r="Z264" s="1331"/>
      <c r="AA264" s="1331"/>
      <c r="AB264" s="1331"/>
      <c r="AC264" s="1331"/>
      <c r="AD264" s="1331"/>
      <c r="AE264" s="1331"/>
      <c r="AF264" s="1331"/>
      <c r="AG264" s="1331"/>
      <c r="AH264" s="1334"/>
      <c r="AI264" s="1509"/>
      <c r="AJ264" s="1331"/>
      <c r="AK264" s="1331"/>
      <c r="AL264" s="1331"/>
      <c r="AM264" s="1331"/>
      <c r="AN264" s="1331"/>
      <c r="AO264" s="1331"/>
      <c r="AP264" s="1331"/>
      <c r="AQ264" s="1331"/>
      <c r="AR264" s="1331"/>
      <c r="AS264" s="1331"/>
      <c r="AT264" s="1331">
        <v>-150000</v>
      </c>
      <c r="AU264" s="1334"/>
    </row>
    <row r="265" spans="1:47" ht="53.25" customHeight="1" x14ac:dyDescent="0.2">
      <c r="A265" s="1546" t="s">
        <v>2802</v>
      </c>
      <c r="B265" s="1490" t="s">
        <v>3100</v>
      </c>
      <c r="C265" s="1474" t="s">
        <v>3160</v>
      </c>
      <c r="D265" s="1331"/>
      <c r="E265" s="1331"/>
      <c r="F265" s="1331"/>
      <c r="G265" s="1331"/>
      <c r="H265" s="1332"/>
      <c r="I265" s="1332"/>
      <c r="J265" s="1332"/>
      <c r="K265" s="1332"/>
      <c r="L265" s="1332"/>
      <c r="M265" s="1507"/>
      <c r="N265" s="1502"/>
      <c r="O265" s="1332"/>
      <c r="P265" s="1331"/>
      <c r="Q265" s="1331"/>
      <c r="R265" s="1331"/>
      <c r="S265" s="1331"/>
      <c r="T265" s="1331"/>
      <c r="U265" s="1331"/>
      <c r="V265" s="1331"/>
      <c r="W265" s="1334"/>
      <c r="X265" s="1509"/>
      <c r="Y265" s="1331"/>
      <c r="Z265" s="1331"/>
      <c r="AA265" s="1331"/>
      <c r="AB265" s="1331"/>
      <c r="AC265" s="1331"/>
      <c r="AD265" s="1331"/>
      <c r="AE265" s="1331"/>
      <c r="AF265" s="1331"/>
      <c r="AG265" s="1331"/>
      <c r="AH265" s="1334"/>
      <c r="AI265" s="1509"/>
      <c r="AJ265" s="1331"/>
      <c r="AK265" s="1331"/>
      <c r="AL265" s="1331"/>
      <c r="AM265" s="1331"/>
      <c r="AN265" s="1331"/>
      <c r="AO265" s="1331"/>
      <c r="AP265" s="1331"/>
      <c r="AQ265" s="1331"/>
      <c r="AR265" s="1331">
        <v>-13000000</v>
      </c>
      <c r="AS265" s="1331"/>
      <c r="AT265" s="1331"/>
      <c r="AU265" s="1334"/>
    </row>
    <row r="266" spans="1:47" ht="37.5" customHeight="1" x14ac:dyDescent="0.2">
      <c r="A266" s="1546" t="s">
        <v>2806</v>
      </c>
      <c r="B266" s="1490" t="s">
        <v>3102</v>
      </c>
      <c r="C266" s="1474" t="s">
        <v>3103</v>
      </c>
      <c r="D266" s="1331"/>
      <c r="E266" s="1331"/>
      <c r="F266" s="1331"/>
      <c r="G266" s="1331"/>
      <c r="H266" s="1332"/>
      <c r="I266" s="1332"/>
      <c r="J266" s="1332"/>
      <c r="K266" s="1332"/>
      <c r="L266" s="1332"/>
      <c r="M266" s="1507"/>
      <c r="N266" s="1502"/>
      <c r="O266" s="1332"/>
      <c r="P266" s="1331"/>
      <c r="Q266" s="1331"/>
      <c r="R266" s="1331"/>
      <c r="S266" s="1331"/>
      <c r="T266" s="1331"/>
      <c r="U266" s="1331"/>
      <c r="V266" s="1331"/>
      <c r="W266" s="1334"/>
      <c r="X266" s="1509"/>
      <c r="Y266" s="1331"/>
      <c r="Z266" s="1331"/>
      <c r="AA266" s="1331"/>
      <c r="AB266" s="1331"/>
      <c r="AC266" s="1331"/>
      <c r="AD266" s="1331"/>
      <c r="AE266" s="1331"/>
      <c r="AF266" s="1331"/>
      <c r="AG266" s="1331"/>
      <c r="AH266" s="1334"/>
      <c r="AI266" s="1509"/>
      <c r="AJ266" s="1331"/>
      <c r="AK266" s="1331"/>
      <c r="AL266" s="1331"/>
      <c r="AM266" s="1331"/>
      <c r="AN266" s="1331"/>
      <c r="AO266" s="1331"/>
      <c r="AP266" s="1331">
        <v>419341</v>
      </c>
      <c r="AQ266" s="1331"/>
      <c r="AR266" s="1331"/>
      <c r="AS266" s="1331"/>
      <c r="AT266" s="1331"/>
      <c r="AU266" s="1334"/>
    </row>
    <row r="267" spans="1:47" ht="55.5" customHeight="1" x14ac:dyDescent="0.2">
      <c r="A267" s="1546" t="s">
        <v>2810</v>
      </c>
      <c r="B267" s="1490" t="s">
        <v>3111</v>
      </c>
      <c r="C267" s="1474" t="s">
        <v>3112</v>
      </c>
      <c r="D267" s="1331"/>
      <c r="E267" s="1331"/>
      <c r="F267" s="1331"/>
      <c r="G267" s="1331"/>
      <c r="H267" s="1332"/>
      <c r="I267" s="1332"/>
      <c r="J267" s="1332"/>
      <c r="K267" s="1332"/>
      <c r="L267" s="1332"/>
      <c r="M267" s="1507"/>
      <c r="N267" s="1502"/>
      <c r="O267" s="1332"/>
      <c r="P267" s="1331"/>
      <c r="Q267" s="1331"/>
      <c r="R267" s="1331"/>
      <c r="S267" s="1331"/>
      <c r="T267" s="1331"/>
      <c r="U267" s="1331"/>
      <c r="V267" s="1331"/>
      <c r="W267" s="1334"/>
      <c r="X267" s="1509"/>
      <c r="Y267" s="1331"/>
      <c r="Z267" s="1331"/>
      <c r="AA267" s="1331"/>
      <c r="AB267" s="1331"/>
      <c r="AC267" s="1331"/>
      <c r="AD267" s="1331"/>
      <c r="AE267" s="1331"/>
      <c r="AF267" s="1331"/>
      <c r="AG267" s="1331"/>
      <c r="AH267" s="1334"/>
      <c r="AI267" s="1509"/>
      <c r="AJ267" s="1331"/>
      <c r="AK267" s="1331"/>
      <c r="AL267" s="1331"/>
      <c r="AM267" s="1331"/>
      <c r="AN267" s="1331"/>
      <c r="AO267" s="1331"/>
      <c r="AP267" s="1331"/>
      <c r="AQ267" s="1331"/>
      <c r="AR267" s="1331">
        <v>-1143000</v>
      </c>
      <c r="AS267" s="1331"/>
      <c r="AT267" s="1331"/>
      <c r="AU267" s="1334"/>
    </row>
    <row r="268" spans="1:47" ht="55.5" customHeight="1" x14ac:dyDescent="0.2">
      <c r="A268" s="1546" t="s">
        <v>2812</v>
      </c>
      <c r="B268" s="1490" t="s">
        <v>3113</v>
      </c>
      <c r="C268" s="1474" t="s">
        <v>3114</v>
      </c>
      <c r="D268" s="1331"/>
      <c r="E268" s="1331"/>
      <c r="F268" s="1331"/>
      <c r="G268" s="1331"/>
      <c r="H268" s="1332"/>
      <c r="I268" s="1332"/>
      <c r="J268" s="1332"/>
      <c r="K268" s="1332"/>
      <c r="L268" s="1332"/>
      <c r="M268" s="1507"/>
      <c r="N268" s="1502"/>
      <c r="O268" s="1332"/>
      <c r="P268" s="1331">
        <v>-442595</v>
      </c>
      <c r="Q268" s="1331"/>
      <c r="R268" s="1331"/>
      <c r="S268" s="1331"/>
      <c r="T268" s="1331"/>
      <c r="U268" s="1331"/>
      <c r="V268" s="1331"/>
      <c r="W268" s="1334"/>
      <c r="X268" s="1509"/>
      <c r="Y268" s="1331"/>
      <c r="Z268" s="1331"/>
      <c r="AA268" s="1331"/>
      <c r="AB268" s="1331"/>
      <c r="AC268" s="1331"/>
      <c r="AD268" s="1331"/>
      <c r="AE268" s="1331"/>
      <c r="AF268" s="1331"/>
      <c r="AG268" s="1331"/>
      <c r="AH268" s="1334"/>
      <c r="AI268" s="1509"/>
      <c r="AJ268" s="1331"/>
      <c r="AK268" s="1331"/>
      <c r="AL268" s="1331"/>
      <c r="AM268" s="1331"/>
      <c r="AN268" s="1331"/>
      <c r="AO268" s="1331"/>
      <c r="AP268" s="1331"/>
      <c r="AQ268" s="1331"/>
      <c r="AR268" s="1331"/>
      <c r="AS268" s="1331"/>
      <c r="AT268" s="1331"/>
      <c r="AU268" s="1334"/>
    </row>
    <row r="269" spans="1:47" ht="47.25" customHeight="1" x14ac:dyDescent="0.2">
      <c r="A269" s="1546" t="s">
        <v>2821</v>
      </c>
      <c r="B269" s="1490" t="s">
        <v>3127</v>
      </c>
      <c r="C269" s="1474" t="s">
        <v>3128</v>
      </c>
      <c r="D269" s="1331"/>
      <c r="E269" s="1331"/>
      <c r="F269" s="1331"/>
      <c r="G269" s="1331"/>
      <c r="H269" s="1332"/>
      <c r="I269" s="1332"/>
      <c r="J269" s="1332"/>
      <c r="K269" s="1332"/>
      <c r="L269" s="1332"/>
      <c r="M269" s="1507"/>
      <c r="N269" s="1502"/>
      <c r="O269" s="1332"/>
      <c r="P269" s="1331"/>
      <c r="Q269" s="1331"/>
      <c r="R269" s="1331"/>
      <c r="S269" s="1331"/>
      <c r="T269" s="1331"/>
      <c r="U269" s="1331"/>
      <c r="V269" s="1331"/>
      <c r="W269" s="1334"/>
      <c r="X269" s="1509"/>
      <c r="Y269" s="1331"/>
      <c r="Z269" s="1331"/>
      <c r="AA269" s="1331"/>
      <c r="AB269" s="1331"/>
      <c r="AC269" s="1331"/>
      <c r="AD269" s="1331"/>
      <c r="AE269" s="1331"/>
      <c r="AF269" s="1331"/>
      <c r="AG269" s="1331"/>
      <c r="AH269" s="1334"/>
      <c r="AI269" s="1509"/>
      <c r="AJ269" s="1331"/>
      <c r="AK269" s="1331"/>
      <c r="AL269" s="1331"/>
      <c r="AM269" s="1331"/>
      <c r="AN269" s="1331"/>
      <c r="AO269" s="1331"/>
      <c r="AP269" s="1331"/>
      <c r="AQ269" s="1331"/>
      <c r="AR269" s="1331">
        <v>-1016000</v>
      </c>
      <c r="AS269" s="1331"/>
      <c r="AT269" s="1331"/>
      <c r="AU269" s="1334"/>
    </row>
    <row r="270" spans="1:47" ht="47.25" customHeight="1" x14ac:dyDescent="0.2">
      <c r="A270" s="1546" t="s">
        <v>2835</v>
      </c>
      <c r="B270" s="1490" t="s">
        <v>3138</v>
      </c>
      <c r="C270" s="1474" t="s">
        <v>3139</v>
      </c>
      <c r="D270" s="1331"/>
      <c r="E270" s="1331"/>
      <c r="F270" s="1331"/>
      <c r="G270" s="1331"/>
      <c r="H270" s="1332"/>
      <c r="I270" s="1332"/>
      <c r="J270" s="1332"/>
      <c r="K270" s="1332"/>
      <c r="L270" s="1332"/>
      <c r="M270" s="1507"/>
      <c r="N270" s="1502"/>
      <c r="O270" s="1332"/>
      <c r="P270" s="1331"/>
      <c r="Q270" s="1331"/>
      <c r="R270" s="1331"/>
      <c r="S270" s="1331"/>
      <c r="T270" s="1331"/>
      <c r="U270" s="1331"/>
      <c r="V270" s="1331"/>
      <c r="W270" s="1334"/>
      <c r="X270" s="1509"/>
      <c r="Y270" s="1331"/>
      <c r="Z270" s="1331"/>
      <c r="AA270" s="1331"/>
      <c r="AB270" s="1331"/>
      <c r="AC270" s="1331"/>
      <c r="AD270" s="1331"/>
      <c r="AE270" s="1331"/>
      <c r="AF270" s="1331"/>
      <c r="AG270" s="1331"/>
      <c r="AH270" s="1334"/>
      <c r="AI270" s="1509"/>
      <c r="AJ270" s="1331"/>
      <c r="AK270" s="1331"/>
      <c r="AL270" s="1331"/>
      <c r="AM270" s="1331"/>
      <c r="AN270" s="1331"/>
      <c r="AO270" s="1331"/>
      <c r="AP270" s="1331">
        <v>46000000</v>
      </c>
      <c r="AQ270" s="1331">
        <v>89000000</v>
      </c>
      <c r="AR270" s="1331"/>
      <c r="AS270" s="1331"/>
      <c r="AT270" s="1331"/>
      <c r="AU270" s="1334"/>
    </row>
    <row r="271" spans="1:47" ht="47.25" customHeight="1" x14ac:dyDescent="0.2">
      <c r="A271" s="1546" t="s">
        <v>2840</v>
      </c>
      <c r="B271" s="1490" t="s">
        <v>3143</v>
      </c>
      <c r="C271" s="1474" t="s">
        <v>2975</v>
      </c>
      <c r="D271" s="1331"/>
      <c r="E271" s="1331"/>
      <c r="F271" s="1331"/>
      <c r="G271" s="1331"/>
      <c r="H271" s="1332"/>
      <c r="I271" s="1332"/>
      <c r="J271" s="1332"/>
      <c r="K271" s="1332"/>
      <c r="L271" s="1332"/>
      <c r="M271" s="1507"/>
      <c r="N271" s="1502"/>
      <c r="O271" s="1332"/>
      <c r="P271" s="1331"/>
      <c r="Q271" s="1331"/>
      <c r="R271" s="1331"/>
      <c r="S271" s="1331"/>
      <c r="T271" s="1331"/>
      <c r="U271" s="1331"/>
      <c r="V271" s="1331"/>
      <c r="W271" s="1334"/>
      <c r="X271" s="1509"/>
      <c r="Y271" s="1331"/>
      <c r="Z271" s="1331"/>
      <c r="AA271" s="1331"/>
      <c r="AB271" s="1331"/>
      <c r="AC271" s="1331"/>
      <c r="AD271" s="1331"/>
      <c r="AE271" s="1331"/>
      <c r="AF271" s="1331"/>
      <c r="AG271" s="1331"/>
      <c r="AH271" s="1334"/>
      <c r="AI271" s="1509"/>
      <c r="AJ271" s="1331"/>
      <c r="AK271" s="1331"/>
      <c r="AL271" s="1331"/>
      <c r="AM271" s="1331"/>
      <c r="AN271" s="1331"/>
      <c r="AO271" s="1331"/>
      <c r="AP271" s="1331"/>
      <c r="AQ271" s="1331"/>
      <c r="AR271" s="1331">
        <v>13820138</v>
      </c>
      <c r="AS271" s="1331"/>
      <c r="AT271" s="1331"/>
      <c r="AU271" s="1334"/>
    </row>
    <row r="272" spans="1:47" ht="35.25" customHeight="1" x14ac:dyDescent="0.2">
      <c r="A272" s="1546" t="s">
        <v>2842</v>
      </c>
      <c r="B272" s="1490" t="s">
        <v>3150</v>
      </c>
      <c r="C272" s="1474" t="s">
        <v>3151</v>
      </c>
      <c r="D272" s="1331"/>
      <c r="E272" s="1331"/>
      <c r="F272" s="1331"/>
      <c r="G272" s="1331"/>
      <c r="H272" s="1332"/>
      <c r="I272" s="1332"/>
      <c r="J272" s="1332"/>
      <c r="K272" s="1332"/>
      <c r="L272" s="1332"/>
      <c r="M272" s="1507"/>
      <c r="N272" s="1502"/>
      <c r="O272" s="1332"/>
      <c r="P272" s="1331"/>
      <c r="Q272" s="1331"/>
      <c r="R272" s="1331"/>
      <c r="S272" s="1331"/>
      <c r="T272" s="1331"/>
      <c r="U272" s="1331"/>
      <c r="V272" s="1331"/>
      <c r="W272" s="1334"/>
      <c r="X272" s="1509"/>
      <c r="Y272" s="1331"/>
      <c r="Z272" s="1331"/>
      <c r="AA272" s="1331"/>
      <c r="AB272" s="1331"/>
      <c r="AC272" s="1331"/>
      <c r="AD272" s="1331"/>
      <c r="AE272" s="1331"/>
      <c r="AF272" s="1331"/>
      <c r="AG272" s="1331"/>
      <c r="AH272" s="1334"/>
      <c r="AI272" s="1509"/>
      <c r="AJ272" s="1331"/>
      <c r="AK272" s="1331"/>
      <c r="AL272" s="1331"/>
      <c r="AM272" s="1331"/>
      <c r="AN272" s="1331"/>
      <c r="AO272" s="1331"/>
      <c r="AP272" s="1331">
        <v>35000</v>
      </c>
      <c r="AQ272" s="1331"/>
      <c r="AR272" s="1331"/>
      <c r="AS272" s="1331"/>
      <c r="AT272" s="1331"/>
      <c r="AU272" s="1334"/>
    </row>
    <row r="273" spans="1:47" ht="47.25" customHeight="1" x14ac:dyDescent="0.2">
      <c r="A273" s="1546" t="s">
        <v>2843</v>
      </c>
      <c r="B273" s="1490" t="s">
        <v>3152</v>
      </c>
      <c r="C273" s="1474" t="s">
        <v>3153</v>
      </c>
      <c r="D273" s="1331"/>
      <c r="E273" s="1331"/>
      <c r="F273" s="1331"/>
      <c r="G273" s="1331"/>
      <c r="H273" s="1332"/>
      <c r="I273" s="1332"/>
      <c r="J273" s="1332"/>
      <c r="K273" s="1332"/>
      <c r="L273" s="1332"/>
      <c r="M273" s="1507"/>
      <c r="N273" s="1502"/>
      <c r="O273" s="1332"/>
      <c r="P273" s="1331"/>
      <c r="Q273" s="1331"/>
      <c r="R273" s="1331"/>
      <c r="S273" s="1331"/>
      <c r="T273" s="1331"/>
      <c r="U273" s="1331"/>
      <c r="V273" s="1331"/>
      <c r="W273" s="1334"/>
      <c r="X273" s="1509"/>
      <c r="Y273" s="1331"/>
      <c r="Z273" s="1331"/>
      <c r="AA273" s="1331"/>
      <c r="AB273" s="1331"/>
      <c r="AC273" s="1331"/>
      <c r="AD273" s="1331"/>
      <c r="AE273" s="1331"/>
      <c r="AF273" s="1331"/>
      <c r="AG273" s="1331"/>
      <c r="AH273" s="1334"/>
      <c r="AI273" s="1509">
        <v>-1270000</v>
      </c>
      <c r="AJ273" s="1331"/>
      <c r="AK273" s="1331"/>
      <c r="AL273" s="1331"/>
      <c r="AM273" s="1331"/>
      <c r="AN273" s="1331"/>
      <c r="AO273" s="1331"/>
      <c r="AP273" s="1331"/>
      <c r="AQ273" s="1331"/>
      <c r="AR273" s="1331"/>
      <c r="AS273" s="1331"/>
      <c r="AT273" s="1331"/>
      <c r="AU273" s="1334"/>
    </row>
    <row r="274" spans="1:47" ht="47.25" customHeight="1" x14ac:dyDescent="0.2">
      <c r="A274" s="1546" t="s">
        <v>2845</v>
      </c>
      <c r="B274" s="1490" t="s">
        <v>3154</v>
      </c>
      <c r="C274" s="1474" t="s">
        <v>3155</v>
      </c>
      <c r="D274" s="1331"/>
      <c r="E274" s="1331"/>
      <c r="F274" s="1331"/>
      <c r="G274" s="1331"/>
      <c r="H274" s="1332"/>
      <c r="I274" s="1332"/>
      <c r="J274" s="1332"/>
      <c r="K274" s="1332"/>
      <c r="L274" s="1332"/>
      <c r="M274" s="1507"/>
      <c r="N274" s="1502"/>
      <c r="O274" s="1332"/>
      <c r="P274" s="1331"/>
      <c r="Q274" s="1331"/>
      <c r="R274" s="1331"/>
      <c r="S274" s="1331"/>
      <c r="T274" s="1331"/>
      <c r="U274" s="1331"/>
      <c r="V274" s="1331"/>
      <c r="W274" s="1334"/>
      <c r="X274" s="1509"/>
      <c r="Y274" s="1331"/>
      <c r="Z274" s="1331"/>
      <c r="AA274" s="1331"/>
      <c r="AB274" s="1331"/>
      <c r="AC274" s="1331"/>
      <c r="AD274" s="1331"/>
      <c r="AE274" s="1331"/>
      <c r="AF274" s="1331"/>
      <c r="AG274" s="1331"/>
      <c r="AH274" s="1334"/>
      <c r="AI274" s="1509">
        <v>-1016000</v>
      </c>
      <c r="AJ274" s="1331"/>
      <c r="AK274" s="1331"/>
      <c r="AL274" s="1331"/>
      <c r="AM274" s="1331"/>
      <c r="AN274" s="1331"/>
      <c r="AO274" s="1331"/>
      <c r="AP274" s="1331"/>
      <c r="AQ274" s="1331"/>
      <c r="AR274" s="1331"/>
      <c r="AS274" s="1331"/>
      <c r="AT274" s="1331"/>
      <c r="AU274" s="1334"/>
    </row>
    <row r="275" spans="1:47" ht="66.75" customHeight="1" x14ac:dyDescent="0.2">
      <c r="A275" s="1546" t="s">
        <v>2848</v>
      </c>
      <c r="B275" s="1490" t="s">
        <v>3156</v>
      </c>
      <c r="C275" s="1474" t="s">
        <v>3161</v>
      </c>
      <c r="D275" s="1331"/>
      <c r="E275" s="1331"/>
      <c r="F275" s="1331"/>
      <c r="G275" s="1331"/>
      <c r="H275" s="1332"/>
      <c r="I275" s="1332"/>
      <c r="J275" s="1332"/>
      <c r="K275" s="1332"/>
      <c r="L275" s="1332"/>
      <c r="M275" s="1507"/>
      <c r="N275" s="1502"/>
      <c r="O275" s="1332">
        <v>-1524000</v>
      </c>
      <c r="P275" s="1331"/>
      <c r="Q275" s="1331"/>
      <c r="R275" s="1331"/>
      <c r="S275" s="1331"/>
      <c r="T275" s="1331"/>
      <c r="U275" s="1331"/>
      <c r="V275" s="1331"/>
      <c r="W275" s="1334"/>
      <c r="X275" s="1509"/>
      <c r="Y275" s="1331"/>
      <c r="Z275" s="1331"/>
      <c r="AA275" s="1331"/>
      <c r="AB275" s="1331"/>
      <c r="AC275" s="1331"/>
      <c r="AD275" s="1331"/>
      <c r="AE275" s="1331"/>
      <c r="AF275" s="1331"/>
      <c r="AG275" s="1331"/>
      <c r="AH275" s="1334"/>
      <c r="AI275" s="1509"/>
      <c r="AJ275" s="1331"/>
      <c r="AK275" s="1331"/>
      <c r="AL275" s="1331"/>
      <c r="AM275" s="1331"/>
      <c r="AN275" s="1331"/>
      <c r="AO275" s="1331"/>
      <c r="AP275" s="1331"/>
      <c r="AQ275" s="1331"/>
      <c r="AR275" s="1331"/>
      <c r="AS275" s="1331"/>
      <c r="AT275" s="1331"/>
      <c r="AU275" s="1334"/>
    </row>
    <row r="276" spans="1:47" ht="47.25" customHeight="1" x14ac:dyDescent="0.2">
      <c r="A276" s="1546" t="s">
        <v>2851</v>
      </c>
      <c r="B276" s="1490" t="s">
        <v>3158</v>
      </c>
      <c r="C276" s="1474" t="s">
        <v>3159</v>
      </c>
      <c r="D276" s="1331"/>
      <c r="E276" s="1331"/>
      <c r="F276" s="1331"/>
      <c r="G276" s="1331"/>
      <c r="H276" s="1332"/>
      <c r="I276" s="1332"/>
      <c r="J276" s="1332"/>
      <c r="K276" s="1332"/>
      <c r="L276" s="1332"/>
      <c r="M276" s="1507"/>
      <c r="N276" s="1502"/>
      <c r="O276" s="1332"/>
      <c r="P276" s="1331"/>
      <c r="Q276" s="1331"/>
      <c r="R276" s="1331"/>
      <c r="S276" s="1331"/>
      <c r="T276" s="1331"/>
      <c r="U276" s="1331"/>
      <c r="V276" s="1331"/>
      <c r="W276" s="1334">
        <v>2450535</v>
      </c>
      <c r="X276" s="1509"/>
      <c r="Y276" s="1331"/>
      <c r="Z276" s="1331"/>
      <c r="AA276" s="1331"/>
      <c r="AB276" s="1331"/>
      <c r="AC276" s="1331"/>
      <c r="AD276" s="1331"/>
      <c r="AE276" s="1331"/>
      <c r="AF276" s="1331"/>
      <c r="AG276" s="1331"/>
      <c r="AH276" s="1334"/>
      <c r="AI276" s="1509"/>
      <c r="AJ276" s="1331"/>
      <c r="AK276" s="1331"/>
      <c r="AL276" s="1331"/>
      <c r="AM276" s="1331"/>
      <c r="AN276" s="1331"/>
      <c r="AO276" s="1331"/>
      <c r="AP276" s="1331"/>
      <c r="AQ276" s="1331"/>
      <c r="AR276" s="1331"/>
      <c r="AS276" s="1331"/>
      <c r="AT276" s="1331"/>
      <c r="AU276" s="1334"/>
    </row>
    <row r="277" spans="1:47" ht="45.75" customHeight="1" x14ac:dyDescent="0.2">
      <c r="A277" s="1546" t="s">
        <v>2854</v>
      </c>
      <c r="B277" s="1490" t="s">
        <v>3165</v>
      </c>
      <c r="C277" s="1474" t="s">
        <v>3166</v>
      </c>
      <c r="D277" s="1331"/>
      <c r="E277" s="1331"/>
      <c r="F277" s="1331"/>
      <c r="G277" s="1331"/>
      <c r="H277" s="1332"/>
      <c r="I277" s="1332"/>
      <c r="J277" s="1332"/>
      <c r="K277" s="1332"/>
      <c r="L277" s="1332"/>
      <c r="M277" s="1507"/>
      <c r="N277" s="1502"/>
      <c r="O277" s="1332"/>
      <c r="P277" s="1331">
        <v>-76200</v>
      </c>
      <c r="Q277" s="1331"/>
      <c r="R277" s="1331"/>
      <c r="S277" s="1331"/>
      <c r="T277" s="1331"/>
      <c r="U277" s="1331"/>
      <c r="V277" s="1331"/>
      <c r="W277" s="1334"/>
      <c r="X277" s="1509"/>
      <c r="Y277" s="1331"/>
      <c r="Z277" s="1331"/>
      <c r="AA277" s="1331"/>
      <c r="AB277" s="1331"/>
      <c r="AC277" s="1331"/>
      <c r="AD277" s="1331"/>
      <c r="AE277" s="1331"/>
      <c r="AF277" s="1331"/>
      <c r="AG277" s="1331"/>
      <c r="AH277" s="1334"/>
      <c r="AI277" s="1509"/>
      <c r="AJ277" s="1331"/>
      <c r="AK277" s="1331"/>
      <c r="AL277" s="1331"/>
      <c r="AM277" s="1331"/>
      <c r="AN277" s="1331"/>
      <c r="AO277" s="1331"/>
      <c r="AP277" s="1331"/>
      <c r="AQ277" s="1331"/>
      <c r="AR277" s="1331"/>
      <c r="AS277" s="1331"/>
      <c r="AT277" s="1331"/>
      <c r="AU277" s="1334"/>
    </row>
    <row r="278" spans="1:47" ht="55.5" customHeight="1" x14ac:dyDescent="0.2">
      <c r="A278" s="1546" t="s">
        <v>2857</v>
      </c>
      <c r="B278" s="1490" t="s">
        <v>3167</v>
      </c>
      <c r="C278" s="1474" t="s">
        <v>3168</v>
      </c>
      <c r="D278" s="1331"/>
      <c r="E278" s="1331"/>
      <c r="F278" s="1331"/>
      <c r="G278" s="1331"/>
      <c r="H278" s="1332"/>
      <c r="I278" s="1332"/>
      <c r="J278" s="1332"/>
      <c r="K278" s="1332"/>
      <c r="L278" s="1332"/>
      <c r="M278" s="1507"/>
      <c r="N278" s="1502"/>
      <c r="O278" s="1332"/>
      <c r="P278" s="1331">
        <v>-1257300</v>
      </c>
      <c r="Q278" s="1331"/>
      <c r="R278" s="1331"/>
      <c r="S278" s="1331"/>
      <c r="T278" s="1331"/>
      <c r="U278" s="1331"/>
      <c r="V278" s="1331"/>
      <c r="W278" s="1334"/>
      <c r="X278" s="1509"/>
      <c r="Y278" s="1331"/>
      <c r="Z278" s="1331"/>
      <c r="AA278" s="1331"/>
      <c r="AB278" s="1331"/>
      <c r="AC278" s="1331"/>
      <c r="AD278" s="1331"/>
      <c r="AE278" s="1331"/>
      <c r="AF278" s="1331"/>
      <c r="AG278" s="1331"/>
      <c r="AH278" s="1334"/>
      <c r="AI278" s="1509"/>
      <c r="AJ278" s="1331"/>
      <c r="AK278" s="1331"/>
      <c r="AL278" s="1331"/>
      <c r="AM278" s="1331"/>
      <c r="AN278" s="1331"/>
      <c r="AO278" s="1331"/>
      <c r="AP278" s="1331"/>
      <c r="AQ278" s="1331"/>
      <c r="AR278" s="1331"/>
      <c r="AS278" s="1331"/>
      <c r="AT278" s="1331"/>
      <c r="AU278" s="1334"/>
    </row>
    <row r="279" spans="1:47" ht="55.5" customHeight="1" x14ac:dyDescent="0.2">
      <c r="A279" s="1546" t="s">
        <v>2858</v>
      </c>
      <c r="B279" s="1490" t="s">
        <v>3170</v>
      </c>
      <c r="C279" s="1474" t="s">
        <v>3171</v>
      </c>
      <c r="D279" s="1331"/>
      <c r="E279" s="1331"/>
      <c r="F279" s="1331"/>
      <c r="G279" s="1331"/>
      <c r="H279" s="1332"/>
      <c r="I279" s="1332"/>
      <c r="J279" s="1332"/>
      <c r="K279" s="1332"/>
      <c r="L279" s="1332"/>
      <c r="M279" s="1507"/>
      <c r="N279" s="1502"/>
      <c r="O279" s="1332"/>
      <c r="P279" s="1331"/>
      <c r="Q279" s="1331"/>
      <c r="R279" s="1331"/>
      <c r="S279" s="1331"/>
      <c r="T279" s="1331"/>
      <c r="U279" s="1331"/>
      <c r="V279" s="1331"/>
      <c r="W279" s="1334"/>
      <c r="X279" s="1509"/>
      <c r="Y279" s="1331"/>
      <c r="Z279" s="1331"/>
      <c r="AA279" s="1331"/>
      <c r="AB279" s="1331"/>
      <c r="AC279" s="1331"/>
      <c r="AD279" s="1331"/>
      <c r="AE279" s="1331"/>
      <c r="AF279" s="1331"/>
      <c r="AG279" s="1331"/>
      <c r="AH279" s="1334"/>
      <c r="AI279" s="1509"/>
      <c r="AJ279" s="1331"/>
      <c r="AK279" s="1331"/>
      <c r="AL279" s="1331"/>
      <c r="AM279" s="1331"/>
      <c r="AN279" s="1331"/>
      <c r="AO279" s="1331"/>
      <c r="AP279" s="1331"/>
      <c r="AQ279" s="1331"/>
      <c r="AR279" s="1331"/>
      <c r="AS279" s="1331"/>
      <c r="AT279" s="1331"/>
      <c r="AU279" s="1334">
        <v>-500000</v>
      </c>
    </row>
    <row r="280" spans="1:47" ht="38.25" customHeight="1" x14ac:dyDescent="0.2">
      <c r="A280" s="1546" t="s">
        <v>2859</v>
      </c>
      <c r="B280" s="1490" t="s">
        <v>3174</v>
      </c>
      <c r="C280" s="1474" t="s">
        <v>3175</v>
      </c>
      <c r="D280" s="1331"/>
      <c r="E280" s="1331"/>
      <c r="F280" s="1331"/>
      <c r="G280" s="1331"/>
      <c r="H280" s="1332"/>
      <c r="I280" s="1332"/>
      <c r="J280" s="1332"/>
      <c r="K280" s="1332"/>
      <c r="L280" s="1332"/>
      <c r="M280" s="1507"/>
      <c r="N280" s="1502"/>
      <c r="O280" s="1332"/>
      <c r="P280" s="1331"/>
      <c r="Q280" s="1331"/>
      <c r="R280" s="1331"/>
      <c r="S280" s="1331"/>
      <c r="T280" s="1331"/>
      <c r="U280" s="1331"/>
      <c r="V280" s="1331"/>
      <c r="W280" s="1334"/>
      <c r="X280" s="1509"/>
      <c r="Y280" s="1331"/>
      <c r="Z280" s="1331"/>
      <c r="AA280" s="1331"/>
      <c r="AB280" s="1331"/>
      <c r="AC280" s="1331"/>
      <c r="AD280" s="1331"/>
      <c r="AE280" s="1331"/>
      <c r="AF280" s="1331"/>
      <c r="AG280" s="1331"/>
      <c r="AH280" s="1334"/>
      <c r="AI280" s="1509">
        <v>-500000</v>
      </c>
      <c r="AJ280" s="1331"/>
      <c r="AK280" s="1331"/>
      <c r="AL280" s="1331"/>
      <c r="AM280" s="1331"/>
      <c r="AN280" s="1331"/>
      <c r="AO280" s="1331"/>
      <c r="AP280" s="1331"/>
      <c r="AQ280" s="1331"/>
      <c r="AR280" s="1331"/>
      <c r="AS280" s="1331"/>
      <c r="AT280" s="1331"/>
      <c r="AU280" s="1334"/>
    </row>
    <row r="281" spans="1:47" ht="47.25" customHeight="1" x14ac:dyDescent="0.2">
      <c r="A281" s="1546" t="s">
        <v>2861</v>
      </c>
      <c r="B281" s="1490" t="s">
        <v>3259</v>
      </c>
      <c r="C281" s="1474" t="s">
        <v>3176</v>
      </c>
      <c r="D281" s="1331"/>
      <c r="E281" s="1331"/>
      <c r="F281" s="1331"/>
      <c r="G281" s="1331"/>
      <c r="H281" s="1332"/>
      <c r="I281" s="1332"/>
      <c r="J281" s="1332"/>
      <c r="K281" s="1332"/>
      <c r="L281" s="1332"/>
      <c r="M281" s="1507"/>
      <c r="N281" s="1502"/>
      <c r="O281" s="1332"/>
      <c r="P281" s="1331"/>
      <c r="Q281" s="1331"/>
      <c r="R281" s="1331"/>
      <c r="S281" s="1331"/>
      <c r="T281" s="1331"/>
      <c r="U281" s="1331"/>
      <c r="V281" s="1331"/>
      <c r="W281" s="1334"/>
      <c r="X281" s="1509"/>
      <c r="Y281" s="1331"/>
      <c r="Z281" s="1331"/>
      <c r="AA281" s="1331"/>
      <c r="AB281" s="1331"/>
      <c r="AC281" s="1331"/>
      <c r="AD281" s="1331"/>
      <c r="AE281" s="1331"/>
      <c r="AF281" s="1331"/>
      <c r="AG281" s="1331"/>
      <c r="AH281" s="1334"/>
      <c r="AI281" s="1509"/>
      <c r="AJ281" s="1331"/>
      <c r="AK281" s="1331"/>
      <c r="AL281" s="1331"/>
      <c r="AM281" s="1331"/>
      <c r="AN281" s="1331"/>
      <c r="AO281" s="1331"/>
      <c r="AP281" s="1331"/>
      <c r="AQ281" s="1331"/>
      <c r="AR281" s="1331">
        <v>-12000000</v>
      </c>
      <c r="AS281" s="1331"/>
      <c r="AT281" s="1331"/>
      <c r="AU281" s="1334"/>
    </row>
    <row r="282" spans="1:47" ht="36.75" customHeight="1" x14ac:dyDescent="0.2">
      <c r="A282" s="1546" t="s">
        <v>2864</v>
      </c>
      <c r="B282" s="1490" t="s">
        <v>3177</v>
      </c>
      <c r="C282" s="1474" t="s">
        <v>3178</v>
      </c>
      <c r="D282" s="1331"/>
      <c r="E282" s="1331"/>
      <c r="F282" s="1331"/>
      <c r="G282" s="1331"/>
      <c r="H282" s="1332"/>
      <c r="I282" s="1332"/>
      <c r="J282" s="1332"/>
      <c r="K282" s="1332"/>
      <c r="L282" s="1332"/>
      <c r="M282" s="1507"/>
      <c r="N282" s="1502"/>
      <c r="O282" s="1332"/>
      <c r="P282" s="1331"/>
      <c r="Q282" s="1331"/>
      <c r="R282" s="1331"/>
      <c r="S282" s="1331"/>
      <c r="T282" s="1331"/>
      <c r="U282" s="1331"/>
      <c r="V282" s="1331"/>
      <c r="W282" s="1334"/>
      <c r="X282" s="1509"/>
      <c r="Y282" s="1331"/>
      <c r="Z282" s="1331"/>
      <c r="AA282" s="1331"/>
      <c r="AB282" s="1331"/>
      <c r="AC282" s="1331"/>
      <c r="AD282" s="1331">
        <v>-13154660</v>
      </c>
      <c r="AE282" s="1331"/>
      <c r="AF282" s="1331"/>
      <c r="AG282" s="1331"/>
      <c r="AH282" s="1334"/>
      <c r="AI282" s="1509"/>
      <c r="AJ282" s="1331"/>
      <c r="AK282" s="1331"/>
      <c r="AL282" s="1331"/>
      <c r="AM282" s="1331"/>
      <c r="AN282" s="1331"/>
      <c r="AO282" s="1331"/>
      <c r="AP282" s="1331"/>
      <c r="AQ282" s="1331"/>
      <c r="AR282" s="1331"/>
      <c r="AS282" s="1331"/>
      <c r="AT282" s="1331"/>
      <c r="AU282" s="1334"/>
    </row>
    <row r="283" spans="1:47" ht="44.25" customHeight="1" x14ac:dyDescent="0.2">
      <c r="A283" s="1546" t="s">
        <v>2868</v>
      </c>
      <c r="B283" s="1490" t="s">
        <v>3186</v>
      </c>
      <c r="C283" s="1474" t="s">
        <v>3187</v>
      </c>
      <c r="D283" s="1331"/>
      <c r="E283" s="1331"/>
      <c r="F283" s="1331"/>
      <c r="G283" s="1331"/>
      <c r="H283" s="1332"/>
      <c r="I283" s="1332"/>
      <c r="J283" s="1332"/>
      <c r="K283" s="1332"/>
      <c r="L283" s="1332"/>
      <c r="M283" s="1507"/>
      <c r="N283" s="1502"/>
      <c r="O283" s="1332"/>
      <c r="P283" s="1331"/>
      <c r="Q283" s="1331"/>
      <c r="R283" s="1331"/>
      <c r="S283" s="1331"/>
      <c r="T283" s="1331"/>
      <c r="U283" s="1331"/>
      <c r="V283" s="1331"/>
      <c r="W283" s="1334"/>
      <c r="X283" s="1509"/>
      <c r="Y283" s="1331"/>
      <c r="Z283" s="1331"/>
      <c r="AA283" s="1331"/>
      <c r="AB283" s="1331"/>
      <c r="AC283" s="1331"/>
      <c r="AD283" s="1331"/>
      <c r="AE283" s="1331"/>
      <c r="AF283" s="1331"/>
      <c r="AG283" s="1331"/>
      <c r="AH283" s="1334"/>
      <c r="AI283" s="1509"/>
      <c r="AJ283" s="1331"/>
      <c r="AK283" s="1331"/>
      <c r="AL283" s="1331"/>
      <c r="AM283" s="1331"/>
      <c r="AN283" s="1331"/>
      <c r="AO283" s="1331"/>
      <c r="AP283" s="1331"/>
      <c r="AQ283" s="1331"/>
      <c r="AR283" s="1331">
        <v>-8172450</v>
      </c>
      <c r="AS283" s="1331"/>
      <c r="AT283" s="1331"/>
      <c r="AU283" s="1334"/>
    </row>
    <row r="284" spans="1:47" ht="36.75" customHeight="1" x14ac:dyDescent="0.2">
      <c r="A284" s="1546" t="s">
        <v>2870</v>
      </c>
      <c r="B284" s="1490" t="s">
        <v>3190</v>
      </c>
      <c r="C284" s="1474" t="s">
        <v>3191</v>
      </c>
      <c r="D284" s="1331"/>
      <c r="E284" s="1331"/>
      <c r="F284" s="1331"/>
      <c r="G284" s="1331"/>
      <c r="H284" s="1332"/>
      <c r="I284" s="1332"/>
      <c r="J284" s="1332"/>
      <c r="K284" s="1332"/>
      <c r="L284" s="1332"/>
      <c r="M284" s="1507"/>
      <c r="N284" s="1502"/>
      <c r="O284" s="1332"/>
      <c r="P284" s="1331"/>
      <c r="Q284" s="1331"/>
      <c r="R284" s="1331"/>
      <c r="S284" s="1331"/>
      <c r="T284" s="1331"/>
      <c r="U284" s="1331"/>
      <c r="V284" s="1331"/>
      <c r="W284" s="1334"/>
      <c r="X284" s="1509"/>
      <c r="Y284" s="1331"/>
      <c r="Z284" s="1331"/>
      <c r="AA284" s="1331"/>
      <c r="AB284" s="1331"/>
      <c r="AC284" s="1331"/>
      <c r="AD284" s="1331"/>
      <c r="AE284" s="1331"/>
      <c r="AF284" s="1331"/>
      <c r="AG284" s="1331"/>
      <c r="AH284" s="1334"/>
      <c r="AI284" s="1509">
        <v>-1737487</v>
      </c>
      <c r="AJ284" s="1331"/>
      <c r="AK284" s="1331"/>
      <c r="AL284" s="1331"/>
      <c r="AM284" s="1331"/>
      <c r="AN284" s="1331"/>
      <c r="AO284" s="1331"/>
      <c r="AP284" s="1331"/>
      <c r="AQ284" s="1331"/>
      <c r="AR284" s="1331"/>
      <c r="AS284" s="1331"/>
      <c r="AT284" s="1331"/>
      <c r="AU284" s="1334"/>
    </row>
    <row r="285" spans="1:47" ht="95.25" customHeight="1" x14ac:dyDescent="0.2">
      <c r="A285" s="1546" t="s">
        <v>2873</v>
      </c>
      <c r="B285" s="1490" t="s">
        <v>3192</v>
      </c>
      <c r="C285" s="1474" t="s">
        <v>3193</v>
      </c>
      <c r="D285" s="1331"/>
      <c r="E285" s="1331"/>
      <c r="F285" s="1331"/>
      <c r="G285" s="1331"/>
      <c r="H285" s="1332"/>
      <c r="I285" s="1332"/>
      <c r="J285" s="1332"/>
      <c r="K285" s="1332"/>
      <c r="L285" s="1332"/>
      <c r="M285" s="1507"/>
      <c r="N285" s="1502"/>
      <c r="O285" s="1332"/>
      <c r="P285" s="1331"/>
      <c r="Q285" s="1331"/>
      <c r="R285" s="1331"/>
      <c r="S285" s="1331"/>
      <c r="T285" s="1331"/>
      <c r="U285" s="1331"/>
      <c r="V285" s="1331"/>
      <c r="W285" s="1334"/>
      <c r="X285" s="1509"/>
      <c r="Y285" s="1331"/>
      <c r="Z285" s="1331"/>
      <c r="AA285" s="1331"/>
      <c r="AB285" s="1331"/>
      <c r="AC285" s="1331"/>
      <c r="AD285" s="1331"/>
      <c r="AE285" s="1331"/>
      <c r="AF285" s="1331"/>
      <c r="AG285" s="1331">
        <v>-200000</v>
      </c>
      <c r="AH285" s="1334"/>
      <c r="AI285" s="1509"/>
      <c r="AJ285" s="1331"/>
      <c r="AK285" s="1331"/>
      <c r="AL285" s="1331"/>
      <c r="AM285" s="1331"/>
      <c r="AN285" s="1331"/>
      <c r="AO285" s="1331"/>
      <c r="AP285" s="1331"/>
      <c r="AQ285" s="1331"/>
      <c r="AR285" s="1331"/>
      <c r="AS285" s="1331"/>
      <c r="AT285" s="1331"/>
      <c r="AU285" s="1334"/>
    </row>
    <row r="286" spans="1:47" ht="80.25" customHeight="1" x14ac:dyDescent="0.2">
      <c r="A286" s="1546" t="s">
        <v>2877</v>
      </c>
      <c r="B286" s="1490" t="s">
        <v>3195</v>
      </c>
      <c r="C286" s="1474" t="s">
        <v>3196</v>
      </c>
      <c r="D286" s="1331"/>
      <c r="E286" s="1331"/>
      <c r="F286" s="1331"/>
      <c r="G286" s="1331"/>
      <c r="H286" s="1332"/>
      <c r="I286" s="1332"/>
      <c r="J286" s="1332"/>
      <c r="K286" s="1332"/>
      <c r="L286" s="1332"/>
      <c r="M286" s="1507"/>
      <c r="N286" s="1502"/>
      <c r="O286" s="1332"/>
      <c r="P286" s="1331"/>
      <c r="Q286" s="1331"/>
      <c r="R286" s="1331"/>
      <c r="S286" s="1331"/>
      <c r="T286" s="1331"/>
      <c r="U286" s="1331"/>
      <c r="V286" s="1331"/>
      <c r="W286" s="1334"/>
      <c r="X286" s="1509"/>
      <c r="Y286" s="1331"/>
      <c r="Z286" s="1331"/>
      <c r="AA286" s="1331"/>
      <c r="AB286" s="1331"/>
      <c r="AC286" s="1331"/>
      <c r="AD286" s="1331"/>
      <c r="AE286" s="1331"/>
      <c r="AF286" s="1331"/>
      <c r="AG286" s="1331">
        <v>-250000</v>
      </c>
      <c r="AH286" s="1334"/>
      <c r="AI286" s="1509"/>
      <c r="AJ286" s="1331"/>
      <c r="AK286" s="1331"/>
      <c r="AL286" s="1331"/>
      <c r="AM286" s="1331"/>
      <c r="AN286" s="1331"/>
      <c r="AO286" s="1331"/>
      <c r="AP286" s="1331"/>
      <c r="AQ286" s="1331"/>
      <c r="AR286" s="1331"/>
      <c r="AS286" s="1331"/>
      <c r="AT286" s="1331"/>
      <c r="AU286" s="1334"/>
    </row>
    <row r="287" spans="1:47" ht="72" customHeight="1" x14ac:dyDescent="0.2">
      <c r="A287" s="1546" t="s">
        <v>2880</v>
      </c>
      <c r="B287" s="1490" t="s">
        <v>3198</v>
      </c>
      <c r="C287" s="1474" t="s">
        <v>3203</v>
      </c>
      <c r="D287" s="1331"/>
      <c r="E287" s="1331"/>
      <c r="F287" s="1331"/>
      <c r="G287" s="1331"/>
      <c r="H287" s="1332"/>
      <c r="I287" s="1332"/>
      <c r="J287" s="1332"/>
      <c r="K287" s="1332"/>
      <c r="L287" s="1332"/>
      <c r="M287" s="1507"/>
      <c r="N287" s="1502"/>
      <c r="O287" s="1332"/>
      <c r="P287" s="1331"/>
      <c r="Q287" s="1331"/>
      <c r="R287" s="1331"/>
      <c r="S287" s="1331"/>
      <c r="T287" s="1331"/>
      <c r="U287" s="1331"/>
      <c r="V287" s="1331"/>
      <c r="W287" s="1334"/>
      <c r="X287" s="1509"/>
      <c r="Y287" s="1331"/>
      <c r="Z287" s="1331"/>
      <c r="AA287" s="1331"/>
      <c r="AB287" s="1331"/>
      <c r="AC287" s="1331"/>
      <c r="AD287" s="1331"/>
      <c r="AE287" s="1331"/>
      <c r="AF287" s="1331">
        <v>-100000</v>
      </c>
      <c r="AG287" s="1331"/>
      <c r="AH287" s="1334"/>
      <c r="AI287" s="1509"/>
      <c r="AJ287" s="1331"/>
      <c r="AK287" s="1331"/>
      <c r="AL287" s="1331"/>
      <c r="AM287" s="1331"/>
      <c r="AN287" s="1331"/>
      <c r="AO287" s="1331"/>
      <c r="AP287" s="1331"/>
      <c r="AQ287" s="1331"/>
      <c r="AR287" s="1331"/>
      <c r="AS287" s="1331"/>
      <c r="AT287" s="1331"/>
      <c r="AU287" s="1334"/>
    </row>
    <row r="288" spans="1:47" ht="79.5" customHeight="1" x14ac:dyDescent="0.2">
      <c r="A288" s="1546" t="s">
        <v>2883</v>
      </c>
      <c r="B288" s="1490" t="s">
        <v>3200</v>
      </c>
      <c r="C288" s="1474" t="s">
        <v>3201</v>
      </c>
      <c r="D288" s="1331"/>
      <c r="E288" s="1331"/>
      <c r="F288" s="1331"/>
      <c r="G288" s="1331"/>
      <c r="H288" s="1332"/>
      <c r="I288" s="1332"/>
      <c r="J288" s="1332"/>
      <c r="K288" s="1332"/>
      <c r="L288" s="1332"/>
      <c r="M288" s="1507"/>
      <c r="N288" s="1502"/>
      <c r="O288" s="1332"/>
      <c r="P288" s="1331"/>
      <c r="Q288" s="1331"/>
      <c r="R288" s="1331"/>
      <c r="S288" s="1331"/>
      <c r="T288" s="1331"/>
      <c r="U288" s="1331"/>
      <c r="V288" s="1331"/>
      <c r="W288" s="1334"/>
      <c r="X288" s="1509"/>
      <c r="Y288" s="1331"/>
      <c r="Z288" s="1331"/>
      <c r="AA288" s="1331"/>
      <c r="AB288" s="1331"/>
      <c r="AC288" s="1331"/>
      <c r="AD288" s="1331"/>
      <c r="AE288" s="1331"/>
      <c r="AF288" s="1331">
        <v>900000</v>
      </c>
      <c r="AG288" s="1331">
        <v>-900000</v>
      </c>
      <c r="AH288" s="1334"/>
      <c r="AI288" s="1509"/>
      <c r="AJ288" s="1331"/>
      <c r="AK288" s="1331"/>
      <c r="AL288" s="1331"/>
      <c r="AM288" s="1331"/>
      <c r="AN288" s="1331"/>
      <c r="AO288" s="1331"/>
      <c r="AP288" s="1331"/>
      <c r="AQ288" s="1331"/>
      <c r="AR288" s="1331"/>
      <c r="AS288" s="1331"/>
      <c r="AT288" s="1331"/>
      <c r="AU288" s="1334"/>
    </row>
    <row r="289" spans="1:47" ht="66.75" customHeight="1" x14ac:dyDescent="0.2">
      <c r="A289" s="1546" t="s">
        <v>2885</v>
      </c>
      <c r="B289" s="1490" t="s">
        <v>3202</v>
      </c>
      <c r="C289" s="1474" t="s">
        <v>3204</v>
      </c>
      <c r="D289" s="1331"/>
      <c r="E289" s="1331"/>
      <c r="F289" s="1331"/>
      <c r="G289" s="1331"/>
      <c r="H289" s="1332"/>
      <c r="I289" s="1332"/>
      <c r="J289" s="1332"/>
      <c r="K289" s="1332"/>
      <c r="L289" s="1332"/>
      <c r="M289" s="1507"/>
      <c r="N289" s="1502"/>
      <c r="O289" s="1332"/>
      <c r="P289" s="1331"/>
      <c r="Q289" s="1331"/>
      <c r="R289" s="1331"/>
      <c r="S289" s="1331"/>
      <c r="T289" s="1331"/>
      <c r="U289" s="1331"/>
      <c r="V289" s="1331"/>
      <c r="W289" s="1334"/>
      <c r="X289" s="1509"/>
      <c r="Y289" s="1331"/>
      <c r="Z289" s="1331"/>
      <c r="AA289" s="1331"/>
      <c r="AB289" s="1331"/>
      <c r="AC289" s="1331"/>
      <c r="AD289" s="1331"/>
      <c r="AE289" s="1331"/>
      <c r="AF289" s="1331">
        <v>-400000</v>
      </c>
      <c r="AG289" s="1331"/>
      <c r="AH289" s="1334"/>
      <c r="AI289" s="1509"/>
      <c r="AJ289" s="1331"/>
      <c r="AK289" s="1331"/>
      <c r="AL289" s="1331"/>
      <c r="AM289" s="1331"/>
      <c r="AN289" s="1331"/>
      <c r="AO289" s="1331"/>
      <c r="AP289" s="1331"/>
      <c r="AQ289" s="1331"/>
      <c r="AR289" s="1331"/>
      <c r="AS289" s="1331"/>
      <c r="AT289" s="1331"/>
      <c r="AU289" s="1334"/>
    </row>
    <row r="290" spans="1:47" ht="65.25" customHeight="1" x14ac:dyDescent="0.2">
      <c r="A290" s="1546" t="s">
        <v>2887</v>
      </c>
      <c r="B290" s="1490" t="s">
        <v>3206</v>
      </c>
      <c r="C290" s="1474" t="s">
        <v>3207</v>
      </c>
      <c r="D290" s="1331"/>
      <c r="E290" s="1331"/>
      <c r="F290" s="1331"/>
      <c r="G290" s="1331"/>
      <c r="H290" s="1332"/>
      <c r="I290" s="1332"/>
      <c r="J290" s="1332"/>
      <c r="K290" s="1332"/>
      <c r="L290" s="1332"/>
      <c r="M290" s="1507"/>
      <c r="N290" s="1502"/>
      <c r="O290" s="1332"/>
      <c r="P290" s="1331"/>
      <c r="Q290" s="1331"/>
      <c r="R290" s="1331"/>
      <c r="S290" s="1331"/>
      <c r="T290" s="1331"/>
      <c r="U290" s="1331"/>
      <c r="V290" s="1331"/>
      <c r="W290" s="1334"/>
      <c r="X290" s="1509"/>
      <c r="Y290" s="1331"/>
      <c r="Z290" s="1331"/>
      <c r="AA290" s="1331"/>
      <c r="AB290" s="1331"/>
      <c r="AC290" s="1331"/>
      <c r="AD290" s="1331"/>
      <c r="AE290" s="1331"/>
      <c r="AF290" s="1331">
        <v>-300000</v>
      </c>
      <c r="AG290" s="1331"/>
      <c r="AH290" s="1334"/>
      <c r="AI290" s="1509"/>
      <c r="AJ290" s="1331"/>
      <c r="AK290" s="1331"/>
      <c r="AL290" s="1331"/>
      <c r="AM290" s="1331"/>
      <c r="AN290" s="1331"/>
      <c r="AO290" s="1331"/>
      <c r="AP290" s="1331"/>
      <c r="AQ290" s="1331"/>
      <c r="AR290" s="1331"/>
      <c r="AS290" s="1331"/>
      <c r="AT290" s="1331"/>
      <c r="AU290" s="1334"/>
    </row>
    <row r="291" spans="1:47" ht="67.5" customHeight="1" x14ac:dyDescent="0.2">
      <c r="A291" s="1546" t="s">
        <v>2890</v>
      </c>
      <c r="B291" s="1490" t="s">
        <v>3209</v>
      </c>
      <c r="C291" s="1474" t="s">
        <v>3210</v>
      </c>
      <c r="D291" s="1331"/>
      <c r="E291" s="1331"/>
      <c r="F291" s="1331"/>
      <c r="G291" s="1331"/>
      <c r="H291" s="1332"/>
      <c r="I291" s="1332"/>
      <c r="J291" s="1332"/>
      <c r="K291" s="1332"/>
      <c r="L291" s="1332"/>
      <c r="M291" s="1507"/>
      <c r="N291" s="1502"/>
      <c r="O291" s="1332"/>
      <c r="P291" s="1331"/>
      <c r="Q291" s="1331"/>
      <c r="R291" s="1331"/>
      <c r="S291" s="1331"/>
      <c r="T291" s="1331"/>
      <c r="U291" s="1331"/>
      <c r="V291" s="1331"/>
      <c r="W291" s="1334"/>
      <c r="X291" s="1509"/>
      <c r="Y291" s="1331"/>
      <c r="Z291" s="1331"/>
      <c r="AA291" s="1331"/>
      <c r="AB291" s="1331"/>
      <c r="AC291" s="1331"/>
      <c r="AD291" s="1331"/>
      <c r="AE291" s="1331"/>
      <c r="AF291" s="1331">
        <v>-300000</v>
      </c>
      <c r="AG291" s="1331"/>
      <c r="AH291" s="1334"/>
      <c r="AI291" s="1509"/>
      <c r="AJ291" s="1331"/>
      <c r="AK291" s="1331"/>
      <c r="AL291" s="1331"/>
      <c r="AM291" s="1331"/>
      <c r="AN291" s="1331"/>
      <c r="AO291" s="1331"/>
      <c r="AP291" s="1331"/>
      <c r="AQ291" s="1331"/>
      <c r="AR291" s="1331"/>
      <c r="AS291" s="1331"/>
      <c r="AT291" s="1331"/>
      <c r="AU291" s="1334"/>
    </row>
    <row r="292" spans="1:47" ht="66" customHeight="1" x14ac:dyDescent="0.2">
      <c r="A292" s="1546" t="s">
        <v>2894</v>
      </c>
      <c r="B292" s="1490" t="s">
        <v>3212</v>
      </c>
      <c r="C292" s="1474" t="s">
        <v>3213</v>
      </c>
      <c r="D292" s="1331"/>
      <c r="E292" s="1331"/>
      <c r="F292" s="1331"/>
      <c r="G292" s="1331"/>
      <c r="H292" s="1332"/>
      <c r="I292" s="1332"/>
      <c r="J292" s="1332"/>
      <c r="K292" s="1332"/>
      <c r="L292" s="1332"/>
      <c r="M292" s="1507"/>
      <c r="N292" s="1502"/>
      <c r="O292" s="1332"/>
      <c r="P292" s="1331"/>
      <c r="Q292" s="1331"/>
      <c r="R292" s="1331"/>
      <c r="S292" s="1331"/>
      <c r="T292" s="1331"/>
      <c r="U292" s="1331"/>
      <c r="V292" s="1331"/>
      <c r="W292" s="1334"/>
      <c r="X292" s="1509"/>
      <c r="Y292" s="1331"/>
      <c r="Z292" s="1331"/>
      <c r="AA292" s="1331"/>
      <c r="AB292" s="1331"/>
      <c r="AC292" s="1331"/>
      <c r="AD292" s="1331"/>
      <c r="AE292" s="1331"/>
      <c r="AF292" s="1331">
        <v>-75000</v>
      </c>
      <c r="AG292" s="1331"/>
      <c r="AH292" s="1334"/>
      <c r="AI292" s="1509"/>
      <c r="AJ292" s="1331"/>
      <c r="AK292" s="1331"/>
      <c r="AL292" s="1331"/>
      <c r="AM292" s="1331"/>
      <c r="AN292" s="1331"/>
      <c r="AO292" s="1331"/>
      <c r="AP292" s="1331"/>
      <c r="AQ292" s="1331"/>
      <c r="AR292" s="1331"/>
      <c r="AS292" s="1331"/>
      <c r="AT292" s="1331"/>
      <c r="AU292" s="1334"/>
    </row>
    <row r="293" spans="1:47" ht="48.75" customHeight="1" x14ac:dyDescent="0.2">
      <c r="A293" s="1546" t="s">
        <v>2901</v>
      </c>
      <c r="B293" s="1490" t="s">
        <v>3221</v>
      </c>
      <c r="C293" s="1474" t="s">
        <v>3222</v>
      </c>
      <c r="D293" s="1331"/>
      <c r="E293" s="1331"/>
      <c r="F293" s="1331"/>
      <c r="G293" s="1331"/>
      <c r="H293" s="1332"/>
      <c r="I293" s="1332"/>
      <c r="J293" s="1332"/>
      <c r="K293" s="1332"/>
      <c r="L293" s="1332"/>
      <c r="M293" s="1507"/>
      <c r="N293" s="1502"/>
      <c r="O293" s="1332"/>
      <c r="P293" s="1331">
        <v>-1103757</v>
      </c>
      <c r="Q293" s="1331"/>
      <c r="R293" s="1331"/>
      <c r="S293" s="1331"/>
      <c r="T293" s="1331"/>
      <c r="U293" s="1331"/>
      <c r="V293" s="1331"/>
      <c r="W293" s="1334"/>
      <c r="X293" s="1509"/>
      <c r="Y293" s="1331"/>
      <c r="Z293" s="1331"/>
      <c r="AA293" s="1331"/>
      <c r="AB293" s="1331"/>
      <c r="AC293" s="1331"/>
      <c r="AD293" s="1331"/>
      <c r="AE293" s="1331"/>
      <c r="AF293" s="1331"/>
      <c r="AG293" s="1331"/>
      <c r="AH293" s="1334"/>
      <c r="AI293" s="1509"/>
      <c r="AJ293" s="1331"/>
      <c r="AK293" s="1331"/>
      <c r="AL293" s="1331"/>
      <c r="AM293" s="1331"/>
      <c r="AN293" s="1331"/>
      <c r="AO293" s="1331"/>
      <c r="AP293" s="1331"/>
      <c r="AQ293" s="1331"/>
      <c r="AR293" s="1331"/>
      <c r="AS293" s="1331"/>
      <c r="AT293" s="1331"/>
      <c r="AU293" s="1334"/>
    </row>
    <row r="294" spans="1:47" ht="55.5" customHeight="1" x14ac:dyDescent="0.2">
      <c r="A294" s="1546" t="s">
        <v>2903</v>
      </c>
      <c r="B294" s="1490" t="s">
        <v>3223</v>
      </c>
      <c r="C294" s="1474" t="s">
        <v>3224</v>
      </c>
      <c r="D294" s="1331"/>
      <c r="E294" s="1331"/>
      <c r="F294" s="1331"/>
      <c r="G294" s="1331"/>
      <c r="H294" s="1332"/>
      <c r="I294" s="1332"/>
      <c r="J294" s="1332"/>
      <c r="K294" s="1332"/>
      <c r="L294" s="1332"/>
      <c r="M294" s="1507"/>
      <c r="N294" s="1502"/>
      <c r="O294" s="1332"/>
      <c r="P294" s="1331">
        <v>-406400</v>
      </c>
      <c r="Q294" s="1331"/>
      <c r="R294" s="1331"/>
      <c r="S294" s="1331"/>
      <c r="T294" s="1331"/>
      <c r="U294" s="1331"/>
      <c r="V294" s="1331"/>
      <c r="W294" s="1334"/>
      <c r="X294" s="1509"/>
      <c r="Y294" s="1331"/>
      <c r="Z294" s="1331"/>
      <c r="AA294" s="1331"/>
      <c r="AB294" s="1331"/>
      <c r="AC294" s="1331"/>
      <c r="AD294" s="1331"/>
      <c r="AE294" s="1331"/>
      <c r="AF294" s="1331"/>
      <c r="AG294" s="1331"/>
      <c r="AH294" s="1334"/>
      <c r="AI294" s="1509"/>
      <c r="AJ294" s="1331"/>
      <c r="AK294" s="1331"/>
      <c r="AL294" s="1331"/>
      <c r="AM294" s="1331"/>
      <c r="AN294" s="1331"/>
      <c r="AO294" s="1331"/>
      <c r="AP294" s="1331"/>
      <c r="AQ294" s="1331"/>
      <c r="AR294" s="1331"/>
      <c r="AS294" s="1331"/>
      <c r="AT294" s="1331"/>
      <c r="AU294" s="1334"/>
    </row>
    <row r="295" spans="1:47" ht="47.25" customHeight="1" x14ac:dyDescent="0.2">
      <c r="A295" s="1546" t="s">
        <v>2905</v>
      </c>
      <c r="B295" s="1490" t="s">
        <v>3225</v>
      </c>
      <c r="C295" s="1474" t="s">
        <v>3226</v>
      </c>
      <c r="D295" s="1331"/>
      <c r="E295" s="1331"/>
      <c r="F295" s="1331"/>
      <c r="G295" s="1331"/>
      <c r="H295" s="1332"/>
      <c r="I295" s="1332"/>
      <c r="J295" s="1332"/>
      <c r="K295" s="1332"/>
      <c r="L295" s="1332"/>
      <c r="M295" s="1507"/>
      <c r="N295" s="1502"/>
      <c r="O295" s="1332"/>
      <c r="P295" s="1331">
        <v>-190500</v>
      </c>
      <c r="Q295" s="1331"/>
      <c r="R295" s="1331"/>
      <c r="S295" s="1331"/>
      <c r="T295" s="1331"/>
      <c r="U295" s="1331"/>
      <c r="V295" s="1331"/>
      <c r="W295" s="1334"/>
      <c r="X295" s="1509"/>
      <c r="Y295" s="1331"/>
      <c r="Z295" s="1331"/>
      <c r="AA295" s="1331"/>
      <c r="AB295" s="1331"/>
      <c r="AC295" s="1331"/>
      <c r="AD295" s="1331"/>
      <c r="AE295" s="1331"/>
      <c r="AF295" s="1331"/>
      <c r="AG295" s="1331"/>
      <c r="AH295" s="1334"/>
      <c r="AI295" s="1509"/>
      <c r="AJ295" s="1331"/>
      <c r="AK295" s="1331"/>
      <c r="AL295" s="1331"/>
      <c r="AM295" s="1331"/>
      <c r="AN295" s="1331"/>
      <c r="AO295" s="1331"/>
      <c r="AP295" s="1331"/>
      <c r="AQ295" s="1331"/>
      <c r="AR295" s="1331"/>
      <c r="AS295" s="1331"/>
      <c r="AT295" s="1331"/>
      <c r="AU295" s="1334"/>
    </row>
    <row r="296" spans="1:47" ht="47.25" customHeight="1" x14ac:dyDescent="0.2">
      <c r="A296" s="1546" t="s">
        <v>2908</v>
      </c>
      <c r="B296" s="1490" t="s">
        <v>3227</v>
      </c>
      <c r="C296" s="1474" t="s">
        <v>3228</v>
      </c>
      <c r="D296" s="1331"/>
      <c r="E296" s="1331"/>
      <c r="F296" s="1331"/>
      <c r="G296" s="1331"/>
      <c r="H296" s="1332"/>
      <c r="I296" s="1332"/>
      <c r="J296" s="1332"/>
      <c r="K296" s="1332"/>
      <c r="L296" s="1332"/>
      <c r="M296" s="1507"/>
      <c r="N296" s="1502"/>
      <c r="O296" s="1332"/>
      <c r="P296" s="1331">
        <v>-482600</v>
      </c>
      <c r="Q296" s="1331"/>
      <c r="R296" s="1331"/>
      <c r="S296" s="1331"/>
      <c r="T296" s="1331"/>
      <c r="U296" s="1331"/>
      <c r="V296" s="1331"/>
      <c r="W296" s="1334"/>
      <c r="X296" s="1509"/>
      <c r="Y296" s="1331"/>
      <c r="Z296" s="1331"/>
      <c r="AA296" s="1331"/>
      <c r="AB296" s="1331"/>
      <c r="AC296" s="1331"/>
      <c r="AD296" s="1331"/>
      <c r="AE296" s="1331"/>
      <c r="AF296" s="1331"/>
      <c r="AG296" s="1331"/>
      <c r="AH296" s="1334"/>
      <c r="AI296" s="1509"/>
      <c r="AJ296" s="1331"/>
      <c r="AK296" s="1331"/>
      <c r="AL296" s="1331"/>
      <c r="AM296" s="1331"/>
      <c r="AN296" s="1331"/>
      <c r="AO296" s="1331"/>
      <c r="AP296" s="1331"/>
      <c r="AQ296" s="1331"/>
      <c r="AR296" s="1331"/>
      <c r="AS296" s="1331"/>
      <c r="AT296" s="1331"/>
      <c r="AU296" s="1334"/>
    </row>
    <row r="297" spans="1:47" ht="39" customHeight="1" x14ac:dyDescent="0.2">
      <c r="A297" s="1546" t="s">
        <v>2913</v>
      </c>
      <c r="B297" s="1490" t="s">
        <v>3231</v>
      </c>
      <c r="C297" s="1474" t="s">
        <v>3232</v>
      </c>
      <c r="D297" s="1331"/>
      <c r="E297" s="1331"/>
      <c r="F297" s="1331"/>
      <c r="G297" s="1331"/>
      <c r="H297" s="1332"/>
      <c r="I297" s="1332"/>
      <c r="J297" s="1332"/>
      <c r="K297" s="1332"/>
      <c r="L297" s="1332"/>
      <c r="M297" s="1507"/>
      <c r="N297" s="1502"/>
      <c r="O297" s="1332"/>
      <c r="P297" s="1331"/>
      <c r="Q297" s="1331"/>
      <c r="R297" s="1331"/>
      <c r="S297" s="1331"/>
      <c r="T297" s="1331"/>
      <c r="U297" s="1331"/>
      <c r="V297" s="1331"/>
      <c r="W297" s="1334"/>
      <c r="X297" s="1509"/>
      <c r="Y297" s="1331"/>
      <c r="Z297" s="1331"/>
      <c r="AA297" s="1331"/>
      <c r="AB297" s="1331"/>
      <c r="AC297" s="1331"/>
      <c r="AD297" s="1331">
        <v>-749300</v>
      </c>
      <c r="AE297" s="1331"/>
      <c r="AF297" s="1331"/>
      <c r="AG297" s="1331"/>
      <c r="AH297" s="1334"/>
      <c r="AI297" s="1509"/>
      <c r="AJ297" s="1331"/>
      <c r="AK297" s="1331"/>
      <c r="AL297" s="1331"/>
      <c r="AM297" s="1331"/>
      <c r="AN297" s="1331"/>
      <c r="AO297" s="1331"/>
      <c r="AP297" s="1331"/>
      <c r="AQ297" s="1331"/>
      <c r="AR297" s="1331"/>
      <c r="AS297" s="1331"/>
      <c r="AT297" s="1331"/>
      <c r="AU297" s="1334"/>
    </row>
    <row r="298" spans="1:47" ht="55.5" customHeight="1" x14ac:dyDescent="0.2">
      <c r="A298" s="1546" t="s">
        <v>2916</v>
      </c>
      <c r="B298" s="1490" t="s">
        <v>3233</v>
      </c>
      <c r="C298" s="1474" t="s">
        <v>3234</v>
      </c>
      <c r="D298" s="1331"/>
      <c r="E298" s="1331"/>
      <c r="F298" s="1331"/>
      <c r="G298" s="1331"/>
      <c r="H298" s="1332"/>
      <c r="I298" s="1332"/>
      <c r="J298" s="1332"/>
      <c r="K298" s="1332"/>
      <c r="L298" s="1332"/>
      <c r="M298" s="1507"/>
      <c r="N298" s="1502"/>
      <c r="O298" s="1332"/>
      <c r="P298" s="1331"/>
      <c r="Q298" s="1331"/>
      <c r="R298" s="1331"/>
      <c r="S298" s="1331"/>
      <c r="T298" s="1331"/>
      <c r="U298" s="1331"/>
      <c r="V298" s="1331"/>
      <c r="W298" s="1334"/>
      <c r="X298" s="1509"/>
      <c r="Y298" s="1331"/>
      <c r="Z298" s="1331"/>
      <c r="AA298" s="1331"/>
      <c r="AB298" s="1331"/>
      <c r="AC298" s="1331"/>
      <c r="AD298" s="1331"/>
      <c r="AE298" s="1331"/>
      <c r="AF298" s="1331"/>
      <c r="AG298" s="1331"/>
      <c r="AH298" s="1334"/>
      <c r="AI298" s="1509"/>
      <c r="AJ298" s="1331"/>
      <c r="AK298" s="1331"/>
      <c r="AL298" s="1331"/>
      <c r="AM298" s="1331">
        <v>-16320000</v>
      </c>
      <c r="AN298" s="1331"/>
      <c r="AO298" s="1331"/>
      <c r="AP298" s="1331"/>
      <c r="AQ298" s="1331"/>
      <c r="AR298" s="1331"/>
      <c r="AS298" s="1331"/>
      <c r="AT298" s="1331"/>
      <c r="AU298" s="1334"/>
    </row>
    <row r="299" spans="1:47" ht="69" customHeight="1" x14ac:dyDescent="0.2">
      <c r="A299" s="1546" t="s">
        <v>2918</v>
      </c>
      <c r="B299" s="1490" t="s">
        <v>3236</v>
      </c>
      <c r="C299" s="1474" t="s">
        <v>3237</v>
      </c>
      <c r="D299" s="1331"/>
      <c r="E299" s="1331"/>
      <c r="F299" s="1331"/>
      <c r="G299" s="1331"/>
      <c r="H299" s="1332"/>
      <c r="I299" s="1332"/>
      <c r="J299" s="1332"/>
      <c r="K299" s="1332"/>
      <c r="L299" s="1332"/>
      <c r="M299" s="1507"/>
      <c r="N299" s="1502"/>
      <c r="O299" s="1332"/>
      <c r="P299" s="1331"/>
      <c r="Q299" s="1331"/>
      <c r="R299" s="1331"/>
      <c r="S299" s="1331"/>
      <c r="T299" s="1331"/>
      <c r="U299" s="1331"/>
      <c r="V299" s="1331"/>
      <c r="W299" s="1334"/>
      <c r="X299" s="1509"/>
      <c r="Y299" s="1331"/>
      <c r="Z299" s="1331"/>
      <c r="AA299" s="1331"/>
      <c r="AB299" s="1331"/>
      <c r="AC299" s="1331"/>
      <c r="AD299" s="1331"/>
      <c r="AE299" s="1331"/>
      <c r="AF299" s="1331"/>
      <c r="AG299" s="1331"/>
      <c r="AH299" s="1334"/>
      <c r="AI299" s="1509"/>
      <c r="AJ299" s="1331"/>
      <c r="AK299" s="1331"/>
      <c r="AL299" s="1331"/>
      <c r="AM299" s="1331">
        <v>-50074200</v>
      </c>
      <c r="AN299" s="1331"/>
      <c r="AO299" s="1331"/>
      <c r="AP299" s="1331"/>
      <c r="AQ299" s="1331"/>
      <c r="AR299" s="1331"/>
      <c r="AS299" s="1331"/>
      <c r="AT299" s="1331"/>
      <c r="AU299" s="1334"/>
    </row>
    <row r="300" spans="1:47" ht="81.75" customHeight="1" x14ac:dyDescent="0.2">
      <c r="A300" s="1546" t="s">
        <v>3250</v>
      </c>
      <c r="B300" s="1490" t="s">
        <v>3321</v>
      </c>
      <c r="C300" s="1474" t="s">
        <v>3251</v>
      </c>
      <c r="D300" s="1331"/>
      <c r="E300" s="1331"/>
      <c r="F300" s="1331"/>
      <c r="G300" s="1331"/>
      <c r="H300" s="1332"/>
      <c r="I300" s="1332"/>
      <c r="J300" s="1332"/>
      <c r="K300" s="1332"/>
      <c r="L300" s="1332"/>
      <c r="M300" s="1507"/>
      <c r="N300" s="1502"/>
      <c r="O300" s="1332"/>
      <c r="P300" s="1331"/>
      <c r="Q300" s="1331"/>
      <c r="R300" s="1331"/>
      <c r="S300" s="1331"/>
      <c r="T300" s="1331"/>
      <c r="U300" s="1331"/>
      <c r="V300" s="1331"/>
      <c r="W300" s="1334"/>
      <c r="X300" s="1509"/>
      <c r="Y300" s="1331"/>
      <c r="Z300" s="1331"/>
      <c r="AA300" s="1331"/>
      <c r="AB300" s="1331"/>
      <c r="AC300" s="1331"/>
      <c r="AD300" s="1331"/>
      <c r="AE300" s="1331"/>
      <c r="AF300" s="1331"/>
      <c r="AG300" s="1331"/>
      <c r="AH300" s="1334"/>
      <c r="AI300" s="1509"/>
      <c r="AJ300" s="1331"/>
      <c r="AK300" s="1331"/>
      <c r="AL300" s="1331"/>
      <c r="AM300" s="1331"/>
      <c r="AN300" s="1331">
        <v>162737290</v>
      </c>
      <c r="AO300" s="1331"/>
      <c r="AP300" s="1331"/>
      <c r="AQ300" s="1331"/>
      <c r="AR300" s="1331"/>
      <c r="AS300" s="1331"/>
      <c r="AT300" s="1331"/>
      <c r="AU300" s="1334"/>
    </row>
    <row r="301" spans="1:47" ht="42" customHeight="1" x14ac:dyDescent="0.2">
      <c r="A301" s="1546" t="s">
        <v>2935</v>
      </c>
      <c r="B301" s="1490" t="s">
        <v>3256</v>
      </c>
      <c r="C301" s="1474" t="s">
        <v>3257</v>
      </c>
      <c r="D301" s="1331"/>
      <c r="E301" s="1331"/>
      <c r="F301" s="1331"/>
      <c r="G301" s="1331"/>
      <c r="H301" s="1332"/>
      <c r="I301" s="1332"/>
      <c r="J301" s="1332"/>
      <c r="K301" s="1332"/>
      <c r="L301" s="1332"/>
      <c r="M301" s="1507"/>
      <c r="N301" s="1502"/>
      <c r="O301" s="1332"/>
      <c r="P301" s="1331"/>
      <c r="Q301" s="1331"/>
      <c r="R301" s="1331"/>
      <c r="S301" s="1331"/>
      <c r="T301" s="1331"/>
      <c r="U301" s="1331"/>
      <c r="V301" s="1331"/>
      <c r="W301" s="1334"/>
      <c r="X301" s="1509"/>
      <c r="Y301" s="1331"/>
      <c r="Z301" s="1331"/>
      <c r="AA301" s="1331"/>
      <c r="AB301" s="1331"/>
      <c r="AC301" s="1331"/>
      <c r="AD301" s="1331"/>
      <c r="AE301" s="1331"/>
      <c r="AF301" s="1331"/>
      <c r="AG301" s="1331"/>
      <c r="AH301" s="1334"/>
      <c r="AI301" s="1509"/>
      <c r="AJ301" s="1331"/>
      <c r="AK301" s="1331"/>
      <c r="AL301" s="1331"/>
      <c r="AM301" s="1331"/>
      <c r="AN301" s="1331"/>
      <c r="AO301" s="1331"/>
      <c r="AP301" s="1331">
        <v>1004050</v>
      </c>
      <c r="AQ301" s="1331"/>
      <c r="AR301" s="1331"/>
      <c r="AS301" s="1331"/>
      <c r="AT301" s="1331"/>
      <c r="AU301" s="1334"/>
    </row>
    <row r="302" spans="1:47" ht="47.25" customHeight="1" x14ac:dyDescent="0.2">
      <c r="A302" s="1546" t="s">
        <v>2941</v>
      </c>
      <c r="B302" s="1490" t="s">
        <v>3260</v>
      </c>
      <c r="C302" s="1474" t="s">
        <v>3261</v>
      </c>
      <c r="D302" s="1331"/>
      <c r="E302" s="1331"/>
      <c r="F302" s="1331"/>
      <c r="G302" s="1331"/>
      <c r="H302" s="1332"/>
      <c r="I302" s="1332"/>
      <c r="J302" s="1332"/>
      <c r="K302" s="1332"/>
      <c r="L302" s="1332"/>
      <c r="M302" s="1507"/>
      <c r="N302" s="1502"/>
      <c r="O302" s="1332"/>
      <c r="P302" s="1331">
        <v>-1736508</v>
      </c>
      <c r="Q302" s="1331"/>
      <c r="R302" s="1331"/>
      <c r="S302" s="1331"/>
      <c r="T302" s="1331"/>
      <c r="U302" s="1331"/>
      <c r="V302" s="1331"/>
      <c r="W302" s="1334"/>
      <c r="X302" s="1509"/>
      <c r="Y302" s="1331"/>
      <c r="Z302" s="1331"/>
      <c r="AA302" s="1331"/>
      <c r="AB302" s="1331"/>
      <c r="AC302" s="1331"/>
      <c r="AD302" s="1331"/>
      <c r="AE302" s="1331"/>
      <c r="AF302" s="1331"/>
      <c r="AG302" s="1331"/>
      <c r="AH302" s="1334"/>
      <c r="AI302" s="1509"/>
      <c r="AJ302" s="1331"/>
      <c r="AK302" s="1331"/>
      <c r="AL302" s="1331"/>
      <c r="AM302" s="1331"/>
      <c r="AN302" s="1331"/>
      <c r="AO302" s="1331"/>
      <c r="AP302" s="1331"/>
      <c r="AQ302" s="1331"/>
      <c r="AR302" s="1331"/>
      <c r="AS302" s="1331"/>
      <c r="AT302" s="1331"/>
      <c r="AU302" s="1334"/>
    </row>
    <row r="303" spans="1:47" ht="55.5" customHeight="1" x14ac:dyDescent="0.2">
      <c r="A303" s="1546" t="s">
        <v>2944</v>
      </c>
      <c r="B303" s="1490" t="s">
        <v>3262</v>
      </c>
      <c r="C303" s="1474" t="s">
        <v>3263</v>
      </c>
      <c r="D303" s="1331"/>
      <c r="E303" s="1331"/>
      <c r="F303" s="1331"/>
      <c r="G303" s="1331"/>
      <c r="H303" s="1332"/>
      <c r="I303" s="1332"/>
      <c r="J303" s="1332"/>
      <c r="K303" s="1332"/>
      <c r="L303" s="1332"/>
      <c r="M303" s="1507"/>
      <c r="N303" s="1502"/>
      <c r="O303" s="1332"/>
      <c r="P303" s="1331">
        <v>-1544320</v>
      </c>
      <c r="Q303" s="1331"/>
      <c r="R303" s="1331"/>
      <c r="S303" s="1331"/>
      <c r="T303" s="1331"/>
      <c r="U303" s="1331"/>
      <c r="V303" s="1331"/>
      <c r="W303" s="1334"/>
      <c r="X303" s="1509"/>
      <c r="Y303" s="1331"/>
      <c r="Z303" s="1331"/>
      <c r="AA303" s="1331"/>
      <c r="AB303" s="1331"/>
      <c r="AC303" s="1331"/>
      <c r="AD303" s="1331"/>
      <c r="AE303" s="1331"/>
      <c r="AF303" s="1331"/>
      <c r="AG303" s="1331"/>
      <c r="AH303" s="1334"/>
      <c r="AI303" s="1509"/>
      <c r="AJ303" s="1331"/>
      <c r="AK303" s="1331"/>
      <c r="AL303" s="1331"/>
      <c r="AM303" s="1331"/>
      <c r="AN303" s="1331"/>
      <c r="AO303" s="1331"/>
      <c r="AP303" s="1331"/>
      <c r="AQ303" s="1331"/>
      <c r="AR303" s="1331"/>
      <c r="AS303" s="1331"/>
      <c r="AT303" s="1331"/>
      <c r="AU303" s="1334"/>
    </row>
    <row r="304" spans="1:47" ht="39.75" customHeight="1" x14ac:dyDescent="0.2">
      <c r="A304" s="1546" t="s">
        <v>2947</v>
      </c>
      <c r="B304" s="1490" t="s">
        <v>3264</v>
      </c>
      <c r="C304" s="1474" t="s">
        <v>3265</v>
      </c>
      <c r="D304" s="1331"/>
      <c r="E304" s="1331"/>
      <c r="F304" s="1331"/>
      <c r="G304" s="1331"/>
      <c r="H304" s="1332"/>
      <c r="I304" s="1332"/>
      <c r="J304" s="1332"/>
      <c r="K304" s="1332"/>
      <c r="L304" s="1332"/>
      <c r="M304" s="1507"/>
      <c r="N304" s="1502"/>
      <c r="O304" s="1332"/>
      <c r="P304" s="1331"/>
      <c r="Q304" s="1331"/>
      <c r="R304" s="1331"/>
      <c r="S304" s="1331"/>
      <c r="T304" s="1331"/>
      <c r="U304" s="1331"/>
      <c r="V304" s="1331"/>
      <c r="W304" s="1334"/>
      <c r="X304" s="1509"/>
      <c r="Y304" s="1331"/>
      <c r="Z304" s="1331"/>
      <c r="AA304" s="1331"/>
      <c r="AB304" s="1331"/>
      <c r="AC304" s="1331"/>
      <c r="AD304" s="1331">
        <v>-6015990</v>
      </c>
      <c r="AE304" s="1331"/>
      <c r="AF304" s="1331"/>
      <c r="AG304" s="1331"/>
      <c r="AH304" s="1334"/>
      <c r="AI304" s="1509"/>
      <c r="AJ304" s="1331"/>
      <c r="AK304" s="1331"/>
      <c r="AL304" s="1331"/>
      <c r="AM304" s="1331"/>
      <c r="AN304" s="1331"/>
      <c r="AO304" s="1331"/>
      <c r="AP304" s="1331"/>
      <c r="AQ304" s="1331"/>
      <c r="AR304" s="1331"/>
      <c r="AS304" s="1331"/>
      <c r="AT304" s="1331"/>
      <c r="AU304" s="1334"/>
    </row>
    <row r="305" spans="1:47" ht="55.5" customHeight="1" x14ac:dyDescent="0.2">
      <c r="A305" s="1546" t="s">
        <v>2949</v>
      </c>
      <c r="B305" s="1490" t="s">
        <v>3271</v>
      </c>
      <c r="C305" s="1474" t="s">
        <v>3269</v>
      </c>
      <c r="D305" s="1331"/>
      <c r="E305" s="1331"/>
      <c r="F305" s="1331"/>
      <c r="G305" s="1331"/>
      <c r="H305" s="1332"/>
      <c r="I305" s="1332"/>
      <c r="J305" s="1332">
        <v>356421</v>
      </c>
      <c r="K305" s="1332"/>
      <c r="L305" s="1332"/>
      <c r="M305" s="1507"/>
      <c r="N305" s="1502"/>
      <c r="O305" s="1332"/>
      <c r="P305" s="1331"/>
      <c r="Q305" s="1331"/>
      <c r="R305" s="1331"/>
      <c r="S305" s="1331"/>
      <c r="T305" s="1331"/>
      <c r="U305" s="1331"/>
      <c r="V305" s="1331"/>
      <c r="W305" s="1334"/>
      <c r="X305" s="1509"/>
      <c r="Y305" s="1331"/>
      <c r="Z305" s="1331"/>
      <c r="AA305" s="1331"/>
      <c r="AB305" s="1331"/>
      <c r="AC305" s="1331"/>
      <c r="AD305" s="1331"/>
      <c r="AE305" s="1331"/>
      <c r="AF305" s="1331"/>
      <c r="AG305" s="1331"/>
      <c r="AH305" s="1334"/>
      <c r="AI305" s="1509"/>
      <c r="AJ305" s="1331"/>
      <c r="AK305" s="1331"/>
      <c r="AL305" s="1331"/>
      <c r="AM305" s="1331"/>
      <c r="AN305" s="1331"/>
      <c r="AO305" s="1331"/>
      <c r="AP305" s="1331"/>
      <c r="AQ305" s="1331"/>
      <c r="AR305" s="1331"/>
      <c r="AS305" s="1331"/>
      <c r="AT305" s="1331"/>
      <c r="AU305" s="1334"/>
    </row>
    <row r="306" spans="1:47" ht="32.25" customHeight="1" x14ac:dyDescent="0.2">
      <c r="A306" s="1546" t="s">
        <v>3277</v>
      </c>
      <c r="B306" s="1490" t="s">
        <v>3278</v>
      </c>
      <c r="C306" s="1474" t="s">
        <v>3279</v>
      </c>
      <c r="D306" s="1331"/>
      <c r="E306" s="1331"/>
      <c r="F306" s="1331"/>
      <c r="G306" s="1331"/>
      <c r="H306" s="1332"/>
      <c r="I306" s="1332"/>
      <c r="J306" s="1332"/>
      <c r="K306" s="1332"/>
      <c r="L306" s="1332"/>
      <c r="M306" s="1507"/>
      <c r="N306" s="1502"/>
      <c r="O306" s="1332"/>
      <c r="P306" s="1331"/>
      <c r="Q306" s="1331"/>
      <c r="R306" s="1331"/>
      <c r="S306" s="1331"/>
      <c r="T306" s="1331"/>
      <c r="U306" s="1331"/>
      <c r="V306" s="1331"/>
      <c r="W306" s="1334"/>
      <c r="X306" s="1509"/>
      <c r="Y306" s="1331"/>
      <c r="Z306" s="1331"/>
      <c r="AA306" s="1331"/>
      <c r="AB306" s="1331"/>
      <c r="AC306" s="1331"/>
      <c r="AD306" s="1331">
        <v>-894080</v>
      </c>
      <c r="AE306" s="1331"/>
      <c r="AF306" s="1331"/>
      <c r="AG306" s="1331"/>
      <c r="AH306" s="1334"/>
      <c r="AI306" s="1509"/>
      <c r="AJ306" s="1331"/>
      <c r="AK306" s="1331"/>
      <c r="AL306" s="1331"/>
      <c r="AM306" s="1331"/>
      <c r="AN306" s="1331"/>
      <c r="AO306" s="1331"/>
      <c r="AP306" s="1331"/>
      <c r="AQ306" s="1331"/>
      <c r="AR306" s="1331"/>
      <c r="AS306" s="1331"/>
      <c r="AT306" s="1331"/>
      <c r="AU306" s="1334"/>
    </row>
    <row r="307" spans="1:47" ht="46.5" customHeight="1" x14ac:dyDescent="0.2">
      <c r="A307" s="1546" t="s">
        <v>2970</v>
      </c>
      <c r="B307" s="1490" t="s">
        <v>3281</v>
      </c>
      <c r="C307" s="1474" t="s">
        <v>3282</v>
      </c>
      <c r="D307" s="1331"/>
      <c r="E307" s="1331"/>
      <c r="F307" s="1331"/>
      <c r="G307" s="1331"/>
      <c r="H307" s="1332"/>
      <c r="I307" s="1332"/>
      <c r="J307" s="1332"/>
      <c r="K307" s="1332"/>
      <c r="L307" s="1332"/>
      <c r="M307" s="1507"/>
      <c r="N307" s="1502"/>
      <c r="O307" s="1332"/>
      <c r="P307" s="1331">
        <v>-63500</v>
      </c>
      <c r="Q307" s="1331"/>
      <c r="R307" s="1331"/>
      <c r="S307" s="1331"/>
      <c r="T307" s="1331"/>
      <c r="U307" s="1331"/>
      <c r="V307" s="1331"/>
      <c r="W307" s="1334"/>
      <c r="X307" s="1509"/>
      <c r="Y307" s="1331"/>
      <c r="Z307" s="1331"/>
      <c r="AA307" s="1331"/>
      <c r="AB307" s="1331"/>
      <c r="AC307" s="1331"/>
      <c r="AD307" s="1331"/>
      <c r="AE307" s="1331"/>
      <c r="AF307" s="1331"/>
      <c r="AG307" s="1331"/>
      <c r="AH307" s="1334"/>
      <c r="AI307" s="1509"/>
      <c r="AJ307" s="1331"/>
      <c r="AK307" s="1331"/>
      <c r="AL307" s="1331"/>
      <c r="AM307" s="1331"/>
      <c r="AN307" s="1331"/>
      <c r="AO307" s="1331"/>
      <c r="AP307" s="1331"/>
      <c r="AQ307" s="1331"/>
      <c r="AR307" s="1331"/>
      <c r="AS307" s="1331"/>
      <c r="AT307" s="1331"/>
      <c r="AU307" s="1334"/>
    </row>
    <row r="308" spans="1:47" ht="44.25" customHeight="1" x14ac:dyDescent="0.2">
      <c r="A308" s="1546" t="s">
        <v>2972</v>
      </c>
      <c r="B308" s="1490" t="s">
        <v>3283</v>
      </c>
      <c r="C308" s="1474" t="s">
        <v>3285</v>
      </c>
      <c r="D308" s="1331"/>
      <c r="E308" s="1331"/>
      <c r="F308" s="1331"/>
      <c r="G308" s="1331"/>
      <c r="H308" s="1332"/>
      <c r="I308" s="1332"/>
      <c r="J308" s="1332"/>
      <c r="K308" s="1332"/>
      <c r="L308" s="1332"/>
      <c r="M308" s="1507"/>
      <c r="N308" s="1502"/>
      <c r="O308" s="1332"/>
      <c r="P308" s="1331">
        <v>-711200</v>
      </c>
      <c r="Q308" s="1331"/>
      <c r="R308" s="1331"/>
      <c r="S308" s="1331"/>
      <c r="T308" s="1331"/>
      <c r="U308" s="1331"/>
      <c r="V308" s="1331"/>
      <c r="W308" s="1334"/>
      <c r="X308" s="1509"/>
      <c r="Y308" s="1331"/>
      <c r="Z308" s="1331"/>
      <c r="AA308" s="1331"/>
      <c r="AB308" s="1331"/>
      <c r="AC308" s="1331"/>
      <c r="AD308" s="1331"/>
      <c r="AE308" s="1331"/>
      <c r="AF308" s="1331"/>
      <c r="AG308" s="1331"/>
      <c r="AH308" s="1334"/>
      <c r="AI308" s="1509"/>
      <c r="AJ308" s="1331"/>
      <c r="AK308" s="1331"/>
      <c r="AL308" s="1331"/>
      <c r="AM308" s="1331"/>
      <c r="AN308" s="1331"/>
      <c r="AO308" s="1331"/>
      <c r="AP308" s="1331"/>
      <c r="AQ308" s="1331"/>
      <c r="AR308" s="1331"/>
      <c r="AS308" s="1331"/>
      <c r="AT308" s="1331"/>
      <c r="AU308" s="1334"/>
    </row>
    <row r="309" spans="1:47" ht="55.5" customHeight="1" x14ac:dyDescent="0.2">
      <c r="A309" s="1546" t="s">
        <v>2974</v>
      </c>
      <c r="B309" s="1490" t="s">
        <v>3286</v>
      </c>
      <c r="C309" s="1474" t="s">
        <v>3287</v>
      </c>
      <c r="D309" s="1331"/>
      <c r="E309" s="1331"/>
      <c r="F309" s="1331"/>
      <c r="G309" s="1331"/>
      <c r="H309" s="1332"/>
      <c r="I309" s="1332"/>
      <c r="J309" s="1332"/>
      <c r="K309" s="1332"/>
      <c r="L309" s="1332"/>
      <c r="M309" s="1507"/>
      <c r="N309" s="1502"/>
      <c r="O309" s="1332"/>
      <c r="P309" s="1331">
        <v>-861060</v>
      </c>
      <c r="Q309" s="1331"/>
      <c r="R309" s="1331"/>
      <c r="S309" s="1331"/>
      <c r="T309" s="1331"/>
      <c r="U309" s="1331"/>
      <c r="V309" s="1331"/>
      <c r="W309" s="1334"/>
      <c r="X309" s="1509"/>
      <c r="Y309" s="1331"/>
      <c r="Z309" s="1331"/>
      <c r="AA309" s="1331"/>
      <c r="AB309" s="1331"/>
      <c r="AC309" s="1331"/>
      <c r="AD309" s="1331"/>
      <c r="AE309" s="1331"/>
      <c r="AF309" s="1331"/>
      <c r="AG309" s="1331"/>
      <c r="AH309" s="1334"/>
      <c r="AI309" s="1509"/>
      <c r="AJ309" s="1331"/>
      <c r="AK309" s="1331"/>
      <c r="AL309" s="1331"/>
      <c r="AM309" s="1331"/>
      <c r="AN309" s="1331"/>
      <c r="AO309" s="1331"/>
      <c r="AP309" s="1331"/>
      <c r="AQ309" s="1331"/>
      <c r="AR309" s="1331"/>
      <c r="AS309" s="1331"/>
      <c r="AT309" s="1331"/>
      <c r="AU309" s="1334"/>
    </row>
    <row r="310" spans="1:47" ht="55.5" customHeight="1" x14ac:dyDescent="0.2">
      <c r="A310" s="1546" t="s">
        <v>3289</v>
      </c>
      <c r="B310" s="1490" t="s">
        <v>3290</v>
      </c>
      <c r="C310" s="1474" t="s">
        <v>3291</v>
      </c>
      <c r="D310" s="1331"/>
      <c r="E310" s="1331"/>
      <c r="F310" s="1331"/>
      <c r="G310" s="1331"/>
      <c r="H310" s="1332"/>
      <c r="I310" s="1332"/>
      <c r="J310" s="1332"/>
      <c r="K310" s="1332"/>
      <c r="L310" s="1332"/>
      <c r="M310" s="1507"/>
      <c r="N310" s="1502"/>
      <c r="O310" s="1332"/>
      <c r="P310" s="1331">
        <v>-457200</v>
      </c>
      <c r="Q310" s="1331"/>
      <c r="R310" s="1331"/>
      <c r="S310" s="1331"/>
      <c r="T310" s="1331"/>
      <c r="U310" s="1331"/>
      <c r="V310" s="1331"/>
      <c r="W310" s="1334"/>
      <c r="X310" s="1509"/>
      <c r="Y310" s="1331"/>
      <c r="Z310" s="1331"/>
      <c r="AA310" s="1331"/>
      <c r="AB310" s="1331"/>
      <c r="AC310" s="1331"/>
      <c r="AD310" s="1331"/>
      <c r="AE310" s="1331"/>
      <c r="AF310" s="1331"/>
      <c r="AG310" s="1331"/>
      <c r="AH310" s="1334"/>
      <c r="AI310" s="1509"/>
      <c r="AJ310" s="1331"/>
      <c r="AK310" s="1331"/>
      <c r="AL310" s="1331"/>
      <c r="AM310" s="1331"/>
      <c r="AN310" s="1331"/>
      <c r="AO310" s="1331"/>
      <c r="AP310" s="1331"/>
      <c r="AQ310" s="1331"/>
      <c r="AR310" s="1331"/>
      <c r="AS310" s="1331"/>
      <c r="AT310" s="1331"/>
      <c r="AU310" s="1334"/>
    </row>
    <row r="311" spans="1:47" ht="83.25" customHeight="1" x14ac:dyDescent="0.2">
      <c r="A311" s="1546" t="s">
        <v>2977</v>
      </c>
      <c r="B311" s="1490" t="s">
        <v>3292</v>
      </c>
      <c r="C311" s="1474" t="s">
        <v>3293</v>
      </c>
      <c r="D311" s="1331"/>
      <c r="E311" s="1331"/>
      <c r="F311" s="1331"/>
      <c r="G311" s="1331"/>
      <c r="H311" s="1332"/>
      <c r="I311" s="1332"/>
      <c r="J311" s="1332"/>
      <c r="K311" s="1332"/>
      <c r="L311" s="1332"/>
      <c r="M311" s="1507"/>
      <c r="N311" s="1502"/>
      <c r="O311" s="1332"/>
      <c r="P311" s="1331"/>
      <c r="Q311" s="1331"/>
      <c r="R311" s="1331"/>
      <c r="S311" s="1331"/>
      <c r="T311" s="1331"/>
      <c r="U311" s="1331"/>
      <c r="V311" s="1331"/>
      <c r="W311" s="1334"/>
      <c r="X311" s="1509"/>
      <c r="Y311" s="1331"/>
      <c r="Z311" s="1331"/>
      <c r="AA311" s="1331"/>
      <c r="AB311" s="1331"/>
      <c r="AC311" s="1331"/>
      <c r="AD311" s="1331"/>
      <c r="AE311" s="1331"/>
      <c r="AF311" s="1331">
        <v>-150000</v>
      </c>
      <c r="AG311" s="1331"/>
      <c r="AH311" s="1334"/>
      <c r="AI311" s="1509"/>
      <c r="AJ311" s="1331"/>
      <c r="AK311" s="1331"/>
      <c r="AL311" s="1331"/>
      <c r="AM311" s="1331"/>
      <c r="AN311" s="1331"/>
      <c r="AO311" s="1331"/>
      <c r="AP311" s="1331"/>
      <c r="AQ311" s="1331"/>
      <c r="AR311" s="1331"/>
      <c r="AS311" s="1331"/>
      <c r="AT311" s="1331"/>
      <c r="AU311" s="1334"/>
    </row>
    <row r="312" spans="1:47" ht="55.5" customHeight="1" x14ac:dyDescent="0.2">
      <c r="A312" s="1546" t="s">
        <v>2980</v>
      </c>
      <c r="B312" s="1490" t="s">
        <v>3297</v>
      </c>
      <c r="C312" s="1474" t="s">
        <v>3298</v>
      </c>
      <c r="D312" s="1331"/>
      <c r="E312" s="1331"/>
      <c r="F312" s="1331"/>
      <c r="G312" s="1331"/>
      <c r="H312" s="1332"/>
      <c r="I312" s="1332"/>
      <c r="J312" s="1332"/>
      <c r="K312" s="1332"/>
      <c r="L312" s="1332"/>
      <c r="M312" s="1507"/>
      <c r="N312" s="1502"/>
      <c r="O312" s="1332"/>
      <c r="P312" s="1331">
        <v>-254000</v>
      </c>
      <c r="Q312" s="1331"/>
      <c r="R312" s="1331"/>
      <c r="S312" s="1331"/>
      <c r="T312" s="1331"/>
      <c r="U312" s="1331"/>
      <c r="V312" s="1331"/>
      <c r="W312" s="1334"/>
      <c r="X312" s="1509"/>
      <c r="Y312" s="1331"/>
      <c r="Z312" s="1331"/>
      <c r="AA312" s="1331"/>
      <c r="AB312" s="1331"/>
      <c r="AC312" s="1331"/>
      <c r="AD312" s="1331"/>
      <c r="AE312" s="1331"/>
      <c r="AF312" s="1331"/>
      <c r="AG312" s="1331"/>
      <c r="AH312" s="1334"/>
      <c r="AI312" s="1509"/>
      <c r="AJ312" s="1331"/>
      <c r="AK312" s="1331"/>
      <c r="AL312" s="1331"/>
      <c r="AM312" s="1331"/>
      <c r="AN312" s="1331"/>
      <c r="AO312" s="1331"/>
      <c r="AP312" s="1331"/>
      <c r="AQ312" s="1331"/>
      <c r="AR312" s="1331"/>
      <c r="AS312" s="1331"/>
      <c r="AT312" s="1331"/>
      <c r="AU312" s="1334"/>
    </row>
    <row r="313" spans="1:47" ht="55.5" customHeight="1" x14ac:dyDescent="0.2">
      <c r="A313" s="1546" t="s">
        <v>2982</v>
      </c>
      <c r="B313" s="1490" t="s">
        <v>3299</v>
      </c>
      <c r="C313" s="1474" t="s">
        <v>3300</v>
      </c>
      <c r="D313" s="1331"/>
      <c r="E313" s="1331"/>
      <c r="F313" s="1331"/>
      <c r="G313" s="1331"/>
      <c r="H313" s="1332"/>
      <c r="I313" s="1332"/>
      <c r="J313" s="1332"/>
      <c r="K313" s="1332"/>
      <c r="L313" s="1332"/>
      <c r="M313" s="1507"/>
      <c r="N313" s="1502"/>
      <c r="O313" s="1332"/>
      <c r="P313" s="1331"/>
      <c r="Q313" s="1331"/>
      <c r="R313" s="1331"/>
      <c r="S313" s="1331"/>
      <c r="T313" s="1331"/>
      <c r="U313" s="1331"/>
      <c r="V313" s="1331"/>
      <c r="W313" s="1334"/>
      <c r="X313" s="1509"/>
      <c r="Y313" s="1331"/>
      <c r="Z313" s="1331"/>
      <c r="AA313" s="1331"/>
      <c r="AB313" s="1331"/>
      <c r="AC313" s="1331"/>
      <c r="AD313" s="1331"/>
      <c r="AE313" s="1331"/>
      <c r="AF313" s="1331"/>
      <c r="AG313" s="1331"/>
      <c r="AH313" s="1334"/>
      <c r="AI313" s="1509"/>
      <c r="AJ313" s="1331"/>
      <c r="AK313" s="1331"/>
      <c r="AL313" s="1331"/>
      <c r="AM313" s="1331"/>
      <c r="AN313" s="1331"/>
      <c r="AO313" s="1331"/>
      <c r="AP313" s="1331">
        <v>-3124200</v>
      </c>
      <c r="AQ313" s="1331"/>
      <c r="AR313" s="1331"/>
      <c r="AS313" s="1331"/>
      <c r="AT313" s="1331"/>
      <c r="AU313" s="1334"/>
    </row>
    <row r="314" spans="1:47" ht="42" customHeight="1" x14ac:dyDescent="0.2">
      <c r="A314" s="1546" t="s">
        <v>2984</v>
      </c>
      <c r="B314" s="1490" t="s">
        <v>3301</v>
      </c>
      <c r="C314" s="1474" t="s">
        <v>3302</v>
      </c>
      <c r="D314" s="1331"/>
      <c r="E314" s="1331"/>
      <c r="F314" s="1331"/>
      <c r="G314" s="1331"/>
      <c r="H314" s="1332"/>
      <c r="I314" s="1332"/>
      <c r="J314" s="1332"/>
      <c r="K314" s="1332"/>
      <c r="L314" s="1332"/>
      <c r="M314" s="1507"/>
      <c r="N314" s="1502"/>
      <c r="O314" s="1332"/>
      <c r="P314" s="1331"/>
      <c r="Q314" s="1331"/>
      <c r="R314" s="1331"/>
      <c r="S314" s="1331"/>
      <c r="T314" s="1331"/>
      <c r="U314" s="1331"/>
      <c r="V314" s="1331"/>
      <c r="W314" s="1334"/>
      <c r="X314" s="1509"/>
      <c r="Y314" s="1331"/>
      <c r="Z314" s="1331"/>
      <c r="AA314" s="1331"/>
      <c r="AB314" s="1331"/>
      <c r="AC314" s="1331"/>
      <c r="AD314" s="1331">
        <v>-25366571</v>
      </c>
      <c r="AE314" s="1331"/>
      <c r="AF314" s="1331"/>
      <c r="AG314" s="1331"/>
      <c r="AH314" s="1334"/>
      <c r="AI314" s="1509"/>
      <c r="AJ314" s="1331"/>
      <c r="AK314" s="1331"/>
      <c r="AL314" s="1331"/>
      <c r="AM314" s="1331"/>
      <c r="AN314" s="1331"/>
      <c r="AO314" s="1331"/>
      <c r="AP314" s="1331"/>
      <c r="AQ314" s="1331"/>
      <c r="AR314" s="1331"/>
      <c r="AS314" s="1331"/>
      <c r="AT314" s="1331"/>
      <c r="AU314" s="1334"/>
    </row>
    <row r="315" spans="1:47" ht="55.5" customHeight="1" x14ac:dyDescent="0.2">
      <c r="A315" s="1546" t="s">
        <v>2990</v>
      </c>
      <c r="B315" s="1490" t="s">
        <v>3304</v>
      </c>
      <c r="C315" s="1474" t="s">
        <v>3305</v>
      </c>
      <c r="D315" s="1331"/>
      <c r="E315" s="1331"/>
      <c r="F315" s="1331"/>
      <c r="G315" s="1331"/>
      <c r="H315" s="1332"/>
      <c r="I315" s="1332"/>
      <c r="J315" s="1332"/>
      <c r="K315" s="1332"/>
      <c r="L315" s="1332"/>
      <c r="M315" s="1507"/>
      <c r="N315" s="1502"/>
      <c r="O315" s="1332"/>
      <c r="P315" s="1331">
        <v>-254000</v>
      </c>
      <c r="Q315" s="1331"/>
      <c r="R315" s="1331"/>
      <c r="S315" s="1331"/>
      <c r="T315" s="1331"/>
      <c r="U315" s="1331"/>
      <c r="V315" s="1331"/>
      <c r="W315" s="1334"/>
      <c r="X315" s="1509"/>
      <c r="Y315" s="1331"/>
      <c r="Z315" s="1331"/>
      <c r="AA315" s="1331"/>
      <c r="AB315" s="1331"/>
      <c r="AC315" s="1331"/>
      <c r="AD315" s="1331"/>
      <c r="AE315" s="1331"/>
      <c r="AF315" s="1331"/>
      <c r="AG315" s="1331"/>
      <c r="AH315" s="1334"/>
      <c r="AI315" s="1509"/>
      <c r="AJ315" s="1331"/>
      <c r="AK315" s="1331"/>
      <c r="AL315" s="1331"/>
      <c r="AM315" s="1331"/>
      <c r="AN315" s="1331"/>
      <c r="AO315" s="1331"/>
      <c r="AP315" s="1331"/>
      <c r="AQ315" s="1331"/>
      <c r="AR315" s="1331"/>
      <c r="AS315" s="1331"/>
      <c r="AT315" s="1331"/>
      <c r="AU315" s="1334"/>
    </row>
    <row r="316" spans="1:47" ht="39.75" customHeight="1" x14ac:dyDescent="0.2">
      <c r="A316" s="1546" t="s">
        <v>3002</v>
      </c>
      <c r="B316" s="1490" t="s">
        <v>3312</v>
      </c>
      <c r="C316" s="1474" t="s">
        <v>3313</v>
      </c>
      <c r="D316" s="1331"/>
      <c r="E316" s="1331"/>
      <c r="F316" s="1331"/>
      <c r="G316" s="1331"/>
      <c r="H316" s="1332"/>
      <c r="I316" s="1332"/>
      <c r="J316" s="1332"/>
      <c r="K316" s="1332"/>
      <c r="L316" s="1332"/>
      <c r="M316" s="1507"/>
      <c r="N316" s="1502"/>
      <c r="O316" s="1332"/>
      <c r="P316" s="1331"/>
      <c r="Q316" s="1331"/>
      <c r="R316" s="1331"/>
      <c r="S316" s="1331"/>
      <c r="T316" s="1331"/>
      <c r="U316" s="1331"/>
      <c r="V316" s="1331"/>
      <c r="W316" s="1334"/>
      <c r="X316" s="1509"/>
      <c r="Y316" s="1331"/>
      <c r="Z316" s="1331"/>
      <c r="AA316" s="1331"/>
      <c r="AB316" s="1331"/>
      <c r="AC316" s="1331"/>
      <c r="AD316" s="1331"/>
      <c r="AE316" s="1331"/>
      <c r="AF316" s="1331"/>
      <c r="AG316" s="1331"/>
      <c r="AH316" s="1334"/>
      <c r="AI316" s="1509"/>
      <c r="AJ316" s="1331"/>
      <c r="AK316" s="1331"/>
      <c r="AL316" s="1331"/>
      <c r="AM316" s="1331"/>
      <c r="AN316" s="1331"/>
      <c r="AO316" s="1331"/>
      <c r="AP316" s="1331"/>
      <c r="AQ316" s="1331">
        <v>126000000</v>
      </c>
      <c r="AR316" s="1331"/>
      <c r="AS316" s="1331"/>
      <c r="AT316" s="1331"/>
      <c r="AU316" s="1334"/>
    </row>
    <row r="317" spans="1:47" ht="45" customHeight="1" x14ac:dyDescent="0.2">
      <c r="A317" s="1546" t="s">
        <v>3005</v>
      </c>
      <c r="B317" s="1490" t="s">
        <v>3314</v>
      </c>
      <c r="C317" s="1474" t="s">
        <v>2975</v>
      </c>
      <c r="D317" s="1331"/>
      <c r="E317" s="1331"/>
      <c r="F317" s="1331"/>
      <c r="G317" s="1331"/>
      <c r="H317" s="1332"/>
      <c r="I317" s="1332"/>
      <c r="J317" s="1332"/>
      <c r="K317" s="1332"/>
      <c r="L317" s="1332"/>
      <c r="M317" s="1507"/>
      <c r="N317" s="1502"/>
      <c r="O317" s="1332"/>
      <c r="P317" s="1331"/>
      <c r="Q317" s="1331"/>
      <c r="R317" s="1331"/>
      <c r="S317" s="1331"/>
      <c r="T317" s="1331"/>
      <c r="U317" s="1331"/>
      <c r="V317" s="1331"/>
      <c r="W317" s="1334"/>
      <c r="X317" s="1509"/>
      <c r="Y317" s="1331"/>
      <c r="Z317" s="1331"/>
      <c r="AA317" s="1331"/>
      <c r="AB317" s="1331"/>
      <c r="AC317" s="1331"/>
      <c r="AD317" s="1331"/>
      <c r="AE317" s="1331"/>
      <c r="AF317" s="1331"/>
      <c r="AG317" s="1331"/>
      <c r="AH317" s="1334"/>
      <c r="AI317" s="1509"/>
      <c r="AJ317" s="1331"/>
      <c r="AK317" s="1331"/>
      <c r="AL317" s="1331"/>
      <c r="AM317" s="1331"/>
      <c r="AN317" s="1331"/>
      <c r="AO317" s="1331"/>
      <c r="AP317" s="1331"/>
      <c r="AQ317" s="1331"/>
      <c r="AR317" s="1331">
        <v>36950439</v>
      </c>
      <c r="AS317" s="1331"/>
      <c r="AT317" s="1331"/>
      <c r="AU317" s="1334"/>
    </row>
    <row r="318" spans="1:47" ht="37.5" customHeight="1" x14ac:dyDescent="0.2">
      <c r="A318" s="1546" t="s">
        <v>3315</v>
      </c>
      <c r="B318" s="1490" t="s">
        <v>3316</v>
      </c>
      <c r="C318" s="1474" t="s">
        <v>3151</v>
      </c>
      <c r="D318" s="1331"/>
      <c r="E318" s="1331"/>
      <c r="F318" s="1331"/>
      <c r="G318" s="1331"/>
      <c r="H318" s="1332"/>
      <c r="I318" s="1332"/>
      <c r="J318" s="1332"/>
      <c r="K318" s="1332"/>
      <c r="L318" s="1332"/>
      <c r="M318" s="1507"/>
      <c r="N318" s="1502"/>
      <c r="O318" s="1332"/>
      <c r="P318" s="1331"/>
      <c r="Q318" s="1331"/>
      <c r="R318" s="1331"/>
      <c r="S318" s="1331"/>
      <c r="T318" s="1331"/>
      <c r="U318" s="1331"/>
      <c r="V318" s="1331"/>
      <c r="W318" s="1334"/>
      <c r="X318" s="1509"/>
      <c r="Y318" s="1331"/>
      <c r="Z318" s="1331"/>
      <c r="AA318" s="1331"/>
      <c r="AB318" s="1331"/>
      <c r="AC318" s="1331"/>
      <c r="AD318" s="1331"/>
      <c r="AE318" s="1331"/>
      <c r="AF318" s="1331"/>
      <c r="AG318" s="1331"/>
      <c r="AH318" s="1334"/>
      <c r="AI318" s="1509"/>
      <c r="AJ318" s="1331"/>
      <c r="AK318" s="1331"/>
      <c r="AL318" s="1331"/>
      <c r="AM318" s="1331"/>
      <c r="AN318" s="1331"/>
      <c r="AO318" s="1331"/>
      <c r="AP318" s="1331">
        <v>511412</v>
      </c>
      <c r="AQ318" s="1331"/>
      <c r="AR318" s="1331"/>
      <c r="AS318" s="1331"/>
      <c r="AT318" s="1331"/>
      <c r="AU318" s="1334"/>
    </row>
    <row r="319" spans="1:47" ht="46.5" customHeight="1" x14ac:dyDescent="0.2">
      <c r="A319" s="1546" t="s">
        <v>3317</v>
      </c>
      <c r="B319" s="1490" t="s">
        <v>3318</v>
      </c>
      <c r="C319" s="1474" t="s">
        <v>3319</v>
      </c>
      <c r="D319" s="1331"/>
      <c r="E319" s="1331"/>
      <c r="F319" s="1331"/>
      <c r="G319" s="1331"/>
      <c r="H319" s="1332"/>
      <c r="I319" s="1332"/>
      <c r="J319" s="1332"/>
      <c r="K319" s="1332"/>
      <c r="L319" s="1332"/>
      <c r="M319" s="1507"/>
      <c r="N319" s="1502"/>
      <c r="O319" s="1332"/>
      <c r="P319" s="1331"/>
      <c r="Q319" s="1331"/>
      <c r="R319" s="1331"/>
      <c r="S319" s="1331"/>
      <c r="T319" s="1331"/>
      <c r="U319" s="1331"/>
      <c r="V319" s="1331"/>
      <c r="W319" s="1334">
        <v>2332695</v>
      </c>
      <c r="X319" s="1509"/>
      <c r="Y319" s="1331"/>
      <c r="Z319" s="1331"/>
      <c r="AA319" s="1331"/>
      <c r="AB319" s="1331"/>
      <c r="AC319" s="1331"/>
      <c r="AD319" s="1331"/>
      <c r="AE319" s="1331"/>
      <c r="AF319" s="1331"/>
      <c r="AG319" s="1331"/>
      <c r="AH319" s="1334"/>
      <c r="AI319" s="1509"/>
      <c r="AJ319" s="1331"/>
      <c r="AK319" s="1331"/>
      <c r="AL319" s="1331"/>
      <c r="AM319" s="1331"/>
      <c r="AN319" s="1331"/>
      <c r="AO319" s="1331"/>
      <c r="AP319" s="1331"/>
      <c r="AQ319" s="1331"/>
      <c r="AR319" s="1331"/>
      <c r="AS319" s="1331"/>
      <c r="AT319" s="1331"/>
      <c r="AU319" s="1334"/>
    </row>
    <row r="320" spans="1:47" ht="46.5" customHeight="1" x14ac:dyDescent="0.2">
      <c r="A320" s="1546" t="s">
        <v>3013</v>
      </c>
      <c r="B320" s="1490" t="s">
        <v>3322</v>
      </c>
      <c r="C320" s="1474" t="s">
        <v>3323</v>
      </c>
      <c r="D320" s="1331"/>
      <c r="E320" s="1331"/>
      <c r="F320" s="1331"/>
      <c r="G320" s="1331"/>
      <c r="H320" s="1332"/>
      <c r="I320" s="1332"/>
      <c r="J320" s="1332"/>
      <c r="K320" s="1332"/>
      <c r="L320" s="1332"/>
      <c r="M320" s="1507"/>
      <c r="N320" s="1502"/>
      <c r="O320" s="1332"/>
      <c r="P320" s="1331"/>
      <c r="Q320" s="1331"/>
      <c r="R320" s="1331"/>
      <c r="S320" s="1331"/>
      <c r="T320" s="1331"/>
      <c r="U320" s="1331"/>
      <c r="V320" s="1331"/>
      <c r="W320" s="1334">
        <v>22759508</v>
      </c>
      <c r="X320" s="1509"/>
      <c r="Y320" s="1331"/>
      <c r="Z320" s="1331"/>
      <c r="AA320" s="1331"/>
      <c r="AB320" s="1331"/>
      <c r="AC320" s="1331"/>
      <c r="AD320" s="1331"/>
      <c r="AE320" s="1331"/>
      <c r="AF320" s="1331"/>
      <c r="AG320" s="1331"/>
      <c r="AH320" s="1334"/>
      <c r="AI320" s="1509"/>
      <c r="AJ320" s="1331"/>
      <c r="AK320" s="1331"/>
      <c r="AL320" s="1331"/>
      <c r="AM320" s="1331"/>
      <c r="AN320" s="1331"/>
      <c r="AO320" s="1331"/>
      <c r="AP320" s="1331"/>
      <c r="AQ320" s="1331"/>
      <c r="AR320" s="1331"/>
      <c r="AS320" s="1331"/>
      <c r="AT320" s="1331"/>
      <c r="AU320" s="1334"/>
    </row>
    <row r="321" spans="1:47" ht="55.5" customHeight="1" x14ac:dyDescent="0.2">
      <c r="A321" s="1546" t="s">
        <v>3019</v>
      </c>
      <c r="B321" s="1490" t="s">
        <v>3328</v>
      </c>
      <c r="C321" s="1474" t="s">
        <v>3329</v>
      </c>
      <c r="D321" s="1331"/>
      <c r="E321" s="1331"/>
      <c r="F321" s="1331"/>
      <c r="G321" s="1331"/>
      <c r="H321" s="1332"/>
      <c r="I321" s="1332"/>
      <c r="J321" s="1332"/>
      <c r="K321" s="1332"/>
      <c r="L321" s="1332"/>
      <c r="M321" s="1507"/>
      <c r="N321" s="1502"/>
      <c r="O321" s="1332"/>
      <c r="P321" s="1331"/>
      <c r="Q321" s="1331"/>
      <c r="R321" s="1331"/>
      <c r="S321" s="1331"/>
      <c r="T321" s="1331"/>
      <c r="U321" s="1331"/>
      <c r="V321" s="1331"/>
      <c r="W321" s="1334"/>
      <c r="X321" s="1509"/>
      <c r="Y321" s="1331"/>
      <c r="Z321" s="1331"/>
      <c r="AA321" s="1331"/>
      <c r="AB321" s="1331"/>
      <c r="AC321" s="1331"/>
      <c r="AD321" s="1331"/>
      <c r="AE321" s="1331"/>
      <c r="AF321" s="1331"/>
      <c r="AG321" s="1331"/>
      <c r="AH321" s="1334"/>
      <c r="AI321" s="1509"/>
      <c r="AJ321" s="1331"/>
      <c r="AK321" s="1331"/>
      <c r="AL321" s="1331"/>
      <c r="AM321" s="1331">
        <v>-12570428</v>
      </c>
      <c r="AN321" s="1331"/>
      <c r="AO321" s="1331"/>
      <c r="AP321" s="1331"/>
      <c r="AQ321" s="1331"/>
      <c r="AR321" s="1331"/>
      <c r="AS321" s="1331"/>
      <c r="AT321" s="1331"/>
      <c r="AU321" s="1334"/>
    </row>
    <row r="322" spans="1:47" ht="43.5" customHeight="1" x14ac:dyDescent="0.2">
      <c r="A322" s="1546" t="s">
        <v>3021</v>
      </c>
      <c r="B322" s="1490" t="s">
        <v>3330</v>
      </c>
      <c r="C322" s="1474" t="s">
        <v>3331</v>
      </c>
      <c r="D322" s="1331"/>
      <c r="E322" s="1331"/>
      <c r="F322" s="1331"/>
      <c r="G322" s="1331"/>
      <c r="H322" s="1332"/>
      <c r="I322" s="1332"/>
      <c r="J322" s="1332"/>
      <c r="K322" s="1332"/>
      <c r="L322" s="1332"/>
      <c r="M322" s="1507"/>
      <c r="N322" s="1502"/>
      <c r="O322" s="1332"/>
      <c r="P322" s="1331">
        <v>-211040</v>
      </c>
      <c r="Q322" s="1331"/>
      <c r="R322" s="1331"/>
      <c r="S322" s="1331"/>
      <c r="T322" s="1331"/>
      <c r="U322" s="1331"/>
      <c r="V322" s="1331"/>
      <c r="W322" s="1334"/>
      <c r="X322" s="1509"/>
      <c r="Y322" s="1331"/>
      <c r="Z322" s="1331"/>
      <c r="AA322" s="1331"/>
      <c r="AB322" s="1331"/>
      <c r="AC322" s="1331"/>
      <c r="AD322" s="1331"/>
      <c r="AE322" s="1331"/>
      <c r="AF322" s="1331"/>
      <c r="AG322" s="1331"/>
      <c r="AH322" s="1334"/>
      <c r="AI322" s="1509"/>
      <c r="AJ322" s="1331"/>
      <c r="AK322" s="1331"/>
      <c r="AL322" s="1331"/>
      <c r="AM322" s="1331"/>
      <c r="AN322" s="1331"/>
      <c r="AO322" s="1331"/>
      <c r="AP322" s="1331"/>
      <c r="AQ322" s="1331"/>
      <c r="AR322" s="1331"/>
      <c r="AS322" s="1331"/>
      <c r="AT322" s="1331"/>
      <c r="AU322" s="1334"/>
    </row>
    <row r="323" spans="1:47" ht="38.25" customHeight="1" x14ac:dyDescent="0.2">
      <c r="A323" s="1546" t="s">
        <v>3023</v>
      </c>
      <c r="B323" s="1490" t="s">
        <v>188</v>
      </c>
      <c r="C323" s="1474" t="s">
        <v>3355</v>
      </c>
      <c r="D323" s="1331"/>
      <c r="E323" s="1331"/>
      <c r="F323" s="1331"/>
      <c r="G323" s="1331"/>
      <c r="H323" s="1332"/>
      <c r="I323" s="1332"/>
      <c r="J323" s="1332"/>
      <c r="K323" s="1332"/>
      <c r="L323" s="1332"/>
      <c r="M323" s="1507"/>
      <c r="N323" s="1502"/>
      <c r="O323" s="1332"/>
      <c r="P323" s="1331"/>
      <c r="Q323" s="1331"/>
      <c r="R323" s="1331"/>
      <c r="S323" s="1331"/>
      <c r="T323" s="1331"/>
      <c r="U323" s="1331"/>
      <c r="V323" s="1331"/>
      <c r="W323" s="1334"/>
      <c r="X323" s="1509"/>
      <c r="Y323" s="1331"/>
      <c r="Z323" s="1331"/>
      <c r="AA323" s="1331"/>
      <c r="AB323" s="1331"/>
      <c r="AC323" s="1331"/>
      <c r="AD323" s="1331"/>
      <c r="AE323" s="1331"/>
      <c r="AF323" s="1331"/>
      <c r="AG323" s="1331"/>
      <c r="AH323" s="1334"/>
      <c r="AI323" s="1509"/>
      <c r="AJ323" s="1331"/>
      <c r="AK323" s="1331"/>
      <c r="AL323" s="1331"/>
      <c r="AM323" s="1331"/>
      <c r="AN323" s="1331"/>
      <c r="AO323" s="1331"/>
      <c r="AP323" s="1331">
        <v>-120000</v>
      </c>
      <c r="AQ323" s="1331"/>
      <c r="AR323" s="1331"/>
      <c r="AS323" s="1331"/>
      <c r="AT323" s="1331"/>
      <c r="AU323" s="1334"/>
    </row>
    <row r="324" spans="1:47" ht="37.5" customHeight="1" x14ac:dyDescent="0.2">
      <c r="A324" s="1546" t="s">
        <v>3025</v>
      </c>
      <c r="B324" s="1490" t="s">
        <v>189</v>
      </c>
      <c r="C324" s="1474" t="s">
        <v>3356</v>
      </c>
      <c r="D324" s="1331"/>
      <c r="E324" s="1331"/>
      <c r="F324" s="1331"/>
      <c r="G324" s="1331"/>
      <c r="H324" s="1332"/>
      <c r="I324" s="1332"/>
      <c r="J324" s="1332"/>
      <c r="K324" s="1332"/>
      <c r="L324" s="1332"/>
      <c r="M324" s="1507"/>
      <c r="N324" s="1502"/>
      <c r="O324" s="1332"/>
      <c r="P324" s="1331"/>
      <c r="Q324" s="1331"/>
      <c r="R324" s="1331"/>
      <c r="S324" s="1331"/>
      <c r="T324" s="1331"/>
      <c r="U324" s="1331"/>
      <c r="V324" s="1331"/>
      <c r="W324" s="1334"/>
      <c r="X324" s="1509"/>
      <c r="Y324" s="1331"/>
      <c r="Z324" s="1331"/>
      <c r="AA324" s="1331"/>
      <c r="AB324" s="1331"/>
      <c r="AC324" s="1331"/>
      <c r="AD324" s="1331"/>
      <c r="AE324" s="1331"/>
      <c r="AF324" s="1331"/>
      <c r="AG324" s="1331"/>
      <c r="AH324" s="1334"/>
      <c r="AI324" s="1509"/>
      <c r="AJ324" s="1331"/>
      <c r="AK324" s="1331"/>
      <c r="AL324" s="1331"/>
      <c r="AM324" s="1331"/>
      <c r="AN324" s="1331"/>
      <c r="AO324" s="1331"/>
      <c r="AP324" s="1331">
        <v>-8636000</v>
      </c>
      <c r="AQ324" s="1331"/>
      <c r="AR324" s="1331"/>
      <c r="AS324" s="1331"/>
      <c r="AT324" s="1331"/>
      <c r="AU324" s="1334"/>
    </row>
    <row r="325" spans="1:47" ht="55.5" customHeight="1" x14ac:dyDescent="0.2">
      <c r="A325" s="1546" t="s">
        <v>3027</v>
      </c>
      <c r="B325" s="1490" t="s">
        <v>190</v>
      </c>
      <c r="C325" s="1474" t="s">
        <v>3357</v>
      </c>
      <c r="D325" s="1331"/>
      <c r="E325" s="1331"/>
      <c r="F325" s="1331"/>
      <c r="G325" s="1331"/>
      <c r="H325" s="1332"/>
      <c r="I325" s="1332"/>
      <c r="J325" s="1332"/>
      <c r="K325" s="1332"/>
      <c r="L325" s="1332"/>
      <c r="M325" s="1507"/>
      <c r="N325" s="1502"/>
      <c r="O325" s="1332"/>
      <c r="P325" s="1331">
        <v>-2095500</v>
      </c>
      <c r="Q325" s="1331"/>
      <c r="R325" s="1331"/>
      <c r="S325" s="1331"/>
      <c r="T325" s="1331"/>
      <c r="U325" s="1331"/>
      <c r="V325" s="1331"/>
      <c r="W325" s="1334"/>
      <c r="X325" s="1509"/>
      <c r="Y325" s="1331"/>
      <c r="Z325" s="1331"/>
      <c r="AA325" s="1331"/>
      <c r="AB325" s="1331"/>
      <c r="AC325" s="1331"/>
      <c r="AD325" s="1331"/>
      <c r="AE325" s="1331"/>
      <c r="AF325" s="1331"/>
      <c r="AG325" s="1331"/>
      <c r="AH325" s="1334"/>
      <c r="AI325" s="1509"/>
      <c r="AJ325" s="1331"/>
      <c r="AK325" s="1331"/>
      <c r="AL325" s="1331"/>
      <c r="AM325" s="1331"/>
      <c r="AN325" s="1331"/>
      <c r="AO325" s="1331"/>
      <c r="AP325" s="1331"/>
      <c r="AQ325" s="1331"/>
      <c r="AR325" s="1331"/>
      <c r="AS325" s="1331"/>
      <c r="AT325" s="1331"/>
      <c r="AU325" s="1334"/>
    </row>
    <row r="326" spans="1:47" ht="55.5" customHeight="1" x14ac:dyDescent="0.2">
      <c r="A326" s="1546" t="s">
        <v>3038</v>
      </c>
      <c r="B326" s="1490" t="s">
        <v>191</v>
      </c>
      <c r="C326" s="1474" t="s">
        <v>3358</v>
      </c>
      <c r="D326" s="1331"/>
      <c r="E326" s="1331"/>
      <c r="F326" s="1331"/>
      <c r="G326" s="1331"/>
      <c r="H326" s="1332"/>
      <c r="I326" s="1332"/>
      <c r="J326" s="1332"/>
      <c r="K326" s="1332"/>
      <c r="L326" s="1332"/>
      <c r="M326" s="1507"/>
      <c r="N326" s="1502"/>
      <c r="O326" s="1332"/>
      <c r="P326" s="1331">
        <v>-482873</v>
      </c>
      <c r="Q326" s="1331"/>
      <c r="R326" s="1331"/>
      <c r="S326" s="1331"/>
      <c r="T326" s="1331"/>
      <c r="U326" s="1331"/>
      <c r="V326" s="1331"/>
      <c r="W326" s="1334"/>
      <c r="X326" s="1509"/>
      <c r="Y326" s="1331"/>
      <c r="Z326" s="1331"/>
      <c r="AA326" s="1331"/>
      <c r="AB326" s="1331"/>
      <c r="AC326" s="1331"/>
      <c r="AD326" s="1331"/>
      <c r="AE326" s="1331"/>
      <c r="AF326" s="1331"/>
      <c r="AG326" s="1331"/>
      <c r="AH326" s="1334"/>
      <c r="AI326" s="1509"/>
      <c r="AJ326" s="1331"/>
      <c r="AK326" s="1331"/>
      <c r="AL326" s="1331"/>
      <c r="AM326" s="1331"/>
      <c r="AN326" s="1331"/>
      <c r="AO326" s="1331"/>
      <c r="AP326" s="1331"/>
      <c r="AQ326" s="1331"/>
      <c r="AR326" s="1331"/>
      <c r="AS326" s="1331"/>
      <c r="AT326" s="1331"/>
      <c r="AU326" s="1334"/>
    </row>
    <row r="327" spans="1:47" ht="46.5" customHeight="1" x14ac:dyDescent="0.2">
      <c r="A327" s="1546" t="s">
        <v>3041</v>
      </c>
      <c r="B327" s="1490" t="s">
        <v>192</v>
      </c>
      <c r="C327" s="1474" t="s">
        <v>3360</v>
      </c>
      <c r="D327" s="1331"/>
      <c r="E327" s="1331"/>
      <c r="F327" s="1331"/>
      <c r="G327" s="1331"/>
      <c r="H327" s="1332"/>
      <c r="I327" s="1332"/>
      <c r="J327" s="1332"/>
      <c r="K327" s="1332"/>
      <c r="L327" s="1332"/>
      <c r="M327" s="1507"/>
      <c r="N327" s="1502"/>
      <c r="O327" s="1332"/>
      <c r="P327" s="1331"/>
      <c r="Q327" s="1331"/>
      <c r="R327" s="1331"/>
      <c r="S327" s="1331"/>
      <c r="T327" s="1331"/>
      <c r="U327" s="1331"/>
      <c r="V327" s="1331"/>
      <c r="W327" s="1334"/>
      <c r="X327" s="1509"/>
      <c r="Y327" s="1331"/>
      <c r="Z327" s="1331"/>
      <c r="AA327" s="1331"/>
      <c r="AB327" s="1331"/>
      <c r="AC327" s="1331"/>
      <c r="AD327" s="1331"/>
      <c r="AE327" s="1331"/>
      <c r="AF327" s="1331"/>
      <c r="AG327" s="1331"/>
      <c r="AH327" s="1334"/>
      <c r="AI327" s="1509"/>
      <c r="AJ327" s="1331"/>
      <c r="AK327" s="1331"/>
      <c r="AL327" s="1331"/>
      <c r="AM327" s="1331"/>
      <c r="AN327" s="1331"/>
      <c r="AO327" s="1331"/>
      <c r="AP327" s="1331">
        <v>-457200</v>
      </c>
      <c r="AQ327" s="1331"/>
      <c r="AR327" s="1331"/>
      <c r="AS327" s="1331"/>
      <c r="AT327" s="1331"/>
      <c r="AU327" s="1334"/>
    </row>
    <row r="328" spans="1:47" ht="42" customHeight="1" x14ac:dyDescent="0.2">
      <c r="A328" s="1546" t="s">
        <v>3043</v>
      </c>
      <c r="B328" s="1490" t="s">
        <v>193</v>
      </c>
      <c r="C328" s="1474" t="s">
        <v>3361</v>
      </c>
      <c r="D328" s="1331"/>
      <c r="E328" s="1331"/>
      <c r="F328" s="1331"/>
      <c r="G328" s="1331"/>
      <c r="H328" s="1332"/>
      <c r="I328" s="1332"/>
      <c r="J328" s="1332"/>
      <c r="K328" s="1332"/>
      <c r="L328" s="1332"/>
      <c r="M328" s="1507"/>
      <c r="N328" s="1502"/>
      <c r="O328" s="1332"/>
      <c r="P328" s="1331"/>
      <c r="Q328" s="1331"/>
      <c r="R328" s="1331"/>
      <c r="S328" s="1331"/>
      <c r="T328" s="1331"/>
      <c r="U328" s="1331"/>
      <c r="V328" s="1331"/>
      <c r="W328" s="1334"/>
      <c r="X328" s="1509"/>
      <c r="Y328" s="1331"/>
      <c r="Z328" s="1331"/>
      <c r="AA328" s="1331"/>
      <c r="AB328" s="1331"/>
      <c r="AC328" s="1331"/>
      <c r="AD328" s="1331"/>
      <c r="AE328" s="1331"/>
      <c r="AF328" s="1331"/>
      <c r="AG328" s="1331"/>
      <c r="AH328" s="1334"/>
      <c r="AI328" s="1509"/>
      <c r="AJ328" s="1331"/>
      <c r="AK328" s="1331"/>
      <c r="AL328" s="1331"/>
      <c r="AM328" s="1331"/>
      <c r="AN328" s="1331"/>
      <c r="AO328" s="1331"/>
      <c r="AP328" s="1331">
        <v>-740000</v>
      </c>
      <c r="AQ328" s="1331"/>
      <c r="AR328" s="1331"/>
      <c r="AS328" s="1331"/>
      <c r="AT328" s="1331"/>
      <c r="AU328" s="1334"/>
    </row>
    <row r="329" spans="1:47" ht="47.25" customHeight="1" x14ac:dyDescent="0.2">
      <c r="A329" s="1546" t="s">
        <v>3045</v>
      </c>
      <c r="B329" s="1490" t="s">
        <v>194</v>
      </c>
      <c r="C329" s="1474" t="s">
        <v>3362</v>
      </c>
      <c r="D329" s="1331"/>
      <c r="E329" s="1331"/>
      <c r="F329" s="1331"/>
      <c r="G329" s="1331"/>
      <c r="H329" s="1332"/>
      <c r="I329" s="1332"/>
      <c r="J329" s="1332"/>
      <c r="K329" s="1332"/>
      <c r="L329" s="1332"/>
      <c r="M329" s="1507"/>
      <c r="N329" s="1502"/>
      <c r="O329" s="1332"/>
      <c r="P329" s="1331">
        <v>-457200</v>
      </c>
      <c r="Q329" s="1331"/>
      <c r="R329" s="1331"/>
      <c r="S329" s="1331"/>
      <c r="T329" s="1331"/>
      <c r="U329" s="1331"/>
      <c r="V329" s="1331"/>
      <c r="W329" s="1334"/>
      <c r="X329" s="1509"/>
      <c r="Y329" s="1331"/>
      <c r="Z329" s="1331"/>
      <c r="AA329" s="1331"/>
      <c r="AB329" s="1331"/>
      <c r="AC329" s="1331"/>
      <c r="AD329" s="1331"/>
      <c r="AE329" s="1331"/>
      <c r="AF329" s="1331"/>
      <c r="AG329" s="1331"/>
      <c r="AH329" s="1334"/>
      <c r="AI329" s="1509"/>
      <c r="AJ329" s="1331"/>
      <c r="AK329" s="1331"/>
      <c r="AL329" s="1331"/>
      <c r="AM329" s="1331"/>
      <c r="AN329" s="1331"/>
      <c r="AO329" s="1331"/>
      <c r="AP329" s="1331"/>
      <c r="AQ329" s="1331"/>
      <c r="AR329" s="1331"/>
      <c r="AS329" s="1331"/>
      <c r="AT329" s="1331"/>
      <c r="AU329" s="1334"/>
    </row>
    <row r="330" spans="1:47" ht="42.75" customHeight="1" x14ac:dyDescent="0.2">
      <c r="A330" s="1546" t="s">
        <v>3047</v>
      </c>
      <c r="B330" s="1490" t="s">
        <v>195</v>
      </c>
      <c r="C330" s="1474" t="s">
        <v>3364</v>
      </c>
      <c r="D330" s="1331"/>
      <c r="E330" s="1331"/>
      <c r="F330" s="1331"/>
      <c r="G330" s="1331"/>
      <c r="H330" s="1332"/>
      <c r="I330" s="1332"/>
      <c r="J330" s="1332"/>
      <c r="K330" s="1332"/>
      <c r="L330" s="1332"/>
      <c r="M330" s="1507"/>
      <c r="N330" s="1502"/>
      <c r="O330" s="1332"/>
      <c r="P330" s="1331"/>
      <c r="Q330" s="1331"/>
      <c r="R330" s="1331"/>
      <c r="S330" s="1331"/>
      <c r="T330" s="1331"/>
      <c r="U330" s="1331"/>
      <c r="V330" s="1331"/>
      <c r="W330" s="1334"/>
      <c r="X330" s="1509"/>
      <c r="Y330" s="1331"/>
      <c r="Z330" s="1331"/>
      <c r="AA330" s="1331"/>
      <c r="AB330" s="1331"/>
      <c r="AC330" s="1331"/>
      <c r="AD330" s="1331"/>
      <c r="AE330" s="1331"/>
      <c r="AF330" s="1331"/>
      <c r="AG330" s="1331"/>
      <c r="AH330" s="1334"/>
      <c r="AI330" s="1509"/>
      <c r="AJ330" s="1331"/>
      <c r="AK330" s="1331"/>
      <c r="AL330" s="1331"/>
      <c r="AM330" s="1331"/>
      <c r="AN330" s="1331"/>
      <c r="AO330" s="1331"/>
      <c r="AP330" s="1331">
        <v>-285750</v>
      </c>
      <c r="AQ330" s="1331"/>
      <c r="AR330" s="1331"/>
      <c r="AS330" s="1331"/>
      <c r="AT330" s="1331"/>
      <c r="AU330" s="1334"/>
    </row>
    <row r="331" spans="1:47" ht="38.25" customHeight="1" x14ac:dyDescent="0.2">
      <c r="A331" s="1546" t="s">
        <v>3049</v>
      </c>
      <c r="B331" s="1490" t="s">
        <v>196</v>
      </c>
      <c r="C331" s="1474" t="s">
        <v>3366</v>
      </c>
      <c r="D331" s="1331"/>
      <c r="E331" s="1331"/>
      <c r="F331" s="1331"/>
      <c r="G331" s="1331"/>
      <c r="H331" s="1332"/>
      <c r="I331" s="1332"/>
      <c r="J331" s="1332"/>
      <c r="K331" s="1332"/>
      <c r="L331" s="1332"/>
      <c r="M331" s="1507"/>
      <c r="N331" s="1502"/>
      <c r="O331" s="1332"/>
      <c r="P331" s="1331"/>
      <c r="Q331" s="1331"/>
      <c r="R331" s="1331"/>
      <c r="S331" s="1331"/>
      <c r="T331" s="1331"/>
      <c r="U331" s="1331"/>
      <c r="V331" s="1331"/>
      <c r="W331" s="1334"/>
      <c r="X331" s="1509"/>
      <c r="Y331" s="1331"/>
      <c r="Z331" s="1331"/>
      <c r="AA331" s="1331"/>
      <c r="AB331" s="1331"/>
      <c r="AC331" s="1331"/>
      <c r="AD331" s="1331"/>
      <c r="AE331" s="1331"/>
      <c r="AF331" s="1331"/>
      <c r="AG331" s="1331"/>
      <c r="AH331" s="1334"/>
      <c r="AI331" s="1509"/>
      <c r="AJ331" s="1331"/>
      <c r="AK331" s="1331"/>
      <c r="AL331" s="1331"/>
      <c r="AM331" s="1331"/>
      <c r="AN331" s="1331"/>
      <c r="AO331" s="1331"/>
      <c r="AP331" s="1331"/>
      <c r="AQ331" s="1331"/>
      <c r="AR331" s="1331">
        <v>-4064000</v>
      </c>
      <c r="AS331" s="1331"/>
      <c r="AT331" s="1331"/>
      <c r="AU331" s="1334"/>
    </row>
    <row r="332" spans="1:47" ht="46.5" customHeight="1" x14ac:dyDescent="0.2">
      <c r="A332" s="1546" t="s">
        <v>3056</v>
      </c>
      <c r="B332" s="1490" t="s">
        <v>198</v>
      </c>
      <c r="C332" s="1474" t="s">
        <v>3370</v>
      </c>
      <c r="D332" s="1331"/>
      <c r="E332" s="1331"/>
      <c r="F332" s="1331"/>
      <c r="G332" s="1331"/>
      <c r="H332" s="1332"/>
      <c r="I332" s="1332"/>
      <c r="J332" s="1332"/>
      <c r="K332" s="1332"/>
      <c r="L332" s="1332"/>
      <c r="M332" s="1507"/>
      <c r="N332" s="1502"/>
      <c r="O332" s="1332"/>
      <c r="P332" s="1331"/>
      <c r="Q332" s="1331"/>
      <c r="R332" s="1331"/>
      <c r="S332" s="1331"/>
      <c r="T332" s="1331"/>
      <c r="U332" s="1331"/>
      <c r="V332" s="1331"/>
      <c r="W332" s="1334"/>
      <c r="X332" s="1509"/>
      <c r="Y332" s="1331"/>
      <c r="Z332" s="1331"/>
      <c r="AA332" s="1331"/>
      <c r="AB332" s="1331"/>
      <c r="AC332" s="1331"/>
      <c r="AD332" s="1331"/>
      <c r="AE332" s="1331"/>
      <c r="AF332" s="1331"/>
      <c r="AG332" s="1331"/>
      <c r="AH332" s="1334"/>
      <c r="AI332" s="1509"/>
      <c r="AJ332" s="1331"/>
      <c r="AK332" s="1331"/>
      <c r="AL332" s="1331"/>
      <c r="AM332" s="1331">
        <v>-6350000</v>
      </c>
      <c r="AN332" s="1331"/>
      <c r="AO332" s="1331"/>
      <c r="AP332" s="1331"/>
      <c r="AQ332" s="1331"/>
      <c r="AR332" s="1331"/>
      <c r="AS332" s="1331"/>
      <c r="AT332" s="1331"/>
      <c r="AU332" s="1334"/>
    </row>
    <row r="333" spans="1:47" ht="55.5" customHeight="1" x14ac:dyDescent="0.2">
      <c r="A333" s="1546" t="s">
        <v>3059</v>
      </c>
      <c r="B333" s="1490" t="s">
        <v>225</v>
      </c>
      <c r="C333" s="1474" t="s">
        <v>3372</v>
      </c>
      <c r="D333" s="1331"/>
      <c r="E333" s="1331"/>
      <c r="F333" s="1331"/>
      <c r="G333" s="1331"/>
      <c r="H333" s="1332"/>
      <c r="I333" s="1332"/>
      <c r="J333" s="1332"/>
      <c r="K333" s="1332"/>
      <c r="L333" s="1332"/>
      <c r="M333" s="1507"/>
      <c r="N333" s="1502"/>
      <c r="O333" s="1332"/>
      <c r="P333" s="1331">
        <v>-2501900</v>
      </c>
      <c r="Q333" s="1331"/>
      <c r="R333" s="1331"/>
      <c r="S333" s="1331"/>
      <c r="T333" s="1331"/>
      <c r="U333" s="1331"/>
      <c r="V333" s="1331"/>
      <c r="W333" s="1334"/>
      <c r="X333" s="1509"/>
      <c r="Y333" s="1331"/>
      <c r="Z333" s="1331"/>
      <c r="AA333" s="1331"/>
      <c r="AB333" s="1331"/>
      <c r="AC333" s="1331"/>
      <c r="AD333" s="1331"/>
      <c r="AE333" s="1331"/>
      <c r="AF333" s="1331"/>
      <c r="AG333" s="1331"/>
      <c r="AH333" s="1334"/>
      <c r="AI333" s="1509"/>
      <c r="AJ333" s="1331"/>
      <c r="AK333" s="1331"/>
      <c r="AL333" s="1331"/>
      <c r="AM333" s="1331"/>
      <c r="AN333" s="1331"/>
      <c r="AO333" s="1331"/>
      <c r="AP333" s="1331"/>
      <c r="AQ333" s="1331"/>
      <c r="AR333" s="1331"/>
      <c r="AS333" s="1331"/>
      <c r="AT333" s="1331"/>
      <c r="AU333" s="1334"/>
    </row>
    <row r="334" spans="1:47" ht="51.75" customHeight="1" x14ac:dyDescent="0.2">
      <c r="A334" s="1546" t="s">
        <v>3064</v>
      </c>
      <c r="B334" s="1490" t="s">
        <v>228</v>
      </c>
      <c r="C334" s="1474" t="s">
        <v>3375</v>
      </c>
      <c r="D334" s="1331"/>
      <c r="E334" s="1331"/>
      <c r="F334" s="1331"/>
      <c r="G334" s="1331"/>
      <c r="H334" s="1332"/>
      <c r="I334" s="1332"/>
      <c r="J334" s="1332"/>
      <c r="K334" s="1332"/>
      <c r="L334" s="1332"/>
      <c r="M334" s="1507"/>
      <c r="N334" s="1502"/>
      <c r="O334" s="1332"/>
      <c r="P334" s="1331"/>
      <c r="Q334" s="1331"/>
      <c r="R334" s="1331"/>
      <c r="S334" s="1331"/>
      <c r="T334" s="1331"/>
      <c r="U334" s="1331"/>
      <c r="V334" s="1331"/>
      <c r="W334" s="1334">
        <v>-4448858</v>
      </c>
      <c r="X334" s="1509"/>
      <c r="Y334" s="1331"/>
      <c r="Z334" s="1331"/>
      <c r="AA334" s="1331"/>
      <c r="AB334" s="1331"/>
      <c r="AC334" s="1331"/>
      <c r="AD334" s="1331"/>
      <c r="AE334" s="1331"/>
      <c r="AF334" s="1331"/>
      <c r="AG334" s="1331"/>
      <c r="AH334" s="1334"/>
      <c r="AI334" s="1509"/>
      <c r="AJ334" s="1331"/>
      <c r="AK334" s="1331"/>
      <c r="AL334" s="1331"/>
      <c r="AM334" s="1331"/>
      <c r="AN334" s="1331"/>
      <c r="AO334" s="1331"/>
      <c r="AP334" s="1331"/>
      <c r="AQ334" s="1331"/>
      <c r="AR334" s="1331"/>
      <c r="AS334" s="1331"/>
      <c r="AT334" s="1331"/>
      <c r="AU334" s="1334"/>
    </row>
    <row r="335" spans="1:47" ht="43.5" customHeight="1" x14ac:dyDescent="0.2">
      <c r="A335" s="1546" t="s">
        <v>3071</v>
      </c>
      <c r="B335" s="1490" t="s">
        <v>232</v>
      </c>
      <c r="C335" s="1474" t="s">
        <v>3382</v>
      </c>
      <c r="D335" s="1331"/>
      <c r="E335" s="1331"/>
      <c r="F335" s="1331"/>
      <c r="G335" s="1331"/>
      <c r="H335" s="1332"/>
      <c r="I335" s="1332"/>
      <c r="J335" s="1332"/>
      <c r="K335" s="1332"/>
      <c r="L335" s="1332"/>
      <c r="M335" s="1507"/>
      <c r="N335" s="1502"/>
      <c r="O335" s="1332"/>
      <c r="P335" s="1331">
        <v>-1717265</v>
      </c>
      <c r="Q335" s="1331"/>
      <c r="R335" s="1331"/>
      <c r="S335" s="1331"/>
      <c r="T335" s="1331"/>
      <c r="U335" s="1331"/>
      <c r="V335" s="1331"/>
      <c r="W335" s="1334"/>
      <c r="X335" s="1509"/>
      <c r="Y335" s="1331"/>
      <c r="Z335" s="1331"/>
      <c r="AA335" s="1331"/>
      <c r="AB335" s="1331"/>
      <c r="AC335" s="1331"/>
      <c r="AD335" s="1331"/>
      <c r="AE335" s="1331"/>
      <c r="AF335" s="1331"/>
      <c r="AG335" s="1331"/>
      <c r="AH335" s="1334"/>
      <c r="AI335" s="1509"/>
      <c r="AJ335" s="1331"/>
      <c r="AK335" s="1331"/>
      <c r="AL335" s="1331"/>
      <c r="AM335" s="1331"/>
      <c r="AN335" s="1331"/>
      <c r="AO335" s="1331"/>
      <c r="AP335" s="1331"/>
      <c r="AQ335" s="1331"/>
      <c r="AR335" s="1331"/>
      <c r="AS335" s="1331"/>
      <c r="AT335" s="1331"/>
      <c r="AU335" s="1334"/>
    </row>
    <row r="336" spans="1:47" ht="43.5" customHeight="1" x14ac:dyDescent="0.2">
      <c r="A336" s="1546">
        <v>545</v>
      </c>
      <c r="B336" s="1490" t="s">
        <v>233</v>
      </c>
      <c r="C336" s="1474" t="s">
        <v>3384</v>
      </c>
      <c r="D336" s="1331"/>
      <c r="E336" s="1331"/>
      <c r="F336" s="1331"/>
      <c r="G336" s="1331"/>
      <c r="H336" s="1332"/>
      <c r="I336" s="1332"/>
      <c r="J336" s="1332"/>
      <c r="K336" s="1332"/>
      <c r="L336" s="1332"/>
      <c r="M336" s="1507"/>
      <c r="N336" s="1502"/>
      <c r="O336" s="1332"/>
      <c r="P336" s="1331"/>
      <c r="Q336" s="1331"/>
      <c r="R336" s="1331"/>
      <c r="S336" s="1331"/>
      <c r="T336" s="1331"/>
      <c r="U336" s="1331"/>
      <c r="V336" s="1331"/>
      <c r="W336" s="1334"/>
      <c r="X336" s="1509"/>
      <c r="Y336" s="1331"/>
      <c r="Z336" s="1331"/>
      <c r="AA336" s="1331"/>
      <c r="AB336" s="1331"/>
      <c r="AC336" s="1331"/>
      <c r="AD336" s="1331"/>
      <c r="AE336" s="1331"/>
      <c r="AF336" s="1331"/>
      <c r="AG336" s="1331"/>
      <c r="AH336" s="1334"/>
      <c r="AI336" s="1509"/>
      <c r="AJ336" s="1331"/>
      <c r="AK336" s="1331"/>
      <c r="AL336" s="1331"/>
      <c r="AM336" s="1331"/>
      <c r="AN336" s="1331"/>
      <c r="AO336" s="1331"/>
      <c r="AP336" s="1331">
        <v>-165100</v>
      </c>
      <c r="AQ336" s="1331"/>
      <c r="AR336" s="1331"/>
      <c r="AS336" s="1331"/>
      <c r="AT336" s="1331"/>
      <c r="AU336" s="1334"/>
    </row>
    <row r="337" spans="1:47" ht="38.25" customHeight="1" x14ac:dyDescent="0.2">
      <c r="A337" s="1546" t="s">
        <v>3081</v>
      </c>
      <c r="B337" s="1490" t="s">
        <v>3386</v>
      </c>
      <c r="C337" s="1474" t="s">
        <v>3387</v>
      </c>
      <c r="D337" s="1331"/>
      <c r="E337" s="1331"/>
      <c r="F337" s="1331"/>
      <c r="G337" s="1331"/>
      <c r="H337" s="1332"/>
      <c r="I337" s="1332"/>
      <c r="J337" s="1332"/>
      <c r="K337" s="1332"/>
      <c r="L337" s="1332"/>
      <c r="M337" s="1507"/>
      <c r="N337" s="1502"/>
      <c r="O337" s="1332"/>
      <c r="P337" s="1331"/>
      <c r="Q337" s="1331"/>
      <c r="R337" s="1331"/>
      <c r="S337" s="1331"/>
      <c r="T337" s="1331"/>
      <c r="U337" s="1331"/>
      <c r="V337" s="1331"/>
      <c r="W337" s="1334"/>
      <c r="X337" s="1509"/>
      <c r="Y337" s="1331"/>
      <c r="Z337" s="1331"/>
      <c r="AA337" s="1331"/>
      <c r="AB337" s="1331"/>
      <c r="AC337" s="1331"/>
      <c r="AD337" s="1331"/>
      <c r="AE337" s="1331"/>
      <c r="AF337" s="1331"/>
      <c r="AG337" s="1331"/>
      <c r="AH337" s="1334"/>
      <c r="AI337" s="1509">
        <v>-1249000</v>
      </c>
      <c r="AJ337" s="1331"/>
      <c r="AK337" s="1331"/>
      <c r="AL337" s="1331"/>
      <c r="AM337" s="1331"/>
      <c r="AN337" s="1331"/>
      <c r="AO337" s="1331"/>
      <c r="AP337" s="1331"/>
      <c r="AQ337" s="1331"/>
      <c r="AR337" s="1331"/>
      <c r="AS337" s="1331"/>
      <c r="AT337" s="1331"/>
      <c r="AU337" s="1334"/>
    </row>
    <row r="338" spans="1:47" ht="42" customHeight="1" x14ac:dyDescent="0.2">
      <c r="A338" s="1546" t="s">
        <v>3084</v>
      </c>
      <c r="B338" s="1490" t="s">
        <v>262</v>
      </c>
      <c r="C338" s="1474" t="s">
        <v>3388</v>
      </c>
      <c r="D338" s="1331"/>
      <c r="E338" s="1331"/>
      <c r="F338" s="1331"/>
      <c r="G338" s="1331"/>
      <c r="H338" s="1332"/>
      <c r="I338" s="1332"/>
      <c r="J338" s="1332"/>
      <c r="K338" s="1332"/>
      <c r="L338" s="1332"/>
      <c r="M338" s="1507"/>
      <c r="N338" s="1502"/>
      <c r="O338" s="1332"/>
      <c r="P338" s="1331"/>
      <c r="Q338" s="1331"/>
      <c r="R338" s="1331"/>
      <c r="S338" s="1331"/>
      <c r="T338" s="1331"/>
      <c r="U338" s="1331"/>
      <c r="V338" s="1331"/>
      <c r="W338" s="1334"/>
      <c r="X338" s="1509"/>
      <c r="Y338" s="1331"/>
      <c r="Z338" s="1331"/>
      <c r="AA338" s="1331"/>
      <c r="AB338" s="1331"/>
      <c r="AC338" s="1331"/>
      <c r="AD338" s="1331"/>
      <c r="AE338" s="1331"/>
      <c r="AF338" s="1331"/>
      <c r="AG338" s="1331"/>
      <c r="AH338" s="1334"/>
      <c r="AI338" s="1509"/>
      <c r="AJ338" s="1331"/>
      <c r="AK338" s="1331"/>
      <c r="AL338" s="1331"/>
      <c r="AM338" s="1331"/>
      <c r="AN338" s="1331"/>
      <c r="AO338" s="1331"/>
      <c r="AP338" s="1331">
        <v>-44450</v>
      </c>
      <c r="AQ338" s="1331"/>
      <c r="AR338" s="1331"/>
      <c r="AS338" s="1331"/>
      <c r="AT338" s="1331"/>
      <c r="AU338" s="1334"/>
    </row>
    <row r="339" spans="1:47" ht="55.5" customHeight="1" x14ac:dyDescent="0.2">
      <c r="A339" s="1546" t="s">
        <v>3095</v>
      </c>
      <c r="B339" s="1490" t="s">
        <v>266</v>
      </c>
      <c r="C339" s="1474" t="s">
        <v>3392</v>
      </c>
      <c r="D339" s="1331"/>
      <c r="E339" s="1331"/>
      <c r="F339" s="1331"/>
      <c r="G339" s="1331"/>
      <c r="H339" s="1332"/>
      <c r="I339" s="1332"/>
      <c r="J339" s="1332"/>
      <c r="K339" s="1332"/>
      <c r="L339" s="1332"/>
      <c r="M339" s="1507"/>
      <c r="N339" s="1502"/>
      <c r="O339" s="1332"/>
      <c r="P339" s="1331"/>
      <c r="Q339" s="1331"/>
      <c r="R339" s="1331"/>
      <c r="S339" s="1331"/>
      <c r="T339" s="1331"/>
      <c r="U339" s="1331"/>
      <c r="V339" s="1331"/>
      <c r="W339" s="1334"/>
      <c r="X339" s="1509"/>
      <c r="Y339" s="1331"/>
      <c r="Z339" s="1331"/>
      <c r="AA339" s="1331"/>
      <c r="AB339" s="1331"/>
      <c r="AC339" s="1331"/>
      <c r="AD339" s="1331"/>
      <c r="AE339" s="1331"/>
      <c r="AF339" s="1331"/>
      <c r="AG339" s="1331"/>
      <c r="AH339" s="1334"/>
      <c r="AI339" s="1509"/>
      <c r="AJ339" s="1331"/>
      <c r="AK339" s="1331"/>
      <c r="AL339" s="1331"/>
      <c r="AM339" s="1331">
        <v>-7344880</v>
      </c>
      <c r="AN339" s="1331"/>
      <c r="AO339" s="1331"/>
      <c r="AP339" s="1331"/>
      <c r="AQ339" s="1331"/>
      <c r="AR339" s="1331"/>
      <c r="AS339" s="1331"/>
      <c r="AT339" s="1331"/>
      <c r="AU339" s="1334"/>
    </row>
    <row r="340" spans="1:47" ht="36" customHeight="1" x14ac:dyDescent="0.2">
      <c r="A340" s="1546" t="s">
        <v>3100</v>
      </c>
      <c r="B340" s="1490" t="s">
        <v>268</v>
      </c>
      <c r="C340" s="1474" t="s">
        <v>3397</v>
      </c>
      <c r="D340" s="1331"/>
      <c r="E340" s="1331"/>
      <c r="F340" s="1331"/>
      <c r="G340" s="1331"/>
      <c r="H340" s="1332"/>
      <c r="I340" s="1332"/>
      <c r="J340" s="1332"/>
      <c r="K340" s="1332"/>
      <c r="L340" s="1332"/>
      <c r="M340" s="1507"/>
      <c r="N340" s="1502"/>
      <c r="O340" s="1332"/>
      <c r="P340" s="1331"/>
      <c r="Q340" s="1331"/>
      <c r="R340" s="1331"/>
      <c r="S340" s="1331"/>
      <c r="T340" s="1331"/>
      <c r="U340" s="1331"/>
      <c r="V340" s="1331"/>
      <c r="W340" s="1334"/>
      <c r="X340" s="1509"/>
      <c r="Y340" s="1331"/>
      <c r="Z340" s="1331"/>
      <c r="AA340" s="1331"/>
      <c r="AB340" s="1331"/>
      <c r="AC340" s="1331"/>
      <c r="AD340" s="1331"/>
      <c r="AE340" s="1331"/>
      <c r="AF340" s="1331"/>
      <c r="AG340" s="1331"/>
      <c r="AH340" s="1334"/>
      <c r="AI340" s="1509"/>
      <c r="AJ340" s="1331"/>
      <c r="AK340" s="1331"/>
      <c r="AL340" s="1331"/>
      <c r="AM340" s="1331"/>
      <c r="AN340" s="1331"/>
      <c r="AO340" s="1331"/>
      <c r="AP340" s="1331">
        <v>550000</v>
      </c>
      <c r="AQ340" s="1331"/>
      <c r="AR340" s="1331"/>
      <c r="AS340" s="1331"/>
      <c r="AT340" s="1331"/>
      <c r="AU340" s="1334"/>
    </row>
    <row r="341" spans="1:47" ht="37.5" customHeight="1" x14ac:dyDescent="0.2">
      <c r="A341" s="1546" t="s">
        <v>3113</v>
      </c>
      <c r="B341" s="1490" t="s">
        <v>272</v>
      </c>
      <c r="C341" s="1474" t="s">
        <v>3399</v>
      </c>
      <c r="D341" s="1331"/>
      <c r="E341" s="1331"/>
      <c r="F341" s="1331"/>
      <c r="G341" s="1331"/>
      <c r="H341" s="1332"/>
      <c r="I341" s="1332"/>
      <c r="J341" s="1332"/>
      <c r="K341" s="1332"/>
      <c r="L341" s="1332"/>
      <c r="M341" s="1507"/>
      <c r="N341" s="1502"/>
      <c r="O341" s="1332"/>
      <c r="P341" s="1331"/>
      <c r="Q341" s="1331"/>
      <c r="R341" s="1331"/>
      <c r="S341" s="1331"/>
      <c r="T341" s="1331"/>
      <c r="U341" s="1331"/>
      <c r="V341" s="1331"/>
      <c r="W341" s="1334"/>
      <c r="X341" s="1509"/>
      <c r="Y341" s="1331"/>
      <c r="Z341" s="1331"/>
      <c r="AA341" s="1331"/>
      <c r="AB341" s="1331"/>
      <c r="AC341" s="1331"/>
      <c r="AD341" s="1331"/>
      <c r="AE341" s="1331"/>
      <c r="AF341" s="1331"/>
      <c r="AG341" s="1331"/>
      <c r="AH341" s="1334"/>
      <c r="AI341" s="1509"/>
      <c r="AJ341" s="1331"/>
      <c r="AK341" s="1331"/>
      <c r="AL341" s="1331"/>
      <c r="AM341" s="1331"/>
      <c r="AN341" s="1331"/>
      <c r="AO341" s="1331"/>
      <c r="AP341" s="1331"/>
      <c r="AQ341" s="1331"/>
      <c r="AR341" s="1331">
        <v>-20320000</v>
      </c>
      <c r="AS341" s="1331"/>
      <c r="AT341" s="1331"/>
      <c r="AU341" s="1334"/>
    </row>
    <row r="342" spans="1:47" ht="38.25" customHeight="1" x14ac:dyDescent="0.2">
      <c r="A342" s="1546" t="s">
        <v>3115</v>
      </c>
      <c r="B342" s="1490" t="s">
        <v>276</v>
      </c>
      <c r="C342" s="1474" t="s">
        <v>3400</v>
      </c>
      <c r="D342" s="1331"/>
      <c r="E342" s="1331"/>
      <c r="F342" s="1331"/>
      <c r="G342" s="1331"/>
      <c r="H342" s="1332"/>
      <c r="I342" s="1332"/>
      <c r="J342" s="1332"/>
      <c r="K342" s="1332"/>
      <c r="L342" s="1332"/>
      <c r="M342" s="1507"/>
      <c r="N342" s="1502"/>
      <c r="O342" s="1332"/>
      <c r="P342" s="1331"/>
      <c r="Q342" s="1331"/>
      <c r="R342" s="1331"/>
      <c r="S342" s="1331"/>
      <c r="T342" s="1331"/>
      <c r="U342" s="1331"/>
      <c r="V342" s="1331"/>
      <c r="W342" s="1334"/>
      <c r="X342" s="1509"/>
      <c r="Y342" s="1331"/>
      <c r="Z342" s="1331"/>
      <c r="AA342" s="1331"/>
      <c r="AB342" s="1331"/>
      <c r="AC342" s="1331"/>
      <c r="AD342" s="1331"/>
      <c r="AE342" s="1331"/>
      <c r="AF342" s="1331"/>
      <c r="AG342" s="1331"/>
      <c r="AH342" s="1334"/>
      <c r="AI342" s="1509"/>
      <c r="AJ342" s="1331"/>
      <c r="AK342" s="1331"/>
      <c r="AL342" s="1331"/>
      <c r="AM342" s="1331"/>
      <c r="AN342" s="1331"/>
      <c r="AO342" s="1331">
        <v>77084029</v>
      </c>
      <c r="AP342" s="1331"/>
      <c r="AQ342" s="1331"/>
      <c r="AR342" s="1331"/>
      <c r="AS342" s="1331"/>
      <c r="AT342" s="1331"/>
      <c r="AU342" s="1334"/>
    </row>
    <row r="343" spans="1:47" ht="45.75" customHeight="1" x14ac:dyDescent="0.2">
      <c r="A343" s="1546" t="s">
        <v>3405</v>
      </c>
      <c r="B343" s="1490" t="s">
        <v>278</v>
      </c>
      <c r="C343" s="1474" t="s">
        <v>3406</v>
      </c>
      <c r="D343" s="1331"/>
      <c r="E343" s="1331"/>
      <c r="F343" s="1331"/>
      <c r="G343" s="1331"/>
      <c r="H343" s="1332"/>
      <c r="I343" s="1332"/>
      <c r="J343" s="1332"/>
      <c r="K343" s="1332"/>
      <c r="L343" s="1332"/>
      <c r="M343" s="1507"/>
      <c r="N343" s="1502"/>
      <c r="O343" s="1332"/>
      <c r="P343" s="1331"/>
      <c r="Q343" s="1331"/>
      <c r="R343" s="1331"/>
      <c r="S343" s="1331"/>
      <c r="T343" s="1331"/>
      <c r="U343" s="1331"/>
      <c r="V343" s="1331"/>
      <c r="W343" s="1334">
        <v>2618056</v>
      </c>
      <c r="X343" s="1509"/>
      <c r="Y343" s="1331"/>
      <c r="Z343" s="1331"/>
      <c r="AA343" s="1331"/>
      <c r="AB343" s="1331"/>
      <c r="AC343" s="1331"/>
      <c r="AD343" s="1331"/>
      <c r="AE343" s="1331"/>
      <c r="AF343" s="1331"/>
      <c r="AG343" s="1331"/>
      <c r="AH343" s="1334"/>
      <c r="AI343" s="1509"/>
      <c r="AJ343" s="1331"/>
      <c r="AK343" s="1331"/>
      <c r="AL343" s="1331"/>
      <c r="AM343" s="1331"/>
      <c r="AN343" s="1331"/>
      <c r="AO343" s="1331"/>
      <c r="AP343" s="1331"/>
      <c r="AQ343" s="1331"/>
      <c r="AR343" s="1331"/>
      <c r="AS343" s="1331"/>
      <c r="AT343" s="1331"/>
      <c r="AU343" s="1334"/>
    </row>
    <row r="344" spans="1:47" ht="40.5" customHeight="1" x14ac:dyDescent="0.2">
      <c r="A344" s="1546" t="s">
        <v>3407</v>
      </c>
      <c r="B344" s="1490" t="s">
        <v>279</v>
      </c>
      <c r="C344" s="1474" t="s">
        <v>3434</v>
      </c>
      <c r="D344" s="1331"/>
      <c r="E344" s="1331"/>
      <c r="F344" s="1331"/>
      <c r="G344" s="1331"/>
      <c r="H344" s="1332"/>
      <c r="I344" s="1332"/>
      <c r="J344" s="1332"/>
      <c r="K344" s="1332"/>
      <c r="L344" s="1332"/>
      <c r="M344" s="1507"/>
      <c r="N344" s="1502"/>
      <c r="O344" s="1332"/>
      <c r="P344" s="1331"/>
      <c r="Q344" s="1331"/>
      <c r="R344" s="1331"/>
      <c r="S344" s="1331"/>
      <c r="T344" s="1331"/>
      <c r="U344" s="1331"/>
      <c r="V344" s="1331"/>
      <c r="W344" s="1334"/>
      <c r="X344" s="1509"/>
      <c r="Y344" s="1331"/>
      <c r="Z344" s="1331"/>
      <c r="AA344" s="1331"/>
      <c r="AB344" s="1331"/>
      <c r="AC344" s="1331"/>
      <c r="AD344" s="1331"/>
      <c r="AE344" s="1331"/>
      <c r="AF344" s="1331"/>
      <c r="AG344" s="1331"/>
      <c r="AH344" s="1334"/>
      <c r="AI344" s="1509"/>
      <c r="AJ344" s="1331"/>
      <c r="AK344" s="1331"/>
      <c r="AL344" s="1331"/>
      <c r="AM344" s="1331"/>
      <c r="AN344" s="1331"/>
      <c r="AO344" s="1331">
        <v>-45641169</v>
      </c>
      <c r="AP344" s="1331"/>
      <c r="AQ344" s="1331"/>
      <c r="AR344" s="1331"/>
      <c r="AS344" s="1331"/>
      <c r="AT344" s="1331"/>
      <c r="AU344" s="1334"/>
    </row>
    <row r="345" spans="1:47" ht="83.25" customHeight="1" x14ac:dyDescent="0.2">
      <c r="A345" s="1546" t="s">
        <v>3134</v>
      </c>
      <c r="B345" s="1490" t="s">
        <v>280</v>
      </c>
      <c r="C345" s="1474" t="s">
        <v>3408</v>
      </c>
      <c r="D345" s="1331"/>
      <c r="E345" s="1331"/>
      <c r="F345" s="1331"/>
      <c r="G345" s="1331"/>
      <c r="H345" s="1332"/>
      <c r="I345" s="1332"/>
      <c r="J345" s="1332"/>
      <c r="K345" s="1332"/>
      <c r="L345" s="1332"/>
      <c r="M345" s="1507"/>
      <c r="N345" s="1502"/>
      <c r="O345" s="1332"/>
      <c r="P345" s="1331"/>
      <c r="Q345" s="1331"/>
      <c r="R345" s="1331"/>
      <c r="S345" s="1331"/>
      <c r="T345" s="1331"/>
      <c r="U345" s="1331"/>
      <c r="V345" s="1331"/>
      <c r="W345" s="1334"/>
      <c r="X345" s="1509"/>
      <c r="Y345" s="1331"/>
      <c r="Z345" s="1331"/>
      <c r="AA345" s="1331"/>
      <c r="AB345" s="1331"/>
      <c r="AC345" s="1331"/>
      <c r="AD345" s="1331"/>
      <c r="AE345" s="1331"/>
      <c r="AF345" s="1331"/>
      <c r="AG345" s="1331"/>
      <c r="AH345" s="1334"/>
      <c r="AI345" s="1509"/>
      <c r="AJ345" s="1331"/>
      <c r="AK345" s="1331"/>
      <c r="AL345" s="1331"/>
      <c r="AM345" s="1331">
        <v>-21659800</v>
      </c>
      <c r="AN345" s="1331"/>
      <c r="AO345" s="1331"/>
      <c r="AP345" s="1331"/>
      <c r="AQ345" s="1331"/>
      <c r="AR345" s="1331"/>
      <c r="AS345" s="1331"/>
      <c r="AT345" s="1331"/>
      <c r="AU345" s="1334"/>
    </row>
    <row r="346" spans="1:47" ht="43.5" customHeight="1" x14ac:dyDescent="0.2">
      <c r="A346" s="1546" t="s">
        <v>3138</v>
      </c>
      <c r="B346" s="1490" t="s">
        <v>282</v>
      </c>
      <c r="C346" s="1474" t="s">
        <v>3410</v>
      </c>
      <c r="D346" s="1331"/>
      <c r="E346" s="1331"/>
      <c r="F346" s="1331"/>
      <c r="G346" s="1331"/>
      <c r="H346" s="1332"/>
      <c r="I346" s="1332"/>
      <c r="J346" s="1332"/>
      <c r="K346" s="1332"/>
      <c r="L346" s="1332"/>
      <c r="M346" s="1507"/>
      <c r="N346" s="1502"/>
      <c r="O346" s="1332"/>
      <c r="P346" s="1331">
        <v>-12552411</v>
      </c>
      <c r="Q346" s="1331"/>
      <c r="R346" s="1331"/>
      <c r="S346" s="1331"/>
      <c r="T346" s="1331"/>
      <c r="U346" s="1331"/>
      <c r="V346" s="1331"/>
      <c r="W346" s="1334"/>
      <c r="X346" s="1509"/>
      <c r="Y346" s="1331"/>
      <c r="Z346" s="1331"/>
      <c r="AA346" s="1331"/>
      <c r="AB346" s="1331"/>
      <c r="AC346" s="1331"/>
      <c r="AD346" s="1331"/>
      <c r="AE346" s="1331"/>
      <c r="AF346" s="1331"/>
      <c r="AG346" s="1331"/>
      <c r="AH346" s="1334"/>
      <c r="AI346" s="1509"/>
      <c r="AJ346" s="1331"/>
      <c r="AK346" s="1331"/>
      <c r="AL346" s="1331"/>
      <c r="AM346" s="1331"/>
      <c r="AN346" s="1331"/>
      <c r="AO346" s="1331"/>
      <c r="AP346" s="1331"/>
      <c r="AQ346" s="1331"/>
      <c r="AR346" s="1331"/>
      <c r="AS346" s="1331"/>
      <c r="AT346" s="1331"/>
      <c r="AU346" s="1334"/>
    </row>
    <row r="347" spans="1:47" ht="33.75" customHeight="1" x14ac:dyDescent="0.2">
      <c r="A347" s="1546" t="s">
        <v>3140</v>
      </c>
      <c r="B347" s="1490" t="s">
        <v>283</v>
      </c>
      <c r="C347" s="1474" t="s">
        <v>3411</v>
      </c>
      <c r="D347" s="1331"/>
      <c r="E347" s="1331"/>
      <c r="F347" s="1331"/>
      <c r="G347" s="1331"/>
      <c r="H347" s="1332"/>
      <c r="I347" s="1332"/>
      <c r="J347" s="1332"/>
      <c r="K347" s="1332"/>
      <c r="L347" s="1332"/>
      <c r="M347" s="1507"/>
      <c r="N347" s="1502"/>
      <c r="O347" s="1332"/>
      <c r="P347" s="1331"/>
      <c r="Q347" s="1331"/>
      <c r="R347" s="1331"/>
      <c r="S347" s="1331"/>
      <c r="T347" s="1331"/>
      <c r="U347" s="1331"/>
      <c r="V347" s="1331"/>
      <c r="W347" s="1334"/>
      <c r="X347" s="1509"/>
      <c r="Y347" s="1331"/>
      <c r="Z347" s="1331"/>
      <c r="AA347" s="1331"/>
      <c r="AB347" s="1331"/>
      <c r="AC347" s="1331"/>
      <c r="AD347" s="1331"/>
      <c r="AE347" s="1331"/>
      <c r="AF347" s="1331"/>
      <c r="AG347" s="1331"/>
      <c r="AH347" s="1334"/>
      <c r="AI347" s="1509"/>
      <c r="AJ347" s="1331"/>
      <c r="AK347" s="1331"/>
      <c r="AL347" s="1331"/>
      <c r="AM347" s="1331">
        <v>-150000</v>
      </c>
      <c r="AN347" s="1331"/>
      <c r="AO347" s="1331"/>
      <c r="AP347" s="1331"/>
      <c r="AQ347" s="1331"/>
      <c r="AR347" s="1331"/>
      <c r="AS347" s="1331"/>
      <c r="AT347" s="1331"/>
      <c r="AU347" s="1334"/>
    </row>
    <row r="348" spans="1:47" ht="46.5" customHeight="1" x14ac:dyDescent="0.2">
      <c r="A348" s="1546" t="s">
        <v>3142</v>
      </c>
      <c r="B348" s="1490" t="s">
        <v>284</v>
      </c>
      <c r="C348" s="1474" t="s">
        <v>3412</v>
      </c>
      <c r="D348" s="1331"/>
      <c r="E348" s="1331"/>
      <c r="F348" s="1331"/>
      <c r="G348" s="1331"/>
      <c r="H348" s="1332"/>
      <c r="I348" s="1332"/>
      <c r="J348" s="1332"/>
      <c r="K348" s="1332"/>
      <c r="L348" s="1332"/>
      <c r="M348" s="1507"/>
      <c r="N348" s="1502"/>
      <c r="O348" s="1332"/>
      <c r="P348" s="1331"/>
      <c r="Q348" s="1331"/>
      <c r="R348" s="1331"/>
      <c r="S348" s="1331"/>
      <c r="T348" s="1331"/>
      <c r="U348" s="1331"/>
      <c r="V348" s="1331"/>
      <c r="W348" s="1334"/>
      <c r="X348" s="1509"/>
      <c r="Y348" s="1331"/>
      <c r="Z348" s="1331"/>
      <c r="AA348" s="1331"/>
      <c r="AB348" s="1331"/>
      <c r="AC348" s="1331"/>
      <c r="AD348" s="1331"/>
      <c r="AE348" s="1331"/>
      <c r="AF348" s="1331"/>
      <c r="AG348" s="1331"/>
      <c r="AH348" s="1334"/>
      <c r="AI348" s="1509"/>
      <c r="AJ348" s="1331"/>
      <c r="AK348" s="1331"/>
      <c r="AL348" s="1331"/>
      <c r="AM348" s="1331">
        <v>-3937000</v>
      </c>
      <c r="AN348" s="1331"/>
      <c r="AO348" s="1331"/>
      <c r="AP348" s="1331"/>
      <c r="AQ348" s="1331"/>
      <c r="AR348" s="1331"/>
      <c r="AS348" s="1331"/>
      <c r="AT348" s="1331"/>
      <c r="AU348" s="1334"/>
    </row>
    <row r="349" spans="1:47" ht="41.25" customHeight="1" x14ac:dyDescent="0.2">
      <c r="A349" s="1546" t="s">
        <v>3143</v>
      </c>
      <c r="B349" s="1490" t="s">
        <v>285</v>
      </c>
      <c r="C349" s="1474" t="s">
        <v>3413</v>
      </c>
      <c r="D349" s="1331"/>
      <c r="E349" s="1331"/>
      <c r="F349" s="1331"/>
      <c r="G349" s="1331"/>
      <c r="H349" s="1332"/>
      <c r="I349" s="1332"/>
      <c r="J349" s="1332"/>
      <c r="K349" s="1332"/>
      <c r="L349" s="1332"/>
      <c r="M349" s="1507"/>
      <c r="N349" s="1502"/>
      <c r="O349" s="1332"/>
      <c r="P349" s="1331"/>
      <c r="Q349" s="1331"/>
      <c r="R349" s="1331"/>
      <c r="S349" s="1331"/>
      <c r="T349" s="1331"/>
      <c r="U349" s="1331"/>
      <c r="V349" s="1331"/>
      <c r="W349" s="1334"/>
      <c r="X349" s="1509"/>
      <c r="Y349" s="1331"/>
      <c r="Z349" s="1331"/>
      <c r="AA349" s="1331"/>
      <c r="AB349" s="1331"/>
      <c r="AC349" s="1331"/>
      <c r="AD349" s="1331"/>
      <c r="AE349" s="1331"/>
      <c r="AF349" s="1331"/>
      <c r="AG349" s="1331"/>
      <c r="AH349" s="1334"/>
      <c r="AI349" s="1509"/>
      <c r="AJ349" s="1331"/>
      <c r="AK349" s="1331"/>
      <c r="AL349" s="1331"/>
      <c r="AM349" s="1331">
        <v>-393700</v>
      </c>
      <c r="AN349" s="1331"/>
      <c r="AO349" s="1331"/>
      <c r="AP349" s="1331"/>
      <c r="AQ349" s="1331"/>
      <c r="AR349" s="1331"/>
      <c r="AS349" s="1331"/>
      <c r="AT349" s="1331"/>
      <c r="AU349" s="1334"/>
    </row>
    <row r="350" spans="1:47" ht="57" customHeight="1" x14ac:dyDescent="0.2">
      <c r="A350" s="1546" t="s">
        <v>3150</v>
      </c>
      <c r="B350" s="1490" t="s">
        <v>286</v>
      </c>
      <c r="C350" s="1474" t="s">
        <v>3415</v>
      </c>
      <c r="D350" s="1331"/>
      <c r="E350" s="1331"/>
      <c r="F350" s="1331"/>
      <c r="G350" s="1331"/>
      <c r="H350" s="1332"/>
      <c r="I350" s="1332"/>
      <c r="J350" s="1332"/>
      <c r="K350" s="1332"/>
      <c r="L350" s="1332"/>
      <c r="M350" s="1507"/>
      <c r="N350" s="1502"/>
      <c r="O350" s="1332"/>
      <c r="P350" s="1331">
        <v>-51181</v>
      </c>
      <c r="Q350" s="1331"/>
      <c r="R350" s="1331"/>
      <c r="S350" s="1331"/>
      <c r="T350" s="1331"/>
      <c r="U350" s="1331"/>
      <c r="V350" s="1331"/>
      <c r="W350" s="1334"/>
      <c r="X350" s="1509"/>
      <c r="Y350" s="1331"/>
      <c r="Z350" s="1331"/>
      <c r="AA350" s="1331"/>
      <c r="AB350" s="1331"/>
      <c r="AC350" s="1331"/>
      <c r="AD350" s="1331"/>
      <c r="AE350" s="1331"/>
      <c r="AF350" s="1331"/>
      <c r="AG350" s="1331"/>
      <c r="AH350" s="1334"/>
      <c r="AI350" s="1509"/>
      <c r="AJ350" s="1331"/>
      <c r="AK350" s="1331"/>
      <c r="AL350" s="1331"/>
      <c r="AM350" s="1331"/>
      <c r="AN350" s="1331"/>
      <c r="AO350" s="1331"/>
      <c r="AP350" s="1331"/>
      <c r="AQ350" s="1331"/>
      <c r="AR350" s="1331"/>
      <c r="AS350" s="1331"/>
      <c r="AT350" s="1331"/>
      <c r="AU350" s="1334"/>
    </row>
    <row r="351" spans="1:47" ht="33.75" customHeight="1" x14ac:dyDescent="0.2">
      <c r="A351" s="1546" t="s">
        <v>3154</v>
      </c>
      <c r="B351" s="1490" t="s">
        <v>289</v>
      </c>
      <c r="C351" s="1474" t="s">
        <v>3419</v>
      </c>
      <c r="D351" s="1331"/>
      <c r="E351" s="1331"/>
      <c r="F351" s="1331"/>
      <c r="G351" s="1331"/>
      <c r="H351" s="1332"/>
      <c r="I351" s="1332"/>
      <c r="J351" s="1332"/>
      <c r="K351" s="1332"/>
      <c r="L351" s="1332"/>
      <c r="M351" s="1507"/>
      <c r="N351" s="1502"/>
      <c r="O351" s="1332"/>
      <c r="P351" s="1331"/>
      <c r="Q351" s="1331"/>
      <c r="R351" s="1331"/>
      <c r="S351" s="1331"/>
      <c r="T351" s="1331"/>
      <c r="U351" s="1331"/>
      <c r="V351" s="1331"/>
      <c r="W351" s="1334"/>
      <c r="X351" s="1509"/>
      <c r="Y351" s="1331"/>
      <c r="Z351" s="1331"/>
      <c r="AA351" s="1331"/>
      <c r="AB351" s="1331"/>
      <c r="AC351" s="1331"/>
      <c r="AD351" s="1331"/>
      <c r="AE351" s="1331"/>
      <c r="AF351" s="1331"/>
      <c r="AG351" s="1331"/>
      <c r="AH351" s="1334"/>
      <c r="AI351" s="1509"/>
      <c r="AJ351" s="1331"/>
      <c r="AK351" s="1331"/>
      <c r="AL351" s="1331"/>
      <c r="AM351" s="1331"/>
      <c r="AN351" s="1331"/>
      <c r="AO351" s="1331"/>
      <c r="AP351" s="1331">
        <v>-762000</v>
      </c>
      <c r="AQ351" s="1331"/>
      <c r="AR351" s="1331"/>
      <c r="AS351" s="1331"/>
      <c r="AT351" s="1331"/>
      <c r="AU351" s="1334"/>
    </row>
    <row r="352" spans="1:47" ht="47.25" customHeight="1" x14ac:dyDescent="0.2">
      <c r="A352" s="1546" t="s">
        <v>3174</v>
      </c>
      <c r="B352" s="1490" t="s">
        <v>295</v>
      </c>
      <c r="C352" s="1474" t="s">
        <v>2975</v>
      </c>
      <c r="D352" s="1331"/>
      <c r="E352" s="1331"/>
      <c r="F352" s="1331"/>
      <c r="G352" s="1331"/>
      <c r="H352" s="1332"/>
      <c r="I352" s="1332"/>
      <c r="J352" s="1332"/>
      <c r="K352" s="1332"/>
      <c r="L352" s="1332"/>
      <c r="M352" s="1507"/>
      <c r="N352" s="1502"/>
      <c r="O352" s="1332"/>
      <c r="P352" s="1331"/>
      <c r="Q352" s="1331"/>
      <c r="R352" s="1331"/>
      <c r="S352" s="1331"/>
      <c r="T352" s="1331"/>
      <c r="U352" s="1331"/>
      <c r="V352" s="1331"/>
      <c r="W352" s="1334"/>
      <c r="X352" s="1509"/>
      <c r="Y352" s="1331"/>
      <c r="Z352" s="1331"/>
      <c r="AA352" s="1331"/>
      <c r="AB352" s="1331"/>
      <c r="AC352" s="1331"/>
      <c r="AD352" s="1331"/>
      <c r="AE352" s="1331"/>
      <c r="AF352" s="1331"/>
      <c r="AG352" s="1331"/>
      <c r="AH352" s="1334"/>
      <c r="AI352" s="1509"/>
      <c r="AJ352" s="1331"/>
      <c r="AK352" s="1331"/>
      <c r="AL352" s="1331"/>
      <c r="AM352" s="1331"/>
      <c r="AN352" s="1331"/>
      <c r="AO352" s="1331"/>
      <c r="AP352" s="1331"/>
      <c r="AQ352" s="1331"/>
      <c r="AR352" s="1331">
        <v>75768375</v>
      </c>
      <c r="AS352" s="1331"/>
      <c r="AT352" s="1331"/>
      <c r="AU352" s="1334"/>
    </row>
    <row r="353" spans="1:47" ht="32.25" customHeight="1" x14ac:dyDescent="0.2">
      <c r="A353" s="1546" t="s">
        <v>3425</v>
      </c>
      <c r="B353" s="1490" t="s">
        <v>731</v>
      </c>
      <c r="C353" s="1474" t="s">
        <v>3151</v>
      </c>
      <c r="D353" s="1331"/>
      <c r="E353" s="1331"/>
      <c r="F353" s="1331"/>
      <c r="G353" s="1331"/>
      <c r="H353" s="1332"/>
      <c r="I353" s="1332"/>
      <c r="J353" s="1332"/>
      <c r="K353" s="1332"/>
      <c r="L353" s="1332"/>
      <c r="M353" s="1507"/>
      <c r="N353" s="1502"/>
      <c r="O353" s="1332"/>
      <c r="P353" s="1331"/>
      <c r="Q353" s="1331"/>
      <c r="R353" s="1331"/>
      <c r="S353" s="1331"/>
      <c r="T353" s="1331"/>
      <c r="U353" s="1331"/>
      <c r="V353" s="1331"/>
      <c r="W353" s="1334"/>
      <c r="X353" s="1509"/>
      <c r="Y353" s="1331"/>
      <c r="Z353" s="1331"/>
      <c r="AA353" s="1331"/>
      <c r="AB353" s="1331"/>
      <c r="AC353" s="1331"/>
      <c r="AD353" s="1331"/>
      <c r="AE353" s="1331"/>
      <c r="AF353" s="1331"/>
      <c r="AG353" s="1331"/>
      <c r="AH353" s="1334"/>
      <c r="AI353" s="1509"/>
      <c r="AJ353" s="1331"/>
      <c r="AK353" s="1331"/>
      <c r="AL353" s="1331"/>
      <c r="AM353" s="1331"/>
      <c r="AN353" s="1331"/>
      <c r="AO353" s="1331"/>
      <c r="AP353" s="1331">
        <v>100000</v>
      </c>
      <c r="AQ353" s="1331"/>
      <c r="AR353" s="1331"/>
      <c r="AS353" s="1331"/>
      <c r="AT353" s="1331"/>
      <c r="AU353" s="1334"/>
    </row>
    <row r="354" spans="1:47" ht="33.75" customHeight="1" x14ac:dyDescent="0.2">
      <c r="A354" s="1546" t="s">
        <v>3180</v>
      </c>
      <c r="B354" s="1490" t="s">
        <v>297</v>
      </c>
      <c r="C354" s="1474" t="s">
        <v>3432</v>
      </c>
      <c r="D354" s="1331"/>
      <c r="E354" s="1331"/>
      <c r="F354" s="1331"/>
      <c r="G354" s="1331"/>
      <c r="H354" s="1332"/>
      <c r="I354" s="1332"/>
      <c r="J354" s="1332"/>
      <c r="K354" s="1332"/>
      <c r="L354" s="1332"/>
      <c r="M354" s="1507"/>
      <c r="N354" s="1502"/>
      <c r="O354" s="1332"/>
      <c r="P354" s="1331"/>
      <c r="Q354" s="1331"/>
      <c r="R354" s="1331"/>
      <c r="S354" s="1331"/>
      <c r="T354" s="1331"/>
      <c r="U354" s="1331"/>
      <c r="V354" s="1331"/>
      <c r="W354" s="1334"/>
      <c r="X354" s="1509"/>
      <c r="Y354" s="1331"/>
      <c r="Z354" s="1331"/>
      <c r="AA354" s="1331"/>
      <c r="AB354" s="1331"/>
      <c r="AC354" s="1331"/>
      <c r="AD354" s="1331"/>
      <c r="AE354" s="1331"/>
      <c r="AF354" s="1331"/>
      <c r="AG354" s="1331"/>
      <c r="AH354" s="1334"/>
      <c r="AI354" s="1509"/>
      <c r="AJ354" s="1331"/>
      <c r="AK354" s="1331"/>
      <c r="AL354" s="1331"/>
      <c r="AM354" s="1331"/>
      <c r="AN354" s="1331"/>
      <c r="AO354" s="1331"/>
      <c r="AP354" s="1331">
        <v>-109804</v>
      </c>
      <c r="AQ354" s="1331"/>
      <c r="AR354" s="1331"/>
      <c r="AS354" s="1331"/>
      <c r="AT354" s="1331"/>
      <c r="AU354" s="1334"/>
    </row>
    <row r="355" spans="1:47" ht="56.25" customHeight="1" x14ac:dyDescent="0.2">
      <c r="A355" s="1546" t="s">
        <v>3190</v>
      </c>
      <c r="B355" s="1490" t="s">
        <v>300</v>
      </c>
      <c r="C355" s="1474" t="s">
        <v>3448</v>
      </c>
      <c r="D355" s="1331"/>
      <c r="E355" s="1331"/>
      <c r="F355" s="1331"/>
      <c r="G355" s="1331"/>
      <c r="H355" s="1332"/>
      <c r="I355" s="1332"/>
      <c r="J355" s="1332"/>
      <c r="K355" s="1332"/>
      <c r="L355" s="1332"/>
      <c r="M355" s="1507"/>
      <c r="N355" s="1502"/>
      <c r="O355" s="1332"/>
      <c r="P355" s="1331"/>
      <c r="Q355" s="1331"/>
      <c r="R355" s="1331"/>
      <c r="S355" s="1331"/>
      <c r="T355" s="1331"/>
      <c r="U355" s="1331"/>
      <c r="V355" s="1331"/>
      <c r="W355" s="1334"/>
      <c r="X355" s="1509"/>
      <c r="Y355" s="1331"/>
      <c r="Z355" s="1331"/>
      <c r="AA355" s="1331"/>
      <c r="AB355" s="1331"/>
      <c r="AC355" s="1331"/>
      <c r="AD355" s="1331"/>
      <c r="AE355" s="1331"/>
      <c r="AF355" s="1331"/>
      <c r="AG355" s="1331"/>
      <c r="AH355" s="1334"/>
      <c r="AI355" s="1509"/>
      <c r="AJ355" s="1331"/>
      <c r="AK355" s="1331"/>
      <c r="AL355" s="1331"/>
      <c r="AM355" s="1331">
        <v>-6235700</v>
      </c>
      <c r="AN355" s="1331"/>
      <c r="AO355" s="1331"/>
      <c r="AP355" s="1331"/>
      <c r="AQ355" s="1331"/>
      <c r="AR355" s="1331"/>
      <c r="AS355" s="1331"/>
      <c r="AT355" s="1331"/>
      <c r="AU355" s="1334"/>
    </row>
    <row r="356" spans="1:47" ht="56.25" customHeight="1" x14ac:dyDescent="0.2">
      <c r="A356" s="1546" t="s">
        <v>3192</v>
      </c>
      <c r="B356" s="1490" t="s">
        <v>301</v>
      </c>
      <c r="C356" s="1474" t="s">
        <v>3449</v>
      </c>
      <c r="D356" s="1331"/>
      <c r="E356" s="1331"/>
      <c r="F356" s="1331"/>
      <c r="G356" s="1331"/>
      <c r="H356" s="1332"/>
      <c r="I356" s="1332"/>
      <c r="J356" s="1332"/>
      <c r="K356" s="1332"/>
      <c r="L356" s="1332"/>
      <c r="M356" s="1507"/>
      <c r="N356" s="1502"/>
      <c r="O356" s="1332"/>
      <c r="P356" s="1331"/>
      <c r="Q356" s="1331"/>
      <c r="R356" s="1331"/>
      <c r="S356" s="1331"/>
      <c r="T356" s="1331"/>
      <c r="U356" s="1331"/>
      <c r="V356" s="1331"/>
      <c r="W356" s="1334"/>
      <c r="X356" s="1509"/>
      <c r="Y356" s="1331"/>
      <c r="Z356" s="1331"/>
      <c r="AA356" s="1331"/>
      <c r="AB356" s="1331"/>
      <c r="AC356" s="1331"/>
      <c r="AD356" s="1331"/>
      <c r="AE356" s="1331"/>
      <c r="AF356" s="1331"/>
      <c r="AG356" s="1331"/>
      <c r="AH356" s="1334"/>
      <c r="AI356" s="1509"/>
      <c r="AJ356" s="1331"/>
      <c r="AK356" s="1331"/>
      <c r="AL356" s="1331"/>
      <c r="AM356" s="1331">
        <v>-2926500</v>
      </c>
      <c r="AN356" s="1331"/>
      <c r="AO356" s="1331"/>
      <c r="AP356" s="1331"/>
      <c r="AQ356" s="1331"/>
      <c r="AR356" s="1331"/>
      <c r="AS356" s="1331"/>
      <c r="AT356" s="1331"/>
      <c r="AU356" s="1334"/>
    </row>
    <row r="357" spans="1:47" ht="55.5" customHeight="1" x14ac:dyDescent="0.2">
      <c r="A357" s="1546" t="s">
        <v>3195</v>
      </c>
      <c r="B357" s="1490" t="s">
        <v>302</v>
      </c>
      <c r="C357" s="1474" t="s">
        <v>3450</v>
      </c>
      <c r="D357" s="1331"/>
      <c r="E357" s="1331"/>
      <c r="F357" s="1331"/>
      <c r="G357" s="1331"/>
      <c r="H357" s="1332"/>
      <c r="I357" s="1332"/>
      <c r="J357" s="1332"/>
      <c r="K357" s="1332"/>
      <c r="L357" s="1332"/>
      <c r="M357" s="1507"/>
      <c r="N357" s="1502"/>
      <c r="O357" s="1332"/>
      <c r="P357" s="1331"/>
      <c r="Q357" s="1331"/>
      <c r="R357" s="1331"/>
      <c r="S357" s="1331"/>
      <c r="T357" s="1331"/>
      <c r="U357" s="1331"/>
      <c r="V357" s="1331"/>
      <c r="W357" s="1334"/>
      <c r="X357" s="1509"/>
      <c r="Y357" s="1331"/>
      <c r="Z357" s="1331"/>
      <c r="AA357" s="1331"/>
      <c r="AB357" s="1331"/>
      <c r="AC357" s="1331"/>
      <c r="AD357" s="1331"/>
      <c r="AE357" s="1331"/>
      <c r="AF357" s="1331"/>
      <c r="AG357" s="1331"/>
      <c r="AH357" s="1334"/>
      <c r="AI357" s="1509"/>
      <c r="AJ357" s="1331"/>
      <c r="AK357" s="1331"/>
      <c r="AL357" s="1331"/>
      <c r="AM357" s="1331">
        <v>-3998980</v>
      </c>
      <c r="AN357" s="1331"/>
      <c r="AO357" s="1331"/>
      <c r="AP357" s="1331"/>
      <c r="AQ357" s="1331"/>
      <c r="AR357" s="1331"/>
      <c r="AS357" s="1331"/>
      <c r="AT357" s="1331"/>
      <c r="AU357" s="1334"/>
    </row>
    <row r="358" spans="1:47" ht="43.5" customHeight="1" x14ac:dyDescent="0.2">
      <c r="A358" s="1546" t="s">
        <v>3198</v>
      </c>
      <c r="B358" s="1490" t="s">
        <v>303</v>
      </c>
      <c r="C358" s="1474" t="s">
        <v>3313</v>
      </c>
      <c r="D358" s="1331"/>
      <c r="E358" s="1331"/>
      <c r="F358" s="1331"/>
      <c r="G358" s="1331"/>
      <c r="H358" s="1332"/>
      <c r="I358" s="1332"/>
      <c r="J358" s="1332"/>
      <c r="K358" s="1332"/>
      <c r="L358" s="1332"/>
      <c r="M358" s="1507"/>
      <c r="N358" s="1502"/>
      <c r="O358" s="1332"/>
      <c r="P358" s="1331"/>
      <c r="Q358" s="1331"/>
      <c r="R358" s="1331"/>
      <c r="S358" s="1331"/>
      <c r="T358" s="1331"/>
      <c r="U358" s="1331"/>
      <c r="V358" s="1331"/>
      <c r="W358" s="1334"/>
      <c r="X358" s="1509"/>
      <c r="Y358" s="1331"/>
      <c r="Z358" s="1331"/>
      <c r="AA358" s="1331"/>
      <c r="AB358" s="1331"/>
      <c r="AC358" s="1331"/>
      <c r="AD358" s="1331"/>
      <c r="AE358" s="1331"/>
      <c r="AF358" s="1331"/>
      <c r="AG358" s="1331"/>
      <c r="AH358" s="1334"/>
      <c r="AI358" s="1509"/>
      <c r="AJ358" s="1331"/>
      <c r="AK358" s="1331"/>
      <c r="AL358" s="1331"/>
      <c r="AM358" s="1331"/>
      <c r="AN358" s="1331"/>
      <c r="AO358" s="1331"/>
      <c r="AP358" s="1331"/>
      <c r="AQ358" s="1331">
        <v>72281839</v>
      </c>
      <c r="AR358" s="1331"/>
      <c r="AS358" s="1331"/>
      <c r="AT358" s="1331"/>
      <c r="AU358" s="1334"/>
    </row>
    <row r="359" spans="1:47" ht="44.25" customHeight="1" x14ac:dyDescent="0.2">
      <c r="A359" s="1546" t="s">
        <v>3200</v>
      </c>
      <c r="B359" s="1490" t="s">
        <v>304</v>
      </c>
      <c r="C359" s="1474" t="s">
        <v>3453</v>
      </c>
      <c r="D359" s="1331"/>
      <c r="E359" s="1331"/>
      <c r="F359" s="1331"/>
      <c r="G359" s="1331"/>
      <c r="H359" s="1332"/>
      <c r="I359" s="1332"/>
      <c r="J359" s="1332"/>
      <c r="K359" s="1332"/>
      <c r="L359" s="1332"/>
      <c r="M359" s="1507"/>
      <c r="N359" s="1502"/>
      <c r="O359" s="1332"/>
      <c r="P359" s="1331"/>
      <c r="Q359" s="1331"/>
      <c r="R359" s="1331"/>
      <c r="S359" s="1331"/>
      <c r="T359" s="1331"/>
      <c r="U359" s="1331"/>
      <c r="V359" s="1331"/>
      <c r="W359" s="1334"/>
      <c r="X359" s="1509"/>
      <c r="Y359" s="1331"/>
      <c r="Z359" s="1331"/>
      <c r="AA359" s="1331"/>
      <c r="AB359" s="1331"/>
      <c r="AC359" s="1331"/>
      <c r="AD359" s="1331"/>
      <c r="AE359" s="1331"/>
      <c r="AF359" s="1331"/>
      <c r="AG359" s="1331"/>
      <c r="AH359" s="1334"/>
      <c r="AI359" s="1509"/>
      <c r="AJ359" s="1331"/>
      <c r="AK359" s="1331"/>
      <c r="AL359" s="1331"/>
      <c r="AM359" s="1331"/>
      <c r="AN359" s="1331"/>
      <c r="AO359" s="1331"/>
      <c r="AP359" s="1331"/>
      <c r="AQ359" s="1331">
        <v>2023579</v>
      </c>
      <c r="AR359" s="1331"/>
      <c r="AS359" s="1331"/>
      <c r="AT359" s="1331"/>
      <c r="AU359" s="1334"/>
    </row>
    <row r="360" spans="1:47" ht="40.5" customHeight="1" x14ac:dyDescent="0.2">
      <c r="A360" s="1546" t="s">
        <v>3216</v>
      </c>
      <c r="B360" s="1490" t="s">
        <v>311</v>
      </c>
      <c r="C360" s="1474" t="s">
        <v>3462</v>
      </c>
      <c r="D360" s="1331"/>
      <c r="E360" s="1331"/>
      <c r="F360" s="1331"/>
      <c r="G360" s="1331"/>
      <c r="H360" s="1332"/>
      <c r="I360" s="1332"/>
      <c r="J360" s="1332"/>
      <c r="K360" s="1332"/>
      <c r="L360" s="1332"/>
      <c r="M360" s="1507"/>
      <c r="N360" s="1502"/>
      <c r="O360" s="1332"/>
      <c r="P360" s="1331"/>
      <c r="Q360" s="1331"/>
      <c r="R360" s="1331"/>
      <c r="S360" s="1331"/>
      <c r="T360" s="1331"/>
      <c r="U360" s="1331"/>
      <c r="V360" s="1331"/>
      <c r="W360" s="1334"/>
      <c r="X360" s="1509"/>
      <c r="Y360" s="1331"/>
      <c r="Z360" s="1331"/>
      <c r="AA360" s="1331"/>
      <c r="AB360" s="1331"/>
      <c r="AC360" s="1331"/>
      <c r="AD360" s="1331"/>
      <c r="AE360" s="1331"/>
      <c r="AF360" s="1331"/>
      <c r="AG360" s="1331"/>
      <c r="AH360" s="1334"/>
      <c r="AI360" s="1509"/>
      <c r="AJ360" s="1331"/>
      <c r="AK360" s="1331"/>
      <c r="AL360" s="1331"/>
      <c r="AM360" s="1331"/>
      <c r="AN360" s="1331"/>
      <c r="AO360" s="1331"/>
      <c r="AP360" s="1331">
        <v>-522522</v>
      </c>
      <c r="AQ360" s="1331"/>
      <c r="AR360" s="1331"/>
      <c r="AS360" s="1331"/>
      <c r="AT360" s="1331"/>
      <c r="AU360" s="1334"/>
    </row>
    <row r="361" spans="1:47" ht="34.5" customHeight="1" x14ac:dyDescent="0.2">
      <c r="A361" s="1546" t="s">
        <v>3218</v>
      </c>
      <c r="B361" s="1490" t="s">
        <v>733</v>
      </c>
      <c r="C361" s="1474" t="s">
        <v>3463</v>
      </c>
      <c r="D361" s="1331"/>
      <c r="E361" s="1331"/>
      <c r="F361" s="1331"/>
      <c r="G361" s="1331"/>
      <c r="H361" s="1332"/>
      <c r="I361" s="1332"/>
      <c r="J361" s="1332"/>
      <c r="K361" s="1332"/>
      <c r="L361" s="1332"/>
      <c r="M361" s="1507"/>
      <c r="N361" s="1502"/>
      <c r="O361" s="1332"/>
      <c r="P361" s="1331"/>
      <c r="Q361" s="1331"/>
      <c r="R361" s="1331"/>
      <c r="S361" s="1331"/>
      <c r="T361" s="1331"/>
      <c r="U361" s="1331"/>
      <c r="V361" s="1331"/>
      <c r="W361" s="1334"/>
      <c r="X361" s="1509"/>
      <c r="Y361" s="1331"/>
      <c r="Z361" s="1331"/>
      <c r="AA361" s="1331"/>
      <c r="AB361" s="1331"/>
      <c r="AC361" s="1331"/>
      <c r="AD361" s="1331"/>
      <c r="AE361" s="1331"/>
      <c r="AF361" s="1331"/>
      <c r="AG361" s="1331"/>
      <c r="AH361" s="1334"/>
      <c r="AI361" s="1509"/>
      <c r="AJ361" s="1331"/>
      <c r="AK361" s="1331"/>
      <c r="AL361" s="1331"/>
      <c r="AM361" s="1331"/>
      <c r="AN361" s="1331"/>
      <c r="AO361" s="1331"/>
      <c r="AP361" s="1331">
        <v>-430631</v>
      </c>
      <c r="AQ361" s="1331"/>
      <c r="AR361" s="1331"/>
      <c r="AS361" s="1331"/>
      <c r="AT361" s="1331"/>
      <c r="AU361" s="1334"/>
    </row>
    <row r="362" spans="1:47" ht="40.5" customHeight="1" x14ac:dyDescent="0.2">
      <c r="A362" s="1546" t="s">
        <v>3227</v>
      </c>
      <c r="B362" s="1490" t="s">
        <v>735</v>
      </c>
      <c r="C362" s="1474" t="s">
        <v>3467</v>
      </c>
      <c r="D362" s="1331"/>
      <c r="E362" s="1331"/>
      <c r="F362" s="1331"/>
      <c r="G362" s="1331"/>
      <c r="H362" s="1332"/>
      <c r="I362" s="1332"/>
      <c r="J362" s="1332"/>
      <c r="K362" s="1332"/>
      <c r="L362" s="1332"/>
      <c r="M362" s="1507"/>
      <c r="N362" s="1502"/>
      <c r="O362" s="1332"/>
      <c r="P362" s="1331"/>
      <c r="Q362" s="1331"/>
      <c r="R362" s="1331"/>
      <c r="S362" s="1331"/>
      <c r="T362" s="1331"/>
      <c r="U362" s="1331"/>
      <c r="V362" s="1331"/>
      <c r="W362" s="1334"/>
      <c r="X362" s="1509"/>
      <c r="Y362" s="1331"/>
      <c r="Z362" s="1331"/>
      <c r="AA362" s="1331"/>
      <c r="AB362" s="1331"/>
      <c r="AC362" s="1331"/>
      <c r="AD362" s="1331"/>
      <c r="AE362" s="1331"/>
      <c r="AF362" s="1331"/>
      <c r="AG362" s="1331"/>
      <c r="AH362" s="1334"/>
      <c r="AI362" s="1509"/>
      <c r="AJ362" s="1331"/>
      <c r="AK362" s="1331"/>
      <c r="AL362" s="1331"/>
      <c r="AM362" s="1331"/>
      <c r="AN362" s="1331"/>
      <c r="AO362" s="1331"/>
      <c r="AP362" s="1331">
        <v>-7799004</v>
      </c>
      <c r="AQ362" s="1331"/>
      <c r="AR362" s="1331"/>
      <c r="AS362" s="1331"/>
      <c r="AT362" s="1331"/>
      <c r="AU362" s="1334"/>
    </row>
    <row r="363" spans="1:47" ht="14.25" customHeight="1" x14ac:dyDescent="0.2">
      <c r="A363" s="1547"/>
      <c r="B363" s="1474"/>
      <c r="C363" s="1474"/>
      <c r="D363" s="1331"/>
      <c r="E363" s="1331"/>
      <c r="F363" s="1331"/>
      <c r="G363" s="1331"/>
      <c r="H363" s="1332"/>
      <c r="I363" s="1332"/>
      <c r="J363" s="1332"/>
      <c r="K363" s="1332"/>
      <c r="L363" s="1332"/>
      <c r="M363" s="1507"/>
      <c r="N363" s="1502"/>
      <c r="O363" s="1332"/>
      <c r="P363" s="1331"/>
      <c r="Q363" s="1331"/>
      <c r="R363" s="1331"/>
      <c r="S363" s="1331"/>
      <c r="T363" s="1331"/>
      <c r="U363" s="1331"/>
      <c r="V363" s="1331"/>
      <c r="W363" s="1334"/>
      <c r="X363" s="1509"/>
      <c r="Y363" s="1331"/>
      <c r="Z363" s="1331"/>
      <c r="AA363" s="1331"/>
      <c r="AB363" s="1331"/>
      <c r="AC363" s="1331"/>
      <c r="AD363" s="1331"/>
      <c r="AE363" s="1331"/>
      <c r="AF363" s="1331"/>
      <c r="AG363" s="1331"/>
      <c r="AH363" s="1334"/>
      <c r="AI363" s="1509"/>
      <c r="AJ363" s="1331"/>
      <c r="AK363" s="1331"/>
      <c r="AL363" s="1331"/>
      <c r="AM363" s="1331"/>
      <c r="AN363" s="1331"/>
      <c r="AO363" s="1331"/>
      <c r="AP363" s="1331"/>
      <c r="AQ363" s="1331"/>
      <c r="AR363" s="1331"/>
      <c r="AS363" s="1331"/>
      <c r="AT363" s="1331"/>
      <c r="AU363" s="1334"/>
    </row>
    <row r="364" spans="1:47" ht="15.75" x14ac:dyDescent="0.2">
      <c r="A364" s="2200" t="s">
        <v>1561</v>
      </c>
      <c r="B364" s="2201"/>
      <c r="C364" s="2202"/>
      <c r="D364" s="1337">
        <f t="shared" ref="D364:AU364" si="0">SUM(D3:D363)</f>
        <v>14589</v>
      </c>
      <c r="E364" s="1337">
        <f t="shared" si="0"/>
        <v>0</v>
      </c>
      <c r="F364" s="1337">
        <f t="shared" si="0"/>
        <v>0</v>
      </c>
      <c r="G364" s="1337">
        <f t="shared" si="0"/>
        <v>0</v>
      </c>
      <c r="H364" s="1337">
        <f t="shared" si="0"/>
        <v>2044893</v>
      </c>
      <c r="I364" s="1337">
        <f t="shared" si="0"/>
        <v>659324</v>
      </c>
      <c r="J364" s="1337">
        <f t="shared" si="0"/>
        <v>4430476</v>
      </c>
      <c r="K364" s="1337">
        <f t="shared" si="0"/>
        <v>2373132</v>
      </c>
      <c r="L364" s="1337">
        <f t="shared" si="0"/>
        <v>10637228</v>
      </c>
      <c r="M364" s="1487">
        <f t="shared" si="0"/>
        <v>16900896</v>
      </c>
      <c r="N364" s="1503">
        <f t="shared" si="0"/>
        <v>308324</v>
      </c>
      <c r="O364" s="1337">
        <f t="shared" si="0"/>
        <v>29016236</v>
      </c>
      <c r="P364" s="1337">
        <f t="shared" si="0"/>
        <v>17320558</v>
      </c>
      <c r="Q364" s="1337">
        <f t="shared" si="0"/>
        <v>0</v>
      </c>
      <c r="R364" s="1337">
        <f t="shared" si="0"/>
        <v>3000000</v>
      </c>
      <c r="S364" s="1337">
        <f t="shared" si="0"/>
        <v>0</v>
      </c>
      <c r="T364" s="1337">
        <f t="shared" si="0"/>
        <v>0</v>
      </c>
      <c r="U364" s="1337">
        <f t="shared" si="0"/>
        <v>3000000</v>
      </c>
      <c r="V364" s="1337">
        <f t="shared" si="0"/>
        <v>2000000</v>
      </c>
      <c r="W364" s="1487">
        <f t="shared" si="0"/>
        <v>51653867</v>
      </c>
      <c r="X364" s="1503">
        <f t="shared" si="0"/>
        <v>10000000</v>
      </c>
      <c r="Y364" s="1337">
        <f t="shared" si="0"/>
        <v>0</v>
      </c>
      <c r="Z364" s="1337">
        <f t="shared" si="0"/>
        <v>28557000</v>
      </c>
      <c r="AA364" s="1337">
        <f t="shared" si="0"/>
        <v>2000000</v>
      </c>
      <c r="AB364" s="1337">
        <f t="shared" si="0"/>
        <v>2260000</v>
      </c>
      <c r="AC364" s="1337">
        <f t="shared" si="0"/>
        <v>50000000</v>
      </c>
      <c r="AD364" s="1337">
        <f t="shared" si="0"/>
        <v>1814915</v>
      </c>
      <c r="AE364" s="1337">
        <f t="shared" si="0"/>
        <v>0</v>
      </c>
      <c r="AF364" s="1337">
        <f t="shared" si="0"/>
        <v>0</v>
      </c>
      <c r="AG364" s="1337">
        <f t="shared" si="0"/>
        <v>0</v>
      </c>
      <c r="AH364" s="1487">
        <f t="shared" si="0"/>
        <v>0</v>
      </c>
      <c r="AI364" s="1503">
        <f t="shared" si="0"/>
        <v>879297</v>
      </c>
      <c r="AJ364" s="1337">
        <f t="shared" si="0"/>
        <v>67820881</v>
      </c>
      <c r="AK364" s="1337">
        <f t="shared" si="0"/>
        <v>2905453</v>
      </c>
      <c r="AL364" s="1337">
        <f t="shared" si="0"/>
        <v>0</v>
      </c>
      <c r="AM364" s="1337">
        <f t="shared" si="0"/>
        <v>1198551082</v>
      </c>
      <c r="AN364" s="1337">
        <f t="shared" si="0"/>
        <v>162737290</v>
      </c>
      <c r="AO364" s="1337">
        <f t="shared" si="0"/>
        <v>91630026</v>
      </c>
      <c r="AP364" s="1337">
        <f t="shared" si="0"/>
        <v>33504922</v>
      </c>
      <c r="AQ364" s="1337">
        <f t="shared" si="0"/>
        <v>528291066</v>
      </c>
      <c r="AR364" s="1337">
        <f t="shared" si="0"/>
        <v>94431208</v>
      </c>
      <c r="AS364" s="1337">
        <f t="shared" si="0"/>
        <v>30000000</v>
      </c>
      <c r="AT364" s="1337">
        <f t="shared" si="0"/>
        <v>12200000</v>
      </c>
      <c r="AU364" s="1487">
        <f t="shared" si="0"/>
        <v>1200000</v>
      </c>
    </row>
    <row r="366" spans="1:47" x14ac:dyDescent="0.2">
      <c r="AU366" s="574">
        <f>SUM(D364:AU364)</f>
        <v>2462142663</v>
      </c>
    </row>
  </sheetData>
  <mergeCells count="5">
    <mergeCell ref="A364:C364"/>
    <mergeCell ref="A1:M1"/>
    <mergeCell ref="N1:W1"/>
    <mergeCell ref="X1:AH1"/>
    <mergeCell ref="AI1:AU1"/>
  </mergeCells>
  <pageMargins left="0.51181102362204722" right="0.11811023622047245" top="0.74803149606299213" bottom="0.74803149606299213" header="0.31496062992125984" footer="0.31496062992125984"/>
  <pageSetup paperSize="9" scale="55" orientation="landscape" r:id="rId1"/>
  <headerFooter>
    <oddHeader>&amp;C2023. évi költségvetés&amp;RTartalékok előirányzat-módosítása</oddHeader>
    <oddFooter>&amp;C&amp;P/&amp;N</oddFooter>
  </headerFooter>
  <rowBreaks count="26" manualBreakCount="26">
    <brk id="17" max="46" man="1"/>
    <brk id="30" max="46" man="1"/>
    <brk id="43" max="46" man="1"/>
    <brk id="56" max="46" man="1"/>
    <brk id="69" max="46" man="1"/>
    <brk id="82" max="46" man="1"/>
    <brk id="92" max="46" man="1"/>
    <brk id="104" max="46" man="1"/>
    <brk id="117" max="46" man="1"/>
    <brk id="133" max="46" man="1"/>
    <brk id="147" max="46" man="1"/>
    <brk id="161" max="46" man="1"/>
    <brk id="177" max="46" man="1"/>
    <brk id="192" max="46" man="1"/>
    <brk id="206" max="46" man="1"/>
    <brk id="220" max="46" man="1"/>
    <brk id="232" max="46" man="1"/>
    <brk id="247" max="46" man="1"/>
    <brk id="262" max="46" man="1"/>
    <brk id="277" max="45" man="1"/>
    <brk id="289" max="46" man="1"/>
    <brk id="301" max="46" man="1"/>
    <brk id="315" max="46" man="1"/>
    <brk id="331" max="46" man="1"/>
    <brk id="346" max="46" man="1"/>
    <brk id="359" max="46" man="1"/>
  </rowBreaks>
  <colBreaks count="3" manualBreakCount="3">
    <brk id="13" max="1048575" man="1"/>
    <brk id="23" max="163" man="1"/>
    <brk id="34" max="163"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J42"/>
  <sheetViews>
    <sheetView view="pageBreakPreview" topLeftCell="A16" zoomScale="80" zoomScaleNormal="100" zoomScaleSheetLayoutView="80" workbookViewId="0">
      <selection activeCell="F37" sqref="F37"/>
    </sheetView>
  </sheetViews>
  <sheetFormatPr defaultColWidth="8.85546875" defaultRowHeight="15" x14ac:dyDescent="0.25"/>
  <cols>
    <col min="1" max="1" width="5.140625" style="19" customWidth="1"/>
    <col min="2" max="2" width="61.42578125" style="19" customWidth="1"/>
    <col min="3" max="3" width="7.140625" style="19" bestFit="1" customWidth="1"/>
    <col min="4" max="4" width="17" style="19" customWidth="1"/>
    <col min="5" max="5" width="3.85546875" style="19" customWidth="1"/>
    <col min="6" max="6" width="68.140625" style="19" customWidth="1"/>
    <col min="7" max="7" width="7.140625" style="19" bestFit="1" customWidth="1"/>
    <col min="8" max="8" width="17.140625" style="19" customWidth="1"/>
    <col min="9" max="9" width="17.7109375" style="672" bestFit="1" customWidth="1"/>
    <col min="10" max="10" width="17.42578125" style="672" bestFit="1" customWidth="1"/>
    <col min="11" max="16384" width="8.85546875" style="19"/>
  </cols>
  <sheetData>
    <row r="1" spans="1:10" ht="35.450000000000003" customHeight="1" x14ac:dyDescent="0.25">
      <c r="A1" s="2000" t="s">
        <v>1314</v>
      </c>
      <c r="B1" s="2000"/>
      <c r="C1" s="2000"/>
      <c r="D1" s="2000"/>
      <c r="E1" s="2000"/>
      <c r="F1" s="2000"/>
      <c r="G1" s="2000"/>
      <c r="H1" s="2000"/>
    </row>
    <row r="2" spans="1:10" s="431" customFormat="1" ht="3.75" customHeight="1" x14ac:dyDescent="0.2">
      <c r="A2" s="430"/>
      <c r="B2" s="430"/>
      <c r="C2" s="430"/>
      <c r="D2" s="430"/>
      <c r="E2" s="430"/>
      <c r="F2" s="430"/>
      <c r="G2" s="430"/>
      <c r="H2" s="430"/>
      <c r="I2" s="673"/>
      <c r="J2" s="673"/>
    </row>
    <row r="3" spans="1:10" s="431" customFormat="1" ht="23.25" customHeight="1" x14ac:dyDescent="0.2">
      <c r="A3" s="432"/>
      <c r="B3" s="432"/>
      <c r="C3" s="432"/>
      <c r="D3" s="432"/>
      <c r="E3" s="432"/>
      <c r="F3" s="19"/>
      <c r="G3" s="19"/>
      <c r="H3" s="433" t="s">
        <v>431</v>
      </c>
      <c r="I3" s="673"/>
      <c r="J3" s="673"/>
    </row>
    <row r="4" spans="1:10" ht="18.75" x14ac:dyDescent="0.25">
      <c r="A4" s="1997" t="s">
        <v>37</v>
      </c>
      <c r="B4" s="1993" t="s">
        <v>971</v>
      </c>
      <c r="C4" s="1994"/>
      <c r="D4" s="1994"/>
      <c r="E4" s="434"/>
      <c r="F4" s="1993" t="s">
        <v>252</v>
      </c>
      <c r="G4" s="1994"/>
      <c r="H4" s="1994"/>
    </row>
    <row r="5" spans="1:10" ht="36" customHeight="1" x14ac:dyDescent="0.25">
      <c r="A5" s="1997"/>
      <c r="B5" s="435" t="s">
        <v>2</v>
      </c>
      <c r="C5" s="435" t="s">
        <v>55</v>
      </c>
      <c r="D5" s="435" t="s">
        <v>1315</v>
      </c>
      <c r="E5" s="436"/>
      <c r="F5" s="435" t="s">
        <v>2</v>
      </c>
      <c r="G5" s="435" t="s">
        <v>55</v>
      </c>
      <c r="H5" s="435" t="s">
        <v>1315</v>
      </c>
    </row>
    <row r="6" spans="1:10" ht="22.5" customHeight="1" x14ac:dyDescent="0.25">
      <c r="A6" s="429" t="s">
        <v>188</v>
      </c>
      <c r="B6" s="437" t="s">
        <v>52</v>
      </c>
      <c r="C6" s="101" t="s">
        <v>209</v>
      </c>
      <c r="D6" s="438">
        <f>+'3. sz.Városi szintű összesen'!J30</f>
        <v>2139264624</v>
      </c>
      <c r="E6" s="439"/>
      <c r="F6" s="440" t="s">
        <v>329</v>
      </c>
      <c r="G6" s="98" t="s">
        <v>199</v>
      </c>
      <c r="H6" s="438">
        <f>+'3. sz.Városi szintű összesen'!J8</f>
        <v>2885384444</v>
      </c>
    </row>
    <row r="7" spans="1:10" ht="22.5" customHeight="1" x14ac:dyDescent="0.25">
      <c r="A7" s="429" t="s">
        <v>189</v>
      </c>
      <c r="B7" s="437" t="s">
        <v>220</v>
      </c>
      <c r="C7" s="101" t="s">
        <v>210</v>
      </c>
      <c r="D7" s="438">
        <f>+'3. sz.Városi szintű összesen'!J31</f>
        <v>0</v>
      </c>
      <c r="E7" s="439"/>
      <c r="F7" s="437" t="s">
        <v>200</v>
      </c>
      <c r="G7" s="98" t="s">
        <v>201</v>
      </c>
      <c r="H7" s="438">
        <f>+'3. sz.Városi szintű összesen'!J9</f>
        <v>424087076</v>
      </c>
    </row>
    <row r="8" spans="1:10" ht="22.5" customHeight="1" x14ac:dyDescent="0.25">
      <c r="A8" s="429" t="s">
        <v>190</v>
      </c>
      <c r="B8" s="437" t="s">
        <v>219</v>
      </c>
      <c r="C8" s="101" t="s">
        <v>211</v>
      </c>
      <c r="D8" s="438">
        <f>+'3. sz.Városi szintű összesen'!J32</f>
        <v>4799627756</v>
      </c>
      <c r="E8" s="439"/>
      <c r="F8" s="437" t="s">
        <v>330</v>
      </c>
      <c r="G8" s="98" t="s">
        <v>202</v>
      </c>
      <c r="H8" s="438">
        <f>+'3. sz.Városi szintű összesen'!J10</f>
        <v>3493049767</v>
      </c>
    </row>
    <row r="9" spans="1:10" ht="22.5" customHeight="1" x14ac:dyDescent="0.25">
      <c r="A9" s="429" t="s">
        <v>191</v>
      </c>
      <c r="B9" s="441" t="s">
        <v>972</v>
      </c>
      <c r="C9" s="101" t="s">
        <v>212</v>
      </c>
      <c r="D9" s="438">
        <f>+'3. sz.Városi szintű összesen'!J33</f>
        <v>831698250</v>
      </c>
      <c r="E9" s="439"/>
      <c r="F9" s="441" t="s">
        <v>331</v>
      </c>
      <c r="G9" s="98" t="s">
        <v>203</v>
      </c>
      <c r="H9" s="438">
        <f>+'3. sz.Városi szintű összesen'!J11</f>
        <v>46000000</v>
      </c>
    </row>
    <row r="10" spans="1:10" ht="22.5" customHeight="1" x14ac:dyDescent="0.25">
      <c r="A10" s="429" t="s">
        <v>192</v>
      </c>
      <c r="B10" s="437" t="s">
        <v>242</v>
      </c>
      <c r="C10" s="101" t="s">
        <v>213</v>
      </c>
      <c r="D10" s="438">
        <f>+'3. sz.Városi szintű összesen'!J34</f>
        <v>51854877</v>
      </c>
      <c r="E10" s="439"/>
      <c r="F10" s="441" t="s">
        <v>234</v>
      </c>
      <c r="G10" s="98" t="s">
        <v>204</v>
      </c>
      <c r="H10" s="438">
        <f>+'3. sz.Városi szintű összesen'!J12</f>
        <v>2638846498</v>
      </c>
    </row>
    <row r="11" spans="1:10" ht="22.5" customHeight="1" x14ac:dyDescent="0.25">
      <c r="A11" s="429" t="s">
        <v>193</v>
      </c>
      <c r="B11" s="437" t="s">
        <v>237</v>
      </c>
      <c r="C11" s="101" t="s">
        <v>214</v>
      </c>
      <c r="D11" s="438">
        <f>+'3. sz.Városi szintű összesen'!J35</f>
        <v>0</v>
      </c>
      <c r="E11" s="439"/>
      <c r="F11" s="437" t="s">
        <v>241</v>
      </c>
      <c r="G11" s="98" t="s">
        <v>205</v>
      </c>
      <c r="H11" s="438">
        <f>+'3. sz.Városi szintű összesen'!J16</f>
        <v>1479496135</v>
      </c>
    </row>
    <row r="12" spans="1:10" ht="22.5" customHeight="1" x14ac:dyDescent="0.25">
      <c r="A12" s="429" t="s">
        <v>194</v>
      </c>
      <c r="B12" s="437" t="s">
        <v>238</v>
      </c>
      <c r="C12" s="101" t="s">
        <v>215</v>
      </c>
      <c r="D12" s="438">
        <f>+'3. sz.Városi szintű összesen'!J36</f>
        <v>8395200</v>
      </c>
      <c r="E12" s="439"/>
      <c r="F12" s="441" t="s">
        <v>332</v>
      </c>
      <c r="G12" s="98" t="s">
        <v>206</v>
      </c>
      <c r="H12" s="438">
        <f>+'3. sz.Városi szintű összesen'!J17</f>
        <v>266068695</v>
      </c>
    </row>
    <row r="13" spans="1:10" ht="22.5" customHeight="1" x14ac:dyDescent="0.25">
      <c r="A13" s="429" t="s">
        <v>195</v>
      </c>
      <c r="B13" s="101"/>
      <c r="C13" s="101"/>
      <c r="D13" s="438"/>
      <c r="E13" s="439"/>
      <c r="F13" s="441" t="s">
        <v>235</v>
      </c>
      <c r="G13" s="98" t="s">
        <v>207</v>
      </c>
      <c r="H13" s="438">
        <f>+'3. sz.Városi szintű összesen'!J18</f>
        <v>28820000</v>
      </c>
    </row>
    <row r="14" spans="1:10" ht="22.5" customHeight="1" x14ac:dyDescent="0.25">
      <c r="A14" s="429" t="s">
        <v>196</v>
      </c>
      <c r="B14" s="102" t="s">
        <v>239</v>
      </c>
      <c r="C14" s="101" t="s">
        <v>216</v>
      </c>
      <c r="D14" s="442">
        <f>SUM(D6:D13)</f>
        <v>7830840707</v>
      </c>
      <c r="E14" s="439"/>
      <c r="F14" s="101" t="s">
        <v>236</v>
      </c>
      <c r="G14" s="102" t="s">
        <v>208</v>
      </c>
      <c r="H14" s="442">
        <f>SUM(H6:H13)</f>
        <v>11261752615</v>
      </c>
      <c r="I14" s="672">
        <f>+'3. sz.Városi szintű összesen'!J37</f>
        <v>7830840707</v>
      </c>
      <c r="J14" s="672">
        <f>+'3. sz.Városi szintű összesen'!J20</f>
        <v>11261752615</v>
      </c>
    </row>
    <row r="15" spans="1:10" ht="22.5" customHeight="1" x14ac:dyDescent="0.25">
      <c r="A15" s="429" t="s">
        <v>197</v>
      </c>
      <c r="B15" s="441" t="s">
        <v>973</v>
      </c>
      <c r="C15" s="101"/>
      <c r="D15" s="438">
        <f>D6+D9+D8+D11</f>
        <v>7770590630</v>
      </c>
      <c r="E15" s="439"/>
      <c r="F15" s="437" t="s">
        <v>974</v>
      </c>
      <c r="G15" s="441"/>
      <c r="H15" s="438">
        <f>H6+H8+H9+H10+H7</f>
        <v>9487367785</v>
      </c>
    </row>
    <row r="16" spans="1:10" ht="22.5" customHeight="1" x14ac:dyDescent="0.25">
      <c r="A16" s="429" t="s">
        <v>198</v>
      </c>
      <c r="B16" s="441" t="s">
        <v>975</v>
      </c>
      <c r="C16" s="101"/>
      <c r="D16" s="438">
        <f>D7+D10+D12</f>
        <v>60250077</v>
      </c>
      <c r="E16" s="439"/>
      <c r="F16" s="437" t="s">
        <v>976</v>
      </c>
      <c r="G16" s="101"/>
      <c r="H16" s="438">
        <f>H11+H12+H13</f>
        <v>1774384830</v>
      </c>
    </row>
    <row r="17" spans="1:10" ht="22.5" customHeight="1" x14ac:dyDescent="0.25">
      <c r="A17" s="429" t="s">
        <v>225</v>
      </c>
      <c r="B17" s="101" t="s">
        <v>240</v>
      </c>
      <c r="C17" s="102" t="s">
        <v>218</v>
      </c>
      <c r="D17" s="442">
        <f>SUM(D18:D23)</f>
        <v>7880723998</v>
      </c>
      <c r="E17" s="439"/>
      <c r="F17" s="101" t="s">
        <v>221</v>
      </c>
      <c r="G17" s="101" t="s">
        <v>217</v>
      </c>
      <c r="H17" s="442">
        <f>SUM(H18:H22)</f>
        <v>4449812090</v>
      </c>
      <c r="I17" s="672">
        <f>+'3. sz.Városi szintű összesen'!J38</f>
        <v>7880723998</v>
      </c>
      <c r="J17" s="672">
        <f>+'3. sz.Városi szintű összesen'!J21</f>
        <v>4449812090</v>
      </c>
    </row>
    <row r="18" spans="1:10" ht="22.5" customHeight="1" x14ac:dyDescent="0.25">
      <c r="A18" s="429" t="s">
        <v>226</v>
      </c>
      <c r="B18" s="443" t="s">
        <v>977</v>
      </c>
      <c r="C18" s="441"/>
      <c r="D18" s="438">
        <f>+'3. sz.Városi szintű összesen'!J40</f>
        <v>2456933339</v>
      </c>
      <c r="E18" s="439"/>
      <c r="F18" s="443" t="s">
        <v>978</v>
      </c>
      <c r="G18" s="437"/>
      <c r="H18" s="438">
        <f>+'3. sz.Városi szintű összesen'!J22</f>
        <v>72036518</v>
      </c>
    </row>
    <row r="19" spans="1:10" ht="22.5" customHeight="1" x14ac:dyDescent="0.25">
      <c r="A19" s="429" t="s">
        <v>227</v>
      </c>
      <c r="B19" s="437" t="s">
        <v>979</v>
      </c>
      <c r="C19" s="441"/>
      <c r="D19" s="438">
        <f>+'3. sz.Városi szintű összesen'!J41</f>
        <v>1074197711</v>
      </c>
      <c r="E19" s="439"/>
      <c r="F19" s="437" t="s">
        <v>980</v>
      </c>
      <c r="G19" s="101"/>
      <c r="H19" s="438">
        <f>+'3. sz.Városi szintű összesen'!J23</f>
        <v>4291386848</v>
      </c>
    </row>
    <row r="20" spans="1:10" ht="22.5" customHeight="1" x14ac:dyDescent="0.25">
      <c r="A20" s="429" t="s">
        <v>228</v>
      </c>
      <c r="B20" s="437" t="s">
        <v>539</v>
      </c>
      <c r="C20" s="437"/>
      <c r="D20" s="438">
        <f>+'3. sz.Városi szintű összesen'!J42</f>
        <v>4291386848</v>
      </c>
      <c r="E20" s="439"/>
      <c r="F20" s="437" t="s">
        <v>981</v>
      </c>
      <c r="G20" s="444"/>
      <c r="H20" s="438">
        <f>+'3. sz.Városi szintű összesen'!J24</f>
        <v>58206100</v>
      </c>
    </row>
    <row r="21" spans="1:10" ht="22.5" customHeight="1" x14ac:dyDescent="0.25">
      <c r="A21" s="429" t="s">
        <v>229</v>
      </c>
      <c r="B21" s="437" t="s">
        <v>540</v>
      </c>
      <c r="C21" s="437"/>
      <c r="D21" s="438">
        <f>+'3. sz.Városi szintű összesen'!J43</f>
        <v>58206100</v>
      </c>
      <c r="E21" s="439"/>
      <c r="F21" s="437" t="s">
        <v>127</v>
      </c>
      <c r="G21" s="445"/>
      <c r="H21" s="438">
        <f>+'3. sz.Városi szintű összesen'!J25</f>
        <v>28182624</v>
      </c>
    </row>
    <row r="22" spans="1:10" ht="22.5" customHeight="1" x14ac:dyDescent="0.25">
      <c r="A22" s="429" t="s">
        <v>230</v>
      </c>
      <c r="B22" s="443" t="s">
        <v>982</v>
      </c>
      <c r="C22" s="437"/>
      <c r="D22" s="438">
        <f>+'[3]3. sz.Városi szintű összesen'!G44</f>
        <v>0</v>
      </c>
      <c r="E22" s="439"/>
      <c r="F22" s="443" t="s">
        <v>983</v>
      </c>
      <c r="G22" s="445"/>
      <c r="H22" s="438">
        <f>+'3. sz.Városi szintű összesen'!J26</f>
        <v>0</v>
      </c>
    </row>
    <row r="23" spans="1:10" ht="22.5" customHeight="1" x14ac:dyDescent="0.25">
      <c r="A23" s="429" t="s">
        <v>231</v>
      </c>
      <c r="B23" s="443" t="s">
        <v>984</v>
      </c>
      <c r="C23" s="437"/>
      <c r="D23" s="438">
        <f>+'[3]3. sz.Városi szintű összesen'!G45</f>
        <v>0</v>
      </c>
      <c r="E23" s="439"/>
      <c r="F23" s="101"/>
      <c r="G23" s="445"/>
      <c r="H23" s="438"/>
    </row>
    <row r="24" spans="1:10" ht="22.5" customHeight="1" x14ac:dyDescent="0.25">
      <c r="A24" s="429"/>
      <c r="B24" s="443" t="s">
        <v>985</v>
      </c>
      <c r="C24" s="437"/>
      <c r="D24" s="438">
        <f>+'[3]3. sz.Városi szintű összesen'!G39</f>
        <v>0</v>
      </c>
      <c r="E24" s="439"/>
      <c r="F24" s="101"/>
      <c r="G24" s="445"/>
      <c r="H24" s="438"/>
    </row>
    <row r="25" spans="1:10" ht="31.5" x14ac:dyDescent="0.25">
      <c r="A25" s="429" t="s">
        <v>232</v>
      </c>
      <c r="B25" s="101" t="s">
        <v>113</v>
      </c>
      <c r="C25" s="437"/>
      <c r="D25" s="438">
        <f>+D6+D8+D9+D11+D18+D20+D23+D24</f>
        <v>14518910817</v>
      </c>
      <c r="E25" s="439"/>
      <c r="F25" s="101" t="s">
        <v>32</v>
      </c>
      <c r="G25" s="445"/>
      <c r="H25" s="438">
        <f>+H6+H7+H8+H9+H10+H18+H19+H22</f>
        <v>13850791151</v>
      </c>
    </row>
    <row r="26" spans="1:10" ht="31.5" x14ac:dyDescent="0.25">
      <c r="A26" s="429" t="s">
        <v>233</v>
      </c>
      <c r="B26" s="101" t="s">
        <v>114</v>
      </c>
      <c r="C26" s="437"/>
      <c r="D26" s="438">
        <f>+D7+D10+D12+D19+D21+D22</f>
        <v>1192653888</v>
      </c>
      <c r="E26" s="439"/>
      <c r="F26" s="101" t="s">
        <v>33</v>
      </c>
      <c r="G26" s="445"/>
      <c r="H26" s="438">
        <f>+H11+H12+H13+H20+H21</f>
        <v>1860773554</v>
      </c>
    </row>
    <row r="27" spans="1:10" ht="23.25" customHeight="1" x14ac:dyDescent="0.25">
      <c r="A27" s="429" t="s">
        <v>260</v>
      </c>
      <c r="B27" s="446" t="s">
        <v>328</v>
      </c>
      <c r="C27" s="447" t="s">
        <v>859</v>
      </c>
      <c r="D27" s="448">
        <f>+D25+D26</f>
        <v>15711564705</v>
      </c>
      <c r="E27" s="449"/>
      <c r="F27" s="447" t="s">
        <v>327</v>
      </c>
      <c r="G27" s="447" t="s">
        <v>31</v>
      </c>
      <c r="H27" s="448">
        <f>SUM(H25:H26)</f>
        <v>15711564705</v>
      </c>
      <c r="I27" s="672">
        <f>+'3. sz.Városi szintű összesen'!J48</f>
        <v>15711564705</v>
      </c>
      <c r="J27" s="672">
        <f>+'3. sz.Városi szintű összesen'!J29</f>
        <v>15711564705</v>
      </c>
    </row>
    <row r="29" spans="1:10" ht="20.25" customHeight="1" x14ac:dyDescent="0.25">
      <c r="B29" s="450" t="s">
        <v>986</v>
      </c>
      <c r="F29" s="451"/>
    </row>
    <row r="30" spans="1:10" ht="19.5" customHeight="1" x14ac:dyDescent="0.25">
      <c r="B30" s="1998" t="s">
        <v>987</v>
      </c>
      <c r="C30" s="1998"/>
      <c r="D30" s="453">
        <f>+D15</f>
        <v>7770590630</v>
      </c>
      <c r="E30" s="452"/>
      <c r="F30" s="1998"/>
      <c r="G30" s="1998"/>
      <c r="H30" s="453"/>
    </row>
    <row r="31" spans="1:10" ht="19.5" customHeight="1" x14ac:dyDescent="0.25">
      <c r="B31" s="1998" t="s">
        <v>988</v>
      </c>
      <c r="C31" s="1998"/>
      <c r="D31" s="453">
        <f>+H15</f>
        <v>9487367785</v>
      </c>
      <c r="E31" s="452"/>
      <c r="F31" s="1998"/>
      <c r="G31" s="1998"/>
      <c r="H31" s="453"/>
    </row>
    <row r="32" spans="1:10" ht="19.5" customHeight="1" x14ac:dyDescent="0.25">
      <c r="B32" s="1998" t="s">
        <v>989</v>
      </c>
      <c r="C32" s="1998"/>
      <c r="D32" s="454">
        <f>+D30-D31</f>
        <v>-1716777155</v>
      </c>
      <c r="E32" s="452"/>
      <c r="F32" s="1998"/>
      <c r="G32" s="1998"/>
      <c r="H32" s="454"/>
    </row>
    <row r="33" spans="2:8" ht="15.75" x14ac:dyDescent="0.25">
      <c r="B33" s="452"/>
      <c r="C33" s="452"/>
      <c r="D33" s="455"/>
      <c r="E33" s="452"/>
      <c r="F33" s="452"/>
      <c r="G33" s="452"/>
      <c r="H33" s="455"/>
    </row>
    <row r="34" spans="2:8" ht="20.25" customHeight="1" x14ac:dyDescent="0.25">
      <c r="B34" s="1998" t="s">
        <v>990</v>
      </c>
      <c r="C34" s="1998"/>
      <c r="D34" s="453">
        <f>+D16</f>
        <v>60250077</v>
      </c>
      <c r="E34" s="452"/>
      <c r="F34" s="1998"/>
      <c r="G34" s="1998"/>
      <c r="H34" s="453"/>
    </row>
    <row r="35" spans="2:8" ht="20.25" customHeight="1" x14ac:dyDescent="0.25">
      <c r="B35" s="1998" t="s">
        <v>991</v>
      </c>
      <c r="C35" s="1998"/>
      <c r="D35" s="453">
        <f>+H16</f>
        <v>1774384830</v>
      </c>
      <c r="E35" s="452"/>
      <c r="F35" s="1998"/>
      <c r="G35" s="1998"/>
      <c r="H35" s="453"/>
    </row>
    <row r="36" spans="2:8" ht="20.25" customHeight="1" x14ac:dyDescent="0.25">
      <c r="B36" s="1998" t="s">
        <v>992</v>
      </c>
      <c r="C36" s="1998"/>
      <c r="D36" s="454">
        <f>+D34-D35</f>
        <v>-1714134753</v>
      </c>
      <c r="E36" s="452"/>
      <c r="F36" s="1998"/>
      <c r="G36" s="1998"/>
      <c r="H36" s="454"/>
    </row>
    <row r="37" spans="2:8" ht="15.75" x14ac:dyDescent="0.25">
      <c r="B37" s="452"/>
      <c r="C37" s="452"/>
      <c r="D37" s="455"/>
      <c r="E37" s="452"/>
      <c r="F37" s="452"/>
      <c r="G37" s="452"/>
      <c r="H37" s="455"/>
    </row>
    <row r="38" spans="2:8" ht="32.25" customHeight="1" x14ac:dyDescent="0.25">
      <c r="B38" s="1999" t="s">
        <v>993</v>
      </c>
      <c r="C38" s="1999"/>
      <c r="D38" s="458">
        <f>+D32+D36</f>
        <v>-3430911908</v>
      </c>
      <c r="E38" s="457"/>
      <c r="F38" s="1999"/>
      <c r="G38" s="1999"/>
      <c r="H38" s="458"/>
    </row>
    <row r="39" spans="2:8" ht="39" customHeight="1" x14ac:dyDescent="0.25">
      <c r="B39" s="1999" t="s">
        <v>994</v>
      </c>
      <c r="C39" s="1999"/>
      <c r="D39" s="458">
        <f>+D17-H17</f>
        <v>3430911908</v>
      </c>
      <c r="E39" s="457"/>
      <c r="F39" s="1999"/>
      <c r="G39" s="1999"/>
      <c r="H39" s="458"/>
    </row>
    <row r="40" spans="2:8" ht="36" customHeight="1" x14ac:dyDescent="0.25">
      <c r="B40" s="1999" t="s">
        <v>995</v>
      </c>
      <c r="C40" s="1999"/>
      <c r="D40" s="459">
        <f>+D38+D39</f>
        <v>0</v>
      </c>
      <c r="E40" s="460"/>
      <c r="F40" s="1999"/>
      <c r="G40" s="1999"/>
      <c r="H40" s="459"/>
    </row>
    <row r="42" spans="2:8" x14ac:dyDescent="0.25">
      <c r="D42" s="456">
        <f>+D18+D19-H18-H21</f>
        <v>3430911908</v>
      </c>
    </row>
  </sheetData>
  <mergeCells count="22">
    <mergeCell ref="B39:C39"/>
    <mergeCell ref="F39:G39"/>
    <mergeCell ref="B40:C40"/>
    <mergeCell ref="F40:G40"/>
    <mergeCell ref="B35:C35"/>
    <mergeCell ref="F35:G35"/>
    <mergeCell ref="B36:C36"/>
    <mergeCell ref="F36:G36"/>
    <mergeCell ref="B38:C38"/>
    <mergeCell ref="F38:G38"/>
    <mergeCell ref="B31:C31"/>
    <mergeCell ref="F31:G31"/>
    <mergeCell ref="B32:C32"/>
    <mergeCell ref="F32:G32"/>
    <mergeCell ref="B34:C34"/>
    <mergeCell ref="F34:G34"/>
    <mergeCell ref="A1:H1"/>
    <mergeCell ref="A4:A5"/>
    <mergeCell ref="B4:D4"/>
    <mergeCell ref="F4:H4"/>
    <mergeCell ref="B30:C30"/>
    <mergeCell ref="F30:G30"/>
  </mergeCells>
  <printOptions horizontalCentered="1" verticalCentered="1"/>
  <pageMargins left="0.70866141732283472" right="0.70866141732283472" top="0.55118110236220474" bottom="0.74803149606299213" header="0.31496062992125984" footer="0.31496062992125984"/>
  <pageSetup paperSize="9" scale="55" orientation="landscape" r:id="rId1"/>
  <headerFooter>
    <oddHeader>&amp;C2022. évi költségvetés&amp;R&amp;A</oddHeader>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R51"/>
  <sheetViews>
    <sheetView view="pageBreakPreview" zoomScale="80" zoomScaleNormal="70" zoomScaleSheetLayoutView="80" workbookViewId="0">
      <pane xSplit="3" ySplit="8" topLeftCell="G9" activePane="bottomRight" state="frozen"/>
      <selection pane="topRight" activeCell="D1" sqref="D1"/>
      <selection pane="bottomLeft" activeCell="A8" sqref="A8"/>
      <selection pane="bottomRight" activeCell="G11" sqref="G11"/>
    </sheetView>
  </sheetViews>
  <sheetFormatPr defaultRowHeight="12.75" x14ac:dyDescent="0.2"/>
  <cols>
    <col min="1" max="1" width="7" style="23" customWidth="1"/>
    <col min="2" max="2" width="64.85546875" style="23" customWidth="1"/>
    <col min="3" max="3" width="7" style="143" customWidth="1"/>
    <col min="4" max="5" width="19.5703125" style="24" customWidth="1"/>
    <col min="6" max="7" width="21" style="24" customWidth="1"/>
    <col min="8" max="9" width="19.42578125" style="24" customWidth="1"/>
    <col min="10" max="10" width="23.5703125" style="24" customWidth="1"/>
    <col min="11" max="11" width="22" style="24" customWidth="1"/>
    <col min="12" max="16" width="18.42578125" style="24" customWidth="1"/>
    <col min="17" max="17" width="18.42578125" style="23" customWidth="1"/>
    <col min="18" max="18" width="14.28515625" style="23" customWidth="1"/>
    <col min="19" max="16384" width="9.140625" style="23"/>
  </cols>
  <sheetData>
    <row r="1" spans="1:18" ht="15.75" x14ac:dyDescent="0.25">
      <c r="A1" s="195"/>
      <c r="B1" s="195"/>
      <c r="C1" s="205"/>
      <c r="D1" s="197"/>
      <c r="E1" s="197"/>
      <c r="F1" s="197"/>
      <c r="G1" s="198" t="s">
        <v>431</v>
      </c>
      <c r="H1" s="198"/>
      <c r="I1" s="198"/>
      <c r="K1" s="198" t="s">
        <v>431</v>
      </c>
      <c r="L1" s="197"/>
      <c r="M1" s="197"/>
      <c r="N1" s="197"/>
      <c r="O1" s="198" t="s">
        <v>431</v>
      </c>
      <c r="Q1" s="198" t="s">
        <v>431</v>
      </c>
    </row>
    <row r="2" spans="1:18" ht="39.75" customHeight="1" x14ac:dyDescent="0.2">
      <c r="A2" s="1739" t="s">
        <v>137</v>
      </c>
      <c r="B2" s="1740"/>
      <c r="C2" s="1741"/>
      <c r="D2" s="1745" t="s">
        <v>3034</v>
      </c>
      <c r="E2" s="1746"/>
      <c r="F2" s="1746"/>
      <c r="G2" s="1747"/>
      <c r="H2" s="1745" t="s">
        <v>3034</v>
      </c>
      <c r="I2" s="1746"/>
      <c r="J2" s="1746"/>
      <c r="K2" s="1747"/>
      <c r="L2" s="1745" t="s">
        <v>3034</v>
      </c>
      <c r="M2" s="1746"/>
      <c r="N2" s="1746"/>
      <c r="O2" s="1747"/>
      <c r="P2" s="1745" t="s">
        <v>3034</v>
      </c>
      <c r="Q2" s="1747"/>
    </row>
    <row r="3" spans="1:18" ht="39" customHeight="1" x14ac:dyDescent="0.2">
      <c r="A3" s="1742"/>
      <c r="B3" s="1743"/>
      <c r="C3" s="1744"/>
      <c r="D3" s="1611" t="s">
        <v>273</v>
      </c>
      <c r="E3" s="1611" t="s">
        <v>1561</v>
      </c>
      <c r="F3" s="1611" t="s">
        <v>273</v>
      </c>
      <c r="G3" s="1611" t="s">
        <v>1561</v>
      </c>
      <c r="H3" s="1611" t="s">
        <v>273</v>
      </c>
      <c r="I3" s="1611" t="s">
        <v>1561</v>
      </c>
      <c r="J3" s="1611" t="s">
        <v>273</v>
      </c>
      <c r="K3" s="1611" t="s">
        <v>1561</v>
      </c>
      <c r="L3" s="1611" t="s">
        <v>273</v>
      </c>
      <c r="M3" s="1611" t="s">
        <v>1561</v>
      </c>
      <c r="N3" s="1611" t="s">
        <v>273</v>
      </c>
      <c r="O3" s="1611" t="s">
        <v>1561</v>
      </c>
      <c r="P3" s="1611" t="s">
        <v>273</v>
      </c>
      <c r="Q3" s="1611" t="s">
        <v>1561</v>
      </c>
    </row>
    <row r="4" spans="1:18" ht="102" customHeight="1" x14ac:dyDescent="0.2">
      <c r="A4" s="1748" t="s">
        <v>186</v>
      </c>
      <c r="B4" s="1749" t="s">
        <v>244</v>
      </c>
      <c r="C4" s="1749"/>
      <c r="D4" s="1604" t="s">
        <v>480</v>
      </c>
      <c r="E4" s="1604" t="s">
        <v>480</v>
      </c>
      <c r="F4" s="1605" t="s">
        <v>481</v>
      </c>
      <c r="G4" s="1605" t="s">
        <v>481</v>
      </c>
      <c r="H4" s="1605" t="s">
        <v>482</v>
      </c>
      <c r="I4" s="1605" t="s">
        <v>482</v>
      </c>
      <c r="J4" s="1605" t="s">
        <v>337</v>
      </c>
      <c r="K4" s="1605" t="s">
        <v>337</v>
      </c>
      <c r="L4" s="1605" t="s">
        <v>481</v>
      </c>
      <c r="M4" s="1605" t="s">
        <v>481</v>
      </c>
      <c r="N4" s="1605" t="s">
        <v>481</v>
      </c>
      <c r="O4" s="1605" t="s">
        <v>481</v>
      </c>
      <c r="P4" s="1750" t="s">
        <v>139</v>
      </c>
      <c r="Q4" s="1750" t="s">
        <v>139</v>
      </c>
    </row>
    <row r="5" spans="1:18" ht="25.5" customHeight="1" x14ac:dyDescent="0.2">
      <c r="A5" s="1748"/>
      <c r="B5" s="1749" t="s">
        <v>11</v>
      </c>
      <c r="C5" s="1749"/>
      <c r="D5" s="1604" t="s">
        <v>222</v>
      </c>
      <c r="E5" s="1604" t="s">
        <v>222</v>
      </c>
      <c r="F5" s="1604" t="s">
        <v>222</v>
      </c>
      <c r="G5" s="1604" t="s">
        <v>222</v>
      </c>
      <c r="H5" s="1604" t="s">
        <v>222</v>
      </c>
      <c r="I5" s="1604" t="s">
        <v>222</v>
      </c>
      <c r="J5" s="1604" t="s">
        <v>222</v>
      </c>
      <c r="K5" s="1604" t="s">
        <v>222</v>
      </c>
      <c r="L5" s="1604" t="s">
        <v>222</v>
      </c>
      <c r="M5" s="1604" t="s">
        <v>222</v>
      </c>
      <c r="N5" s="1604" t="s">
        <v>222</v>
      </c>
      <c r="O5" s="1604" t="s">
        <v>222</v>
      </c>
      <c r="P5" s="1750"/>
      <c r="Q5" s="1750"/>
    </row>
    <row r="6" spans="1:18" ht="15.75" customHeight="1" x14ac:dyDescent="0.2">
      <c r="A6" s="1748"/>
      <c r="B6" s="1719" t="s">
        <v>713</v>
      </c>
      <c r="C6" s="1719"/>
      <c r="D6" s="1738" t="s">
        <v>397</v>
      </c>
      <c r="E6" s="1738" t="s">
        <v>397</v>
      </c>
      <c r="F6" s="1738" t="s">
        <v>398</v>
      </c>
      <c r="G6" s="1738" t="s">
        <v>398</v>
      </c>
      <c r="H6" s="1738" t="s">
        <v>399</v>
      </c>
      <c r="I6" s="1738" t="s">
        <v>399</v>
      </c>
      <c r="J6" s="1738" t="s">
        <v>1354</v>
      </c>
      <c r="K6" s="1738" t="s">
        <v>1354</v>
      </c>
      <c r="L6" s="1752" t="s">
        <v>622</v>
      </c>
      <c r="M6" s="1752" t="s">
        <v>622</v>
      </c>
      <c r="N6" s="1738" t="s">
        <v>832</v>
      </c>
      <c r="O6" s="1738" t="s">
        <v>832</v>
      </c>
      <c r="P6" s="1750"/>
      <c r="Q6" s="1750"/>
    </row>
    <row r="7" spans="1:18" ht="66" customHeight="1" x14ac:dyDescent="0.2">
      <c r="A7" s="1748"/>
      <c r="B7" s="1606" t="s">
        <v>187</v>
      </c>
      <c r="C7" s="144" t="s">
        <v>245</v>
      </c>
      <c r="D7" s="1738"/>
      <c r="E7" s="1738"/>
      <c r="F7" s="1738"/>
      <c r="G7" s="1738"/>
      <c r="H7" s="1738"/>
      <c r="I7" s="1738"/>
      <c r="J7" s="1738"/>
      <c r="K7" s="1738"/>
      <c r="L7" s="1753"/>
      <c r="M7" s="1753"/>
      <c r="N7" s="1738"/>
      <c r="O7" s="1738"/>
      <c r="P7" s="1750"/>
      <c r="Q7" s="1750"/>
    </row>
    <row r="8" spans="1:18" ht="15.75" x14ac:dyDescent="0.2">
      <c r="A8" s="27" t="s">
        <v>188</v>
      </c>
      <c r="B8" s="28" t="s">
        <v>189</v>
      </c>
      <c r="C8" s="28" t="s">
        <v>190</v>
      </c>
      <c r="D8" s="419" t="s">
        <v>191</v>
      </c>
      <c r="E8" s="419" t="s">
        <v>192</v>
      </c>
      <c r="F8" s="419" t="s">
        <v>193</v>
      </c>
      <c r="G8" s="419" t="s">
        <v>194</v>
      </c>
      <c r="H8" s="419" t="s">
        <v>195</v>
      </c>
      <c r="I8" s="419" t="s">
        <v>196</v>
      </c>
      <c r="J8" s="419" t="s">
        <v>197</v>
      </c>
      <c r="K8" s="419" t="s">
        <v>198</v>
      </c>
      <c r="L8" s="419" t="s">
        <v>225</v>
      </c>
      <c r="M8" s="419" t="s">
        <v>226</v>
      </c>
      <c r="N8" s="419" t="s">
        <v>227</v>
      </c>
      <c r="O8" s="419" t="s">
        <v>228</v>
      </c>
      <c r="P8" s="419" t="s">
        <v>229</v>
      </c>
      <c r="Q8" s="419" t="s">
        <v>230</v>
      </c>
    </row>
    <row r="9" spans="1:18" ht="21.75" customHeight="1" x14ac:dyDescent="0.25">
      <c r="A9" s="29" t="s">
        <v>188</v>
      </c>
      <c r="B9" s="26" t="s">
        <v>329</v>
      </c>
      <c r="C9" s="30" t="s">
        <v>199</v>
      </c>
      <c r="D9" s="201"/>
      <c r="E9" s="201"/>
      <c r="F9" s="201">
        <v>315439084</v>
      </c>
      <c r="G9" s="201">
        <f>+F9-688026+650526-1207011+607011-484868+484868-623077+623077+7575000-541522+541522-675967+675967+1008120-71725+71725-231073+231073+4750000-230946+230946-889509+150958+738551-27036540+27000000+36540-2606236+278498-71999+66849+5150</f>
        <v>325806966</v>
      </c>
      <c r="H9" s="201">
        <v>121511113</v>
      </c>
      <c r="I9" s="201">
        <f>+H9-205623+205623-100000+100000-206728+206728-512579+512579+3150000-139134+139134-100000+100000-350000+300000+50000-263710+263710+2300000-92035+92035-100000+100000-11672092+11500000+172092+2327738-559682+559682-94960+94960-200509+200000+509</f>
        <v>129288851</v>
      </c>
      <c r="J9" s="201"/>
      <c r="K9" s="201">
        <f>37500+600000</f>
        <v>637500</v>
      </c>
      <c r="L9" s="201"/>
      <c r="M9" s="201"/>
      <c r="N9" s="201"/>
      <c r="O9" s="201"/>
      <c r="P9" s="201">
        <f>D9+F9+H9+J9+L9+N9</f>
        <v>436950197</v>
      </c>
      <c r="Q9" s="201">
        <f>E9+G9+I9+K9+M9+O9</f>
        <v>455733317</v>
      </c>
      <c r="R9" s="94"/>
    </row>
    <row r="10" spans="1:18" ht="21.75" customHeight="1" x14ac:dyDescent="0.25">
      <c r="A10" s="29" t="s">
        <v>189</v>
      </c>
      <c r="B10" s="31" t="s">
        <v>200</v>
      </c>
      <c r="C10" s="30" t="s">
        <v>201</v>
      </c>
      <c r="D10" s="201"/>
      <c r="E10" s="201"/>
      <c r="F10" s="201">
        <f>42914581+6660000+200000</f>
        <v>49774581</v>
      </c>
      <c r="G10" s="201">
        <f>+F10-4388-80000+984750+131056+1330000</f>
        <v>52135999</v>
      </c>
      <c r="H10" s="201">
        <v>16636445</v>
      </c>
      <c r="I10" s="201">
        <f>+H10+409500+644000</f>
        <v>17689945</v>
      </c>
      <c r="J10" s="201"/>
      <c r="K10" s="201">
        <f>4388+80000</f>
        <v>84388</v>
      </c>
      <c r="L10" s="201"/>
      <c r="M10" s="201"/>
      <c r="N10" s="201"/>
      <c r="O10" s="201"/>
      <c r="P10" s="201">
        <f t="shared" ref="P10:P51" si="0">D10+F10+H10+J10+L10+N10</f>
        <v>66411026</v>
      </c>
      <c r="Q10" s="201">
        <f t="shared" ref="Q10:Q51" si="1">E10+G10+I10+K10+M10+O10</f>
        <v>69910332</v>
      </c>
      <c r="R10" s="94"/>
    </row>
    <row r="11" spans="1:18" ht="21.75" customHeight="1" x14ac:dyDescent="0.25">
      <c r="A11" s="29" t="s">
        <v>190</v>
      </c>
      <c r="B11" s="31" t="s">
        <v>330</v>
      </c>
      <c r="C11" s="30" t="s">
        <v>202</v>
      </c>
      <c r="D11" s="201">
        <v>131000</v>
      </c>
      <c r="E11" s="201">
        <f>+D11</f>
        <v>131000</v>
      </c>
      <c r="F11" s="201">
        <f>+(63918650)+3699718</f>
        <v>67618368</v>
      </c>
      <c r="G11" s="201">
        <f>+F11-1996299+1996299+1996299+539001+5859+5600000+1512000+300000-425197-114803+153883-200000+200000+500000+210000+1200720+324195-279370-75430-200000+200000+360000+97200-271134</f>
        <v>79251591</v>
      </c>
      <c r="H11" s="201">
        <f>+(21827500)+73147</f>
        <v>21900647</v>
      </c>
      <c r="I11" s="201">
        <f>+H11-20000+20000-425426+425426+425426+114865+264000+71280-250000-67500-169319-45716-176000+176000-300000-81000-698500</f>
        <v>21164183</v>
      </c>
      <c r="J11" s="201">
        <v>523200</v>
      </c>
      <c r="K11" s="201">
        <f>+J11-10000+10000</f>
        <v>523200</v>
      </c>
      <c r="L11" s="201"/>
      <c r="M11" s="201"/>
      <c r="N11" s="201"/>
      <c r="O11" s="201">
        <f>275591+74409+251969+68031-22106+22106+314961+85039-10000+10000-150848+150848</f>
        <v>1070000</v>
      </c>
      <c r="P11" s="201">
        <f t="shared" si="0"/>
        <v>90173215</v>
      </c>
      <c r="Q11" s="201">
        <f t="shared" si="1"/>
        <v>102139974</v>
      </c>
      <c r="R11" s="94"/>
    </row>
    <row r="12" spans="1:18" ht="21.75" customHeight="1" x14ac:dyDescent="0.25">
      <c r="A12" s="29" t="s">
        <v>191</v>
      </c>
      <c r="B12" s="32" t="s">
        <v>331</v>
      </c>
      <c r="C12" s="30" t="s">
        <v>203</v>
      </c>
      <c r="D12" s="201"/>
      <c r="E12" s="201"/>
      <c r="F12" s="201"/>
      <c r="G12" s="201"/>
      <c r="H12" s="201"/>
      <c r="I12" s="201"/>
      <c r="J12" s="201"/>
      <c r="K12" s="201"/>
      <c r="L12" s="201"/>
      <c r="M12" s="201"/>
      <c r="N12" s="201"/>
      <c r="O12" s="201"/>
      <c r="P12" s="201">
        <f t="shared" si="0"/>
        <v>0</v>
      </c>
      <c r="Q12" s="201">
        <f t="shared" si="1"/>
        <v>0</v>
      </c>
    </row>
    <row r="13" spans="1:18" ht="21.75" customHeight="1" x14ac:dyDescent="0.25">
      <c r="A13" s="29" t="s">
        <v>192</v>
      </c>
      <c r="B13" s="32" t="s">
        <v>234</v>
      </c>
      <c r="C13" s="30" t="s">
        <v>204</v>
      </c>
      <c r="D13" s="201">
        <f t="shared" ref="D13:O13" si="2">SUM(D14:D16)</f>
        <v>0</v>
      </c>
      <c r="E13" s="201">
        <f t="shared" si="2"/>
        <v>5361669</v>
      </c>
      <c r="F13" s="201">
        <f t="shared" si="2"/>
        <v>0</v>
      </c>
      <c r="G13" s="201">
        <f t="shared" si="2"/>
        <v>0</v>
      </c>
      <c r="H13" s="201">
        <f t="shared" si="2"/>
        <v>0</v>
      </c>
      <c r="I13" s="201">
        <f t="shared" si="2"/>
        <v>0</v>
      </c>
      <c r="J13" s="201">
        <f t="shared" si="2"/>
        <v>0</v>
      </c>
      <c r="K13" s="201">
        <f t="shared" si="2"/>
        <v>0</v>
      </c>
      <c r="L13" s="201">
        <f t="shared" si="2"/>
        <v>0</v>
      </c>
      <c r="M13" s="201">
        <f t="shared" si="2"/>
        <v>0</v>
      </c>
      <c r="N13" s="201">
        <f t="shared" si="2"/>
        <v>0</v>
      </c>
      <c r="O13" s="201">
        <f t="shared" si="2"/>
        <v>0</v>
      </c>
      <c r="P13" s="201">
        <f t="shared" si="0"/>
        <v>0</v>
      </c>
      <c r="Q13" s="201">
        <f t="shared" si="1"/>
        <v>5361669</v>
      </c>
    </row>
    <row r="14" spans="1:18" ht="21.75" customHeight="1" x14ac:dyDescent="0.25">
      <c r="A14" s="29" t="s">
        <v>193</v>
      </c>
      <c r="B14" s="33" t="s">
        <v>562</v>
      </c>
      <c r="C14" s="30"/>
      <c r="D14" s="201"/>
      <c r="E14" s="201"/>
      <c r="F14" s="201"/>
      <c r="G14" s="201"/>
      <c r="H14" s="201"/>
      <c r="I14" s="201"/>
      <c r="J14" s="201"/>
      <c r="K14" s="201"/>
      <c r="L14" s="201"/>
      <c r="M14" s="201"/>
      <c r="N14" s="201"/>
      <c r="O14" s="201"/>
      <c r="P14" s="201">
        <f t="shared" si="0"/>
        <v>0</v>
      </c>
      <c r="Q14" s="201">
        <f t="shared" si="1"/>
        <v>0</v>
      </c>
    </row>
    <row r="15" spans="1:18" ht="21.75" customHeight="1" x14ac:dyDescent="0.25">
      <c r="A15" s="29" t="s">
        <v>194</v>
      </c>
      <c r="B15" s="33" t="s">
        <v>563</v>
      </c>
      <c r="C15" s="34"/>
      <c r="D15" s="201"/>
      <c r="E15" s="201"/>
      <c r="F15" s="201"/>
      <c r="G15" s="201"/>
      <c r="H15" s="201"/>
      <c r="I15" s="201"/>
      <c r="J15" s="201"/>
      <c r="K15" s="201"/>
      <c r="L15" s="201"/>
      <c r="M15" s="201"/>
      <c r="N15" s="201"/>
      <c r="O15" s="201"/>
      <c r="P15" s="201">
        <f t="shared" si="0"/>
        <v>0</v>
      </c>
      <c r="Q15" s="201">
        <f t="shared" si="1"/>
        <v>0</v>
      </c>
    </row>
    <row r="16" spans="1:18" ht="21.75" customHeight="1" x14ac:dyDescent="0.25">
      <c r="A16" s="29" t="s">
        <v>195</v>
      </c>
      <c r="B16" s="103" t="s">
        <v>564</v>
      </c>
      <c r="C16" s="34"/>
      <c r="D16" s="201"/>
      <c r="E16" s="201">
        <v>5361669</v>
      </c>
      <c r="F16" s="201"/>
      <c r="G16" s="201"/>
      <c r="H16" s="201"/>
      <c r="I16" s="201"/>
      <c r="J16" s="201"/>
      <c r="K16" s="201"/>
      <c r="L16" s="201"/>
      <c r="M16" s="201"/>
      <c r="N16" s="201"/>
      <c r="O16" s="201"/>
      <c r="P16" s="201">
        <f t="shared" si="0"/>
        <v>0</v>
      </c>
      <c r="Q16" s="201">
        <f t="shared" si="1"/>
        <v>5361669</v>
      </c>
    </row>
    <row r="17" spans="1:17" ht="21.75" customHeight="1" x14ac:dyDescent="0.25">
      <c r="A17" s="29" t="s">
        <v>196</v>
      </c>
      <c r="B17" s="35" t="s">
        <v>241</v>
      </c>
      <c r="C17" s="30" t="s">
        <v>205</v>
      </c>
      <c r="D17" s="201"/>
      <c r="E17" s="201"/>
      <c r="F17" s="201">
        <f>+'6.sz. Beruházások'!D157</f>
        <v>2317500</v>
      </c>
      <c r="G17" s="201">
        <f>+F17+425197+114803-30000+30000+279370+75430</f>
        <v>3212300</v>
      </c>
      <c r="H17" s="203">
        <f>+'6.sz. Beruházások'!D158</f>
        <v>317500</v>
      </c>
      <c r="I17" s="203">
        <f>+H17+250000+67500+169319+45716+300000+81000+550000+148500</f>
        <v>1929535</v>
      </c>
      <c r="J17" s="201">
        <f>+'6.sz. Beruházások'!D159</f>
        <v>100000</v>
      </c>
      <c r="K17" s="201">
        <f>+J17</f>
        <v>100000</v>
      </c>
      <c r="L17" s="201"/>
      <c r="M17" s="201"/>
      <c r="N17" s="201"/>
      <c r="O17" s="201"/>
      <c r="P17" s="201">
        <f t="shared" si="0"/>
        <v>2735000</v>
      </c>
      <c r="Q17" s="201">
        <f t="shared" si="1"/>
        <v>5241835</v>
      </c>
    </row>
    <row r="18" spans="1:17" ht="21.75" customHeight="1" x14ac:dyDescent="0.25">
      <c r="A18" s="29" t="s">
        <v>197</v>
      </c>
      <c r="B18" s="32" t="s">
        <v>332</v>
      </c>
      <c r="C18" s="30" t="s">
        <v>206</v>
      </c>
      <c r="D18" s="201"/>
      <c r="E18" s="201"/>
      <c r="F18" s="201"/>
      <c r="G18" s="201"/>
      <c r="H18" s="201"/>
      <c r="I18" s="201"/>
      <c r="J18" s="201"/>
      <c r="K18" s="201"/>
      <c r="L18" s="201"/>
      <c r="M18" s="201"/>
      <c r="N18" s="201"/>
      <c r="O18" s="201"/>
      <c r="P18" s="201">
        <f t="shared" si="0"/>
        <v>0</v>
      </c>
      <c r="Q18" s="201">
        <f t="shared" si="1"/>
        <v>0</v>
      </c>
    </row>
    <row r="19" spans="1:17" ht="21.75" customHeight="1" x14ac:dyDescent="0.25">
      <c r="A19" s="29" t="s">
        <v>198</v>
      </c>
      <c r="B19" s="32" t="s">
        <v>235</v>
      </c>
      <c r="C19" s="30" t="s">
        <v>207</v>
      </c>
      <c r="D19" s="201"/>
      <c r="E19" s="201"/>
      <c r="F19" s="201"/>
      <c r="G19" s="201"/>
      <c r="H19" s="201"/>
      <c r="I19" s="201"/>
      <c r="J19" s="201"/>
      <c r="K19" s="201"/>
      <c r="L19" s="201"/>
      <c r="M19" s="201"/>
      <c r="N19" s="201"/>
      <c r="O19" s="201"/>
      <c r="P19" s="201">
        <f t="shared" si="0"/>
        <v>0</v>
      </c>
      <c r="Q19" s="201">
        <f t="shared" si="1"/>
        <v>0</v>
      </c>
    </row>
    <row r="20" spans="1:17" ht="21.75" customHeight="1" x14ac:dyDescent="0.25">
      <c r="A20" s="29" t="s">
        <v>225</v>
      </c>
      <c r="B20" s="33" t="s">
        <v>565</v>
      </c>
      <c r="C20" s="30"/>
      <c r="D20" s="201"/>
      <c r="E20" s="201"/>
      <c r="F20" s="201"/>
      <c r="G20" s="201"/>
      <c r="H20" s="201"/>
      <c r="I20" s="201"/>
      <c r="J20" s="201"/>
      <c r="K20" s="201"/>
      <c r="L20" s="201"/>
      <c r="M20" s="201"/>
      <c r="N20" s="201"/>
      <c r="O20" s="201"/>
      <c r="P20" s="201">
        <f t="shared" si="0"/>
        <v>0</v>
      </c>
      <c r="Q20" s="201">
        <f t="shared" si="1"/>
        <v>0</v>
      </c>
    </row>
    <row r="21" spans="1:17" ht="21.75" customHeight="1" x14ac:dyDescent="0.25">
      <c r="A21" s="29" t="s">
        <v>226</v>
      </c>
      <c r="B21" s="35" t="s">
        <v>236</v>
      </c>
      <c r="C21" s="30" t="s">
        <v>208</v>
      </c>
      <c r="D21" s="202">
        <f t="shared" ref="D21:N21" si="3">+D9+D10+D11+D12+D13+D17+D18+D19</f>
        <v>131000</v>
      </c>
      <c r="E21" s="202">
        <f>+E9+E10+E11+E12+E13+E17+E18+E19</f>
        <v>5492669</v>
      </c>
      <c r="F21" s="202">
        <f t="shared" si="3"/>
        <v>435149533</v>
      </c>
      <c r="G21" s="202">
        <f>+G9+G10+G11+G12+G13+G17+G18+G19</f>
        <v>460406856</v>
      </c>
      <c r="H21" s="202">
        <f t="shared" si="3"/>
        <v>160365705</v>
      </c>
      <c r="I21" s="202">
        <f>+I9+I10+I11+I12+I13+I17+I18+I19</f>
        <v>170072514</v>
      </c>
      <c r="J21" s="202">
        <f t="shared" si="3"/>
        <v>623200</v>
      </c>
      <c r="K21" s="202">
        <f>+K9+K10+K11+K12+K13+K17+K18+K19</f>
        <v>1345088</v>
      </c>
      <c r="L21" s="202">
        <f t="shared" si="3"/>
        <v>0</v>
      </c>
      <c r="M21" s="202">
        <f>+M9+M10+M11+M12+M13+M17+M18+M19</f>
        <v>0</v>
      </c>
      <c r="N21" s="202">
        <f t="shared" si="3"/>
        <v>0</v>
      </c>
      <c r="O21" s="202">
        <f>+O9+O10+O11+O12+O13+O17+O18+O19</f>
        <v>1070000</v>
      </c>
      <c r="P21" s="202">
        <f t="shared" si="0"/>
        <v>596269438</v>
      </c>
      <c r="Q21" s="202">
        <f t="shared" si="1"/>
        <v>638387127</v>
      </c>
    </row>
    <row r="22" spans="1:17" ht="21.75" customHeight="1" x14ac:dyDescent="0.25">
      <c r="A22" s="29" t="s">
        <v>227</v>
      </c>
      <c r="B22" s="35" t="s">
        <v>221</v>
      </c>
      <c r="C22" s="30" t="s">
        <v>217</v>
      </c>
      <c r="D22" s="201">
        <f t="shared" ref="D22:N22" si="4">SUM(D23:D26)</f>
        <v>0</v>
      </c>
      <c r="E22" s="201">
        <f>SUM(E23:E26)</f>
        <v>0</v>
      </c>
      <c r="F22" s="201">
        <f t="shared" si="4"/>
        <v>0</v>
      </c>
      <c r="G22" s="201">
        <f>SUM(G23:G26)</f>
        <v>0</v>
      </c>
      <c r="H22" s="201">
        <f t="shared" si="4"/>
        <v>0</v>
      </c>
      <c r="I22" s="201">
        <f>SUM(I23:I26)</f>
        <v>0</v>
      </c>
      <c r="J22" s="201">
        <f t="shared" si="4"/>
        <v>0</v>
      </c>
      <c r="K22" s="201">
        <f>SUM(K23:K26)</f>
        <v>0</v>
      </c>
      <c r="L22" s="201">
        <f t="shared" si="4"/>
        <v>0</v>
      </c>
      <c r="M22" s="201">
        <f>SUM(M23:M26)</f>
        <v>0</v>
      </c>
      <c r="N22" s="201">
        <f t="shared" si="4"/>
        <v>0</v>
      </c>
      <c r="O22" s="201">
        <f>SUM(O23:O26)</f>
        <v>0</v>
      </c>
      <c r="P22" s="201">
        <f t="shared" si="0"/>
        <v>0</v>
      </c>
      <c r="Q22" s="201">
        <f t="shared" si="1"/>
        <v>0</v>
      </c>
    </row>
    <row r="23" spans="1:17" ht="21.75" customHeight="1" x14ac:dyDescent="0.25">
      <c r="A23" s="29" t="s">
        <v>228</v>
      </c>
      <c r="B23" s="105" t="s">
        <v>183</v>
      </c>
      <c r="C23" s="34"/>
      <c r="D23" s="201"/>
      <c r="E23" s="201"/>
      <c r="F23" s="201"/>
      <c r="G23" s="201"/>
      <c r="H23" s="201"/>
      <c r="I23" s="201"/>
      <c r="J23" s="201"/>
      <c r="K23" s="201"/>
      <c r="L23" s="201"/>
      <c r="M23" s="201"/>
      <c r="N23" s="201"/>
      <c r="O23" s="201"/>
      <c r="P23" s="201">
        <f t="shared" si="0"/>
        <v>0</v>
      </c>
      <c r="Q23" s="201">
        <f t="shared" si="1"/>
        <v>0</v>
      </c>
    </row>
    <row r="24" spans="1:17" ht="21.75" customHeight="1" x14ac:dyDescent="0.25">
      <c r="A24" s="29" t="s">
        <v>229</v>
      </c>
      <c r="B24" s="36" t="s">
        <v>553</v>
      </c>
      <c r="C24" s="34"/>
      <c r="D24" s="201"/>
      <c r="E24" s="201"/>
      <c r="F24" s="201"/>
      <c r="G24" s="201"/>
      <c r="H24" s="201"/>
      <c r="I24" s="201"/>
      <c r="J24" s="201"/>
      <c r="K24" s="201"/>
      <c r="L24" s="201"/>
      <c r="M24" s="201"/>
      <c r="N24" s="201"/>
      <c r="O24" s="201"/>
      <c r="P24" s="201">
        <f t="shared" si="0"/>
        <v>0</v>
      </c>
      <c r="Q24" s="201">
        <f t="shared" si="1"/>
        <v>0</v>
      </c>
    </row>
    <row r="25" spans="1:17" ht="21.75" customHeight="1" x14ac:dyDescent="0.25">
      <c r="A25" s="29" t="s">
        <v>230</v>
      </c>
      <c r="B25" s="36" t="s">
        <v>554</v>
      </c>
      <c r="C25" s="34"/>
      <c r="D25" s="201"/>
      <c r="E25" s="201"/>
      <c r="F25" s="201"/>
      <c r="G25" s="201"/>
      <c r="H25" s="201"/>
      <c r="I25" s="201"/>
      <c r="J25" s="201"/>
      <c r="K25" s="201"/>
      <c r="L25" s="201"/>
      <c r="M25" s="201"/>
      <c r="N25" s="201"/>
      <c r="O25" s="201"/>
      <c r="P25" s="201">
        <f t="shared" si="0"/>
        <v>0</v>
      </c>
      <c r="Q25" s="201">
        <f t="shared" si="1"/>
        <v>0</v>
      </c>
    </row>
    <row r="26" spans="1:17" ht="21.75" customHeight="1" x14ac:dyDescent="0.25">
      <c r="A26" s="29" t="s">
        <v>231</v>
      </c>
      <c r="B26" s="36" t="s">
        <v>127</v>
      </c>
      <c r="C26" s="34"/>
      <c r="D26" s="201"/>
      <c r="E26" s="201"/>
      <c r="F26" s="201"/>
      <c r="G26" s="201"/>
      <c r="H26" s="201"/>
      <c r="I26" s="201"/>
      <c r="J26" s="201"/>
      <c r="K26" s="201"/>
      <c r="L26" s="201"/>
      <c r="M26" s="201"/>
      <c r="N26" s="201"/>
      <c r="O26" s="201"/>
      <c r="P26" s="201">
        <f t="shared" si="0"/>
        <v>0</v>
      </c>
      <c r="Q26" s="201">
        <f t="shared" si="1"/>
        <v>0</v>
      </c>
    </row>
    <row r="27" spans="1:17" ht="21.75" customHeight="1" x14ac:dyDescent="0.25">
      <c r="A27" s="29" t="s">
        <v>232</v>
      </c>
      <c r="B27" s="267" t="s">
        <v>816</v>
      </c>
      <c r="C27" s="34"/>
      <c r="D27" s="201"/>
      <c r="E27" s="201"/>
      <c r="F27" s="201"/>
      <c r="G27" s="201"/>
      <c r="H27" s="201"/>
      <c r="I27" s="201"/>
      <c r="J27" s="201"/>
      <c r="K27" s="201"/>
      <c r="L27" s="201"/>
      <c r="M27" s="201"/>
      <c r="N27" s="201"/>
      <c r="O27" s="201"/>
      <c r="P27" s="201">
        <f t="shared" si="0"/>
        <v>0</v>
      </c>
      <c r="Q27" s="201">
        <f t="shared" si="1"/>
        <v>0</v>
      </c>
    </row>
    <row r="28" spans="1:17" s="39" customFormat="1" ht="21.75" customHeight="1" x14ac:dyDescent="0.25">
      <c r="A28" s="29" t="s">
        <v>233</v>
      </c>
      <c r="B28" s="37" t="s">
        <v>32</v>
      </c>
      <c r="C28" s="30"/>
      <c r="D28" s="202">
        <f t="shared" ref="D28:N28" si="5">+D9+D10+D11+D12+D13+D23+D24</f>
        <v>131000</v>
      </c>
      <c r="E28" s="202">
        <f>+E9+E10+E11+E12+E13+E23+E24</f>
        <v>5492669</v>
      </c>
      <c r="F28" s="202">
        <f t="shared" si="5"/>
        <v>432832033</v>
      </c>
      <c r="G28" s="202">
        <f>+G9+G10+G11+G12+G13+G23+G24</f>
        <v>457194556</v>
      </c>
      <c r="H28" s="202">
        <f t="shared" si="5"/>
        <v>160048205</v>
      </c>
      <c r="I28" s="202">
        <f>+I9+I10+I11+I12+I13+I23+I24</f>
        <v>168142979</v>
      </c>
      <c r="J28" s="202">
        <f t="shared" si="5"/>
        <v>523200</v>
      </c>
      <c r="K28" s="202">
        <f>+K9+K10+K11+K12+K13+K23+K24</f>
        <v>1245088</v>
      </c>
      <c r="L28" s="202">
        <f t="shared" si="5"/>
        <v>0</v>
      </c>
      <c r="M28" s="202">
        <f>+M9+M10+M11+M12+M13+M23+M24</f>
        <v>0</v>
      </c>
      <c r="N28" s="202">
        <f t="shared" si="5"/>
        <v>0</v>
      </c>
      <c r="O28" s="202">
        <f>+O9+O10+O11+O12+O13+O23+O24</f>
        <v>1070000</v>
      </c>
      <c r="P28" s="202">
        <f t="shared" si="0"/>
        <v>593534438</v>
      </c>
      <c r="Q28" s="202">
        <f t="shared" si="1"/>
        <v>633145292</v>
      </c>
    </row>
    <row r="29" spans="1:17" s="39" customFormat="1" ht="21.75" customHeight="1" x14ac:dyDescent="0.25">
      <c r="A29" s="29" t="s">
        <v>260</v>
      </c>
      <c r="B29" s="37" t="s">
        <v>33</v>
      </c>
      <c r="C29" s="30"/>
      <c r="D29" s="202">
        <f t="shared" ref="D29:N29" si="6">+D17+D18+D19+D25+D26</f>
        <v>0</v>
      </c>
      <c r="E29" s="202">
        <f>+E17+E18+E19+E25+E26</f>
        <v>0</v>
      </c>
      <c r="F29" s="202">
        <f t="shared" si="6"/>
        <v>2317500</v>
      </c>
      <c r="G29" s="202">
        <f>+G17+G18+G19+G25+G26</f>
        <v>3212300</v>
      </c>
      <c r="H29" s="202">
        <f t="shared" si="6"/>
        <v>317500</v>
      </c>
      <c r="I29" s="202">
        <f>+I17+I18+I19+I25+I26</f>
        <v>1929535</v>
      </c>
      <c r="J29" s="202">
        <f t="shared" si="6"/>
        <v>100000</v>
      </c>
      <c r="K29" s="202">
        <f>+K17+K18+K19+K25+K26</f>
        <v>100000</v>
      </c>
      <c r="L29" s="202">
        <f t="shared" si="6"/>
        <v>0</v>
      </c>
      <c r="M29" s="202">
        <f>+M17+M18+M19+M25+M26</f>
        <v>0</v>
      </c>
      <c r="N29" s="202">
        <f t="shared" si="6"/>
        <v>0</v>
      </c>
      <c r="O29" s="202">
        <f>+O17+O18+O19+O25+O26</f>
        <v>0</v>
      </c>
      <c r="P29" s="202">
        <f t="shared" si="0"/>
        <v>2735000</v>
      </c>
      <c r="Q29" s="202">
        <f t="shared" si="1"/>
        <v>5241835</v>
      </c>
    </row>
    <row r="30" spans="1:17" s="39" customFormat="1" ht="21.75" customHeight="1" x14ac:dyDescent="0.25">
      <c r="A30" s="29" t="s">
        <v>261</v>
      </c>
      <c r="B30" s="37" t="s">
        <v>327</v>
      </c>
      <c r="C30" s="30" t="s">
        <v>31</v>
      </c>
      <c r="D30" s="202">
        <f t="shared" ref="D30:N30" si="7">SUM(D28:D29)</f>
        <v>131000</v>
      </c>
      <c r="E30" s="202">
        <f>SUM(E28:E29)</f>
        <v>5492669</v>
      </c>
      <c r="F30" s="202">
        <f t="shared" si="7"/>
        <v>435149533</v>
      </c>
      <c r="G30" s="202">
        <f>SUM(G28:G29)</f>
        <v>460406856</v>
      </c>
      <c r="H30" s="202">
        <f t="shared" si="7"/>
        <v>160365705</v>
      </c>
      <c r="I30" s="202">
        <f>SUM(I28:I29)</f>
        <v>170072514</v>
      </c>
      <c r="J30" s="202">
        <f t="shared" si="7"/>
        <v>623200</v>
      </c>
      <c r="K30" s="202">
        <f>SUM(K28:K29)</f>
        <v>1345088</v>
      </c>
      <c r="L30" s="202">
        <f t="shared" si="7"/>
        <v>0</v>
      </c>
      <c r="M30" s="202">
        <f>SUM(M28:M29)</f>
        <v>0</v>
      </c>
      <c r="N30" s="202">
        <f t="shared" si="7"/>
        <v>0</v>
      </c>
      <c r="O30" s="202">
        <f>SUM(O28:O29)</f>
        <v>1070000</v>
      </c>
      <c r="P30" s="202">
        <f t="shared" si="0"/>
        <v>596269438</v>
      </c>
      <c r="Q30" s="202">
        <f t="shared" si="1"/>
        <v>638387127</v>
      </c>
    </row>
    <row r="31" spans="1:17" ht="21.75" customHeight="1" x14ac:dyDescent="0.25">
      <c r="A31" s="29" t="s">
        <v>262</v>
      </c>
      <c r="B31" s="31" t="s">
        <v>52</v>
      </c>
      <c r="C31" s="35" t="s">
        <v>209</v>
      </c>
      <c r="D31" s="201"/>
      <c r="E31" s="201"/>
      <c r="F31" s="201"/>
      <c r="G31" s="201"/>
      <c r="H31" s="201"/>
      <c r="I31" s="201"/>
      <c r="J31" s="201"/>
      <c r="K31" s="201"/>
      <c r="L31" s="201"/>
      <c r="M31" s="201"/>
      <c r="N31" s="201"/>
      <c r="O31" s="201">
        <v>350000</v>
      </c>
      <c r="P31" s="201">
        <f t="shared" si="0"/>
        <v>0</v>
      </c>
      <c r="Q31" s="201">
        <f t="shared" si="1"/>
        <v>350000</v>
      </c>
    </row>
    <row r="32" spans="1:17" ht="21.75" customHeight="1" x14ac:dyDescent="0.25">
      <c r="A32" s="29" t="s">
        <v>263</v>
      </c>
      <c r="B32" s="31" t="s">
        <v>220</v>
      </c>
      <c r="C32" s="35" t="s">
        <v>210</v>
      </c>
      <c r="D32" s="201"/>
      <c r="E32" s="201"/>
      <c r="F32" s="201"/>
      <c r="G32" s="201"/>
      <c r="H32" s="201"/>
      <c r="I32" s="201"/>
      <c r="J32" s="201"/>
      <c r="K32" s="201"/>
      <c r="L32" s="201"/>
      <c r="M32" s="201"/>
      <c r="N32" s="201"/>
      <c r="O32" s="201"/>
      <c r="P32" s="201">
        <f t="shared" si="0"/>
        <v>0</v>
      </c>
      <c r="Q32" s="201">
        <f t="shared" si="1"/>
        <v>0</v>
      </c>
    </row>
    <row r="33" spans="1:17" ht="21.75" customHeight="1" x14ac:dyDescent="0.25">
      <c r="A33" s="29" t="s">
        <v>264</v>
      </c>
      <c r="B33" s="31" t="s">
        <v>219</v>
      </c>
      <c r="C33" s="35" t="s">
        <v>211</v>
      </c>
      <c r="D33" s="201"/>
      <c r="E33" s="201"/>
      <c r="F33" s="201"/>
      <c r="G33" s="201"/>
      <c r="H33" s="201"/>
      <c r="I33" s="201"/>
      <c r="J33" s="201"/>
      <c r="K33" s="201"/>
      <c r="L33" s="201"/>
      <c r="M33" s="201"/>
      <c r="N33" s="201"/>
      <c r="O33" s="201"/>
      <c r="P33" s="201">
        <f t="shared" si="0"/>
        <v>0</v>
      </c>
      <c r="Q33" s="201">
        <f t="shared" si="1"/>
        <v>0</v>
      </c>
    </row>
    <row r="34" spans="1:17" ht="21.75" customHeight="1" x14ac:dyDescent="0.25">
      <c r="A34" s="29" t="s">
        <v>265</v>
      </c>
      <c r="B34" s="32" t="s">
        <v>0</v>
      </c>
      <c r="C34" s="35" t="s">
        <v>212</v>
      </c>
      <c r="D34" s="201"/>
      <c r="E34" s="201"/>
      <c r="F34" s="201">
        <v>500020</v>
      </c>
      <c r="G34" s="201">
        <f>+F34+131000+5859+300000+153883+500000+1524915-172500-7-98627</f>
        <v>2844543</v>
      </c>
      <c r="H34" s="201"/>
      <c r="I34" s="201"/>
      <c r="J34" s="201"/>
      <c r="K34" s="201"/>
      <c r="L34" s="201">
        <v>131000</v>
      </c>
      <c r="M34" s="201">
        <f>+L34-131000</f>
        <v>0</v>
      </c>
      <c r="N34" s="201"/>
      <c r="O34" s="201"/>
      <c r="P34" s="201">
        <f t="shared" si="0"/>
        <v>631020</v>
      </c>
      <c r="Q34" s="201">
        <f t="shared" si="1"/>
        <v>2844543</v>
      </c>
    </row>
    <row r="35" spans="1:17" ht="21.75" customHeight="1" x14ac:dyDescent="0.25">
      <c r="A35" s="29" t="s">
        <v>266</v>
      </c>
      <c r="B35" s="31" t="s">
        <v>242</v>
      </c>
      <c r="C35" s="35" t="s">
        <v>213</v>
      </c>
      <c r="D35" s="201"/>
      <c r="E35" s="201"/>
      <c r="F35" s="201"/>
      <c r="G35" s="201"/>
      <c r="H35" s="201"/>
      <c r="I35" s="201"/>
      <c r="J35" s="201"/>
      <c r="K35" s="201"/>
      <c r="L35" s="201"/>
      <c r="M35" s="201"/>
      <c r="N35" s="201"/>
      <c r="O35" s="201"/>
      <c r="P35" s="201">
        <f t="shared" si="0"/>
        <v>0</v>
      </c>
      <c r="Q35" s="201">
        <f t="shared" si="1"/>
        <v>0</v>
      </c>
    </row>
    <row r="36" spans="1:17" ht="21.75" customHeight="1" x14ac:dyDescent="0.25">
      <c r="A36" s="29" t="s">
        <v>267</v>
      </c>
      <c r="B36" s="31" t="s">
        <v>237</v>
      </c>
      <c r="C36" s="35" t="s">
        <v>214</v>
      </c>
      <c r="D36" s="201"/>
      <c r="E36" s="201"/>
      <c r="F36" s="201"/>
      <c r="G36" s="201"/>
      <c r="H36" s="201"/>
      <c r="I36" s="201"/>
      <c r="J36" s="201"/>
      <c r="K36" s="201"/>
      <c r="L36" s="201"/>
      <c r="M36" s="201"/>
      <c r="N36" s="201"/>
      <c r="O36" s="201"/>
      <c r="P36" s="201">
        <f t="shared" si="0"/>
        <v>0</v>
      </c>
      <c r="Q36" s="201">
        <f t="shared" si="1"/>
        <v>0</v>
      </c>
    </row>
    <row r="37" spans="1:17" ht="21.75" customHeight="1" x14ac:dyDescent="0.25">
      <c r="A37" s="29" t="s">
        <v>268</v>
      </c>
      <c r="B37" s="31" t="s">
        <v>238</v>
      </c>
      <c r="C37" s="35" t="s">
        <v>215</v>
      </c>
      <c r="D37" s="201"/>
      <c r="E37" s="201"/>
      <c r="F37" s="201"/>
      <c r="G37" s="201"/>
      <c r="H37" s="201"/>
      <c r="I37" s="201"/>
      <c r="J37" s="201"/>
      <c r="K37" s="201"/>
      <c r="L37" s="201"/>
      <c r="M37" s="201"/>
      <c r="N37" s="201"/>
      <c r="O37" s="201"/>
      <c r="P37" s="201">
        <f t="shared" si="0"/>
        <v>0</v>
      </c>
      <c r="Q37" s="201">
        <f t="shared" si="1"/>
        <v>0</v>
      </c>
    </row>
    <row r="38" spans="1:17" ht="21.75" customHeight="1" x14ac:dyDescent="0.25">
      <c r="A38" s="29" t="s">
        <v>269</v>
      </c>
      <c r="B38" s="32" t="s">
        <v>239</v>
      </c>
      <c r="C38" s="35" t="s">
        <v>216</v>
      </c>
      <c r="D38" s="202">
        <f t="shared" ref="D38:N38" si="8">+D31+D32+D33+D34+D35+D36+D37</f>
        <v>0</v>
      </c>
      <c r="E38" s="202">
        <f>+E31+E32+E33+E34+E35+E36+E37</f>
        <v>0</v>
      </c>
      <c r="F38" s="202">
        <f t="shared" si="8"/>
        <v>500020</v>
      </c>
      <c r="G38" s="202">
        <f>+G31+G32+G33+G34+G35+G36+G37</f>
        <v>2844543</v>
      </c>
      <c r="H38" s="202">
        <f t="shared" si="8"/>
        <v>0</v>
      </c>
      <c r="I38" s="202">
        <f>+I31+I32+I33+I34+I35+I36+I37</f>
        <v>0</v>
      </c>
      <c r="J38" s="202">
        <f t="shared" si="8"/>
        <v>0</v>
      </c>
      <c r="K38" s="202">
        <f>+K31+K32+K33+K34+K35+K36+K37</f>
        <v>0</v>
      </c>
      <c r="L38" s="202">
        <f t="shared" si="8"/>
        <v>131000</v>
      </c>
      <c r="M38" s="202">
        <f>+M31+M32+M33+M34+M35+M36+M37</f>
        <v>0</v>
      </c>
      <c r="N38" s="202">
        <f t="shared" si="8"/>
        <v>0</v>
      </c>
      <c r="O38" s="202">
        <f>+O31+O32+O33+O34+O35+O36+O37</f>
        <v>350000</v>
      </c>
      <c r="P38" s="202">
        <f t="shared" si="0"/>
        <v>631020</v>
      </c>
      <c r="Q38" s="202">
        <f t="shared" si="1"/>
        <v>3194543</v>
      </c>
    </row>
    <row r="39" spans="1:17" ht="21.75" customHeight="1" x14ac:dyDescent="0.25">
      <c r="A39" s="29" t="s">
        <v>270</v>
      </c>
      <c r="B39" s="35" t="s">
        <v>240</v>
      </c>
      <c r="C39" s="30" t="s">
        <v>218</v>
      </c>
      <c r="D39" s="201">
        <f t="shared" ref="D39:N39" si="9">SUM(D41:D45)</f>
        <v>595638418</v>
      </c>
      <c r="E39" s="201">
        <f>SUM(E41:E45)</f>
        <v>635192584</v>
      </c>
      <c r="F39" s="201">
        <f t="shared" si="9"/>
        <v>0</v>
      </c>
      <c r="G39" s="201">
        <f>SUM(G41:G45)</f>
        <v>0</v>
      </c>
      <c r="H39" s="201">
        <f t="shared" si="9"/>
        <v>0</v>
      </c>
      <c r="I39" s="201">
        <f>SUM(I41:I45)</f>
        <v>0</v>
      </c>
      <c r="J39" s="201">
        <f t="shared" si="9"/>
        <v>0</v>
      </c>
      <c r="K39" s="201">
        <f>SUM(K41:K45)</f>
        <v>0</v>
      </c>
      <c r="L39" s="201">
        <f t="shared" si="9"/>
        <v>0</v>
      </c>
      <c r="M39" s="201">
        <f>SUM(M41:M45)</f>
        <v>0</v>
      </c>
      <c r="N39" s="201">
        <f t="shared" si="9"/>
        <v>0</v>
      </c>
      <c r="O39" s="201">
        <f>SUM(O41:O45)</f>
        <v>0</v>
      </c>
      <c r="P39" s="201">
        <f t="shared" si="0"/>
        <v>595638418</v>
      </c>
      <c r="Q39" s="201">
        <f t="shared" si="1"/>
        <v>635192584</v>
      </c>
    </row>
    <row r="40" spans="1:17" ht="21.75" customHeight="1" x14ac:dyDescent="0.25">
      <c r="A40" s="29" t="s">
        <v>271</v>
      </c>
      <c r="B40" s="105" t="s">
        <v>566</v>
      </c>
      <c r="C40" s="30"/>
      <c r="D40" s="201"/>
      <c r="E40" s="201"/>
      <c r="F40" s="201"/>
      <c r="G40" s="201"/>
      <c r="H40" s="201"/>
      <c r="I40" s="201"/>
      <c r="J40" s="201"/>
      <c r="K40" s="201"/>
      <c r="L40" s="201"/>
      <c r="M40" s="201"/>
      <c r="N40" s="201"/>
      <c r="O40" s="201"/>
      <c r="P40" s="201">
        <f t="shared" si="0"/>
        <v>0</v>
      </c>
      <c r="Q40" s="201">
        <f t="shared" si="1"/>
        <v>0</v>
      </c>
    </row>
    <row r="41" spans="1:17" ht="21.75" customHeight="1" x14ac:dyDescent="0.25">
      <c r="A41" s="29" t="s">
        <v>272</v>
      </c>
      <c r="B41" s="36" t="s">
        <v>846</v>
      </c>
      <c r="C41" s="34"/>
      <c r="D41" s="201">
        <v>3772865</v>
      </c>
      <c r="E41" s="201">
        <f>+D41+5361669</f>
        <v>9134534</v>
      </c>
      <c r="F41" s="201"/>
      <c r="G41" s="201"/>
      <c r="H41" s="201"/>
      <c r="I41" s="201"/>
      <c r="J41" s="201"/>
      <c r="K41" s="201"/>
      <c r="L41" s="201"/>
      <c r="M41" s="201"/>
      <c r="N41" s="201"/>
      <c r="O41" s="201"/>
      <c r="P41" s="201">
        <f t="shared" si="0"/>
        <v>3772865</v>
      </c>
      <c r="Q41" s="201">
        <f t="shared" si="1"/>
        <v>9134534</v>
      </c>
    </row>
    <row r="42" spans="1:17" ht="21.75" customHeight="1" x14ac:dyDescent="0.25">
      <c r="A42" s="29" t="s">
        <v>276</v>
      </c>
      <c r="B42" s="36" t="s">
        <v>847</v>
      </c>
      <c r="C42" s="34"/>
      <c r="D42" s="201"/>
      <c r="E42" s="201"/>
      <c r="F42" s="201"/>
      <c r="G42" s="201"/>
      <c r="H42" s="201"/>
      <c r="I42" s="201"/>
      <c r="J42" s="201"/>
      <c r="K42" s="201"/>
      <c r="L42" s="201"/>
      <c r="M42" s="201"/>
      <c r="N42" s="201"/>
      <c r="O42" s="201"/>
      <c r="P42" s="201">
        <f t="shared" si="0"/>
        <v>0</v>
      </c>
      <c r="Q42" s="201">
        <f t="shared" si="1"/>
        <v>0</v>
      </c>
    </row>
    <row r="43" spans="1:17" ht="21.75" customHeight="1" x14ac:dyDescent="0.25">
      <c r="A43" s="29" t="s">
        <v>277</v>
      </c>
      <c r="B43" s="36" t="s">
        <v>539</v>
      </c>
      <c r="C43" s="34"/>
      <c r="D43" s="201">
        <f>P28-P31-P33-P34-P36-P41</f>
        <v>589130553</v>
      </c>
      <c r="E43" s="201">
        <f>Q28-Q31-Q33-Q34-Q36-Q41</f>
        <v>620816215</v>
      </c>
      <c r="F43" s="201"/>
      <c r="G43" s="201"/>
      <c r="H43" s="201"/>
      <c r="I43" s="201"/>
      <c r="J43" s="201"/>
      <c r="K43" s="201"/>
      <c r="L43" s="201"/>
      <c r="M43" s="201"/>
      <c r="N43" s="201"/>
      <c r="O43" s="201"/>
      <c r="P43" s="201">
        <f t="shared" si="0"/>
        <v>589130553</v>
      </c>
      <c r="Q43" s="201">
        <f t="shared" si="1"/>
        <v>620816215</v>
      </c>
    </row>
    <row r="44" spans="1:17" ht="21.75" customHeight="1" x14ac:dyDescent="0.25">
      <c r="A44" s="29" t="s">
        <v>278</v>
      </c>
      <c r="B44" s="36" t="s">
        <v>540</v>
      </c>
      <c r="C44" s="34"/>
      <c r="D44" s="201">
        <f>P29-P32-P35-P37-P42</f>
        <v>2735000</v>
      </c>
      <c r="E44" s="201">
        <f>Q29-Q32-Q35-Q37-Q42</f>
        <v>5241835</v>
      </c>
      <c r="F44" s="201"/>
      <c r="G44" s="201"/>
      <c r="H44" s="201"/>
      <c r="I44" s="201"/>
      <c r="J44" s="201"/>
      <c r="K44" s="201"/>
      <c r="L44" s="201"/>
      <c r="M44" s="201"/>
      <c r="N44" s="201"/>
      <c r="O44" s="201"/>
      <c r="P44" s="201">
        <f t="shared" si="0"/>
        <v>2735000</v>
      </c>
      <c r="Q44" s="201">
        <f t="shared" si="1"/>
        <v>5241835</v>
      </c>
    </row>
    <row r="45" spans="1:17" ht="21.75" customHeight="1" x14ac:dyDescent="0.25">
      <c r="A45" s="29" t="s">
        <v>279</v>
      </c>
      <c r="B45" s="36" t="s">
        <v>574</v>
      </c>
      <c r="C45" s="34"/>
      <c r="D45" s="201"/>
      <c r="E45" s="201"/>
      <c r="F45" s="201"/>
      <c r="G45" s="201"/>
      <c r="H45" s="201"/>
      <c r="I45" s="201"/>
      <c r="J45" s="201"/>
      <c r="K45" s="201"/>
      <c r="L45" s="201"/>
      <c r="M45" s="201"/>
      <c r="N45" s="201"/>
      <c r="O45" s="201"/>
      <c r="P45" s="201">
        <f t="shared" si="0"/>
        <v>0</v>
      </c>
      <c r="Q45" s="201">
        <f t="shared" si="1"/>
        <v>0</v>
      </c>
    </row>
    <row r="46" spans="1:17" ht="21.75" customHeight="1" x14ac:dyDescent="0.25">
      <c r="A46" s="29" t="s">
        <v>280</v>
      </c>
      <c r="B46" s="267" t="s">
        <v>815</v>
      </c>
      <c r="C46" s="34"/>
      <c r="D46" s="201"/>
      <c r="E46" s="201"/>
      <c r="F46" s="201"/>
      <c r="G46" s="201"/>
      <c r="H46" s="201"/>
      <c r="I46" s="201"/>
      <c r="J46" s="201"/>
      <c r="K46" s="201"/>
      <c r="L46" s="201"/>
      <c r="M46" s="201"/>
      <c r="N46" s="201"/>
      <c r="O46" s="201"/>
      <c r="P46" s="201">
        <f t="shared" si="0"/>
        <v>0</v>
      </c>
      <c r="Q46" s="201">
        <f t="shared" si="1"/>
        <v>0</v>
      </c>
    </row>
    <row r="47" spans="1:17" s="39" customFormat="1" ht="21.75" customHeight="1" x14ac:dyDescent="0.25">
      <c r="A47" s="29" t="s">
        <v>281</v>
      </c>
      <c r="B47" s="37" t="s">
        <v>113</v>
      </c>
      <c r="C47" s="30"/>
      <c r="D47" s="202">
        <f>+D31+D33+D34+D36+D41+D43</f>
        <v>592903418</v>
      </c>
      <c r="E47" s="202">
        <f>+E31+E33+E34+E36+E41+E43</f>
        <v>629950749</v>
      </c>
      <c r="F47" s="202">
        <f>+F31+F33+F34+F36+F41+F43</f>
        <v>500020</v>
      </c>
      <c r="G47" s="202">
        <f>+G31+G33+G34+G36+G41+G43</f>
        <v>2844543</v>
      </c>
      <c r="H47" s="202">
        <f t="shared" ref="H47:N47" si="10">+H31+H33+H34+H36+H41+H43</f>
        <v>0</v>
      </c>
      <c r="I47" s="202">
        <f>+I31+I33+I34+I36+I41+I43</f>
        <v>0</v>
      </c>
      <c r="J47" s="202">
        <f t="shared" si="10"/>
        <v>0</v>
      </c>
      <c r="K47" s="202">
        <f>+K31+K33+K34+K36+K41+K43</f>
        <v>0</v>
      </c>
      <c r="L47" s="202">
        <f t="shared" si="10"/>
        <v>131000</v>
      </c>
      <c r="M47" s="202">
        <f>+M31+M33+M34+M36+M41+M43</f>
        <v>0</v>
      </c>
      <c r="N47" s="202">
        <f t="shared" si="10"/>
        <v>0</v>
      </c>
      <c r="O47" s="202">
        <f>+O31+O33+O34+O36+O41+O43</f>
        <v>350000</v>
      </c>
      <c r="P47" s="202">
        <f t="shared" si="0"/>
        <v>593534438</v>
      </c>
      <c r="Q47" s="202">
        <f t="shared" si="1"/>
        <v>633145292</v>
      </c>
    </row>
    <row r="48" spans="1:17" s="39" customFormat="1" ht="21.75" customHeight="1" x14ac:dyDescent="0.25">
      <c r="A48" s="29" t="s">
        <v>282</v>
      </c>
      <c r="B48" s="37" t="s">
        <v>114</v>
      </c>
      <c r="C48" s="30"/>
      <c r="D48" s="202">
        <f>+D32+D35+D37+D42+D429+D45+D44</f>
        <v>2735000</v>
      </c>
      <c r="E48" s="202">
        <f>+E32+E35+E37+E42+E429+E45+E44</f>
        <v>5241835</v>
      </c>
      <c r="F48" s="202">
        <f>+F32+F35+F37+F42+F429+F45+F44</f>
        <v>0</v>
      </c>
      <c r="G48" s="202">
        <f>+G32+G35+G37+G42+G429+G45+G44</f>
        <v>0</v>
      </c>
      <c r="H48" s="202">
        <f t="shared" ref="H48:N48" si="11">+H32+H35+H37+H42+H429+H45+H44</f>
        <v>0</v>
      </c>
      <c r="I48" s="202">
        <f>+I32+I35+I37+I42+I429+I45+I44</f>
        <v>0</v>
      </c>
      <c r="J48" s="202">
        <f t="shared" si="11"/>
        <v>0</v>
      </c>
      <c r="K48" s="202">
        <f>+K32+K35+K37+K42+K429+K45+K44</f>
        <v>0</v>
      </c>
      <c r="L48" s="202">
        <f t="shared" si="11"/>
        <v>0</v>
      </c>
      <c r="M48" s="202">
        <f>+M32+M35+M37+M42+M429+M45+M44</f>
        <v>0</v>
      </c>
      <c r="N48" s="202">
        <f t="shared" si="11"/>
        <v>0</v>
      </c>
      <c r="O48" s="202">
        <f>+O32+O35+O37+O42+O429+O45+O44</f>
        <v>0</v>
      </c>
      <c r="P48" s="202">
        <f t="shared" si="0"/>
        <v>2735000</v>
      </c>
      <c r="Q48" s="202">
        <f t="shared" si="1"/>
        <v>5241835</v>
      </c>
    </row>
    <row r="49" spans="1:18" s="39" customFormat="1" ht="21.75" customHeight="1" x14ac:dyDescent="0.25">
      <c r="A49" s="29" t="s">
        <v>283</v>
      </c>
      <c r="B49" s="37" t="s">
        <v>328</v>
      </c>
      <c r="C49" s="30"/>
      <c r="D49" s="202">
        <f t="shared" ref="D49:N49" si="12">+D47+D48</f>
        <v>595638418</v>
      </c>
      <c r="E49" s="202">
        <f>+E47+E48</f>
        <v>635192584</v>
      </c>
      <c r="F49" s="202">
        <f>+F47+F48</f>
        <v>500020</v>
      </c>
      <c r="G49" s="202">
        <f>+G47+G48</f>
        <v>2844543</v>
      </c>
      <c r="H49" s="202">
        <f t="shared" si="12"/>
        <v>0</v>
      </c>
      <c r="I49" s="202">
        <f>+I47+I48</f>
        <v>0</v>
      </c>
      <c r="J49" s="202">
        <f t="shared" si="12"/>
        <v>0</v>
      </c>
      <c r="K49" s="202">
        <f>+K47+K48</f>
        <v>0</v>
      </c>
      <c r="L49" s="202">
        <f t="shared" si="12"/>
        <v>131000</v>
      </c>
      <c r="M49" s="202">
        <f>+M47+M48</f>
        <v>0</v>
      </c>
      <c r="N49" s="202">
        <f t="shared" si="12"/>
        <v>0</v>
      </c>
      <c r="O49" s="202">
        <f>+O47+O48</f>
        <v>350000</v>
      </c>
      <c r="P49" s="202">
        <f t="shared" si="0"/>
        <v>596269438</v>
      </c>
      <c r="Q49" s="202">
        <f t="shared" si="1"/>
        <v>638387127</v>
      </c>
    </row>
    <row r="50" spans="1:18" ht="21.75" customHeight="1" x14ac:dyDescent="0.25">
      <c r="A50" s="29" t="s">
        <v>284</v>
      </c>
      <c r="B50" s="414" t="s">
        <v>437</v>
      </c>
      <c r="C50" s="206"/>
      <c r="D50" s="201"/>
      <c r="E50" s="201"/>
      <c r="F50" s="201">
        <v>51</v>
      </c>
      <c r="G50" s="201">
        <v>52</v>
      </c>
      <c r="H50" s="201">
        <v>24</v>
      </c>
      <c r="I50" s="201">
        <f>+H50</f>
        <v>24</v>
      </c>
      <c r="J50" s="201"/>
      <c r="K50" s="201"/>
      <c r="L50" s="201"/>
      <c r="M50" s="201"/>
      <c r="N50" s="201"/>
      <c r="O50" s="201"/>
      <c r="P50" s="201">
        <f t="shared" si="0"/>
        <v>75</v>
      </c>
      <c r="Q50" s="201">
        <f t="shared" si="1"/>
        <v>76</v>
      </c>
      <c r="R50" s="94">
        <f>P49-P30</f>
        <v>0</v>
      </c>
    </row>
    <row r="51" spans="1:18" ht="21.75" customHeight="1" x14ac:dyDescent="0.25">
      <c r="A51" s="29" t="s">
        <v>285</v>
      </c>
      <c r="B51" s="55" t="s">
        <v>1346</v>
      </c>
      <c r="C51" s="206"/>
      <c r="D51" s="201"/>
      <c r="E51" s="201"/>
      <c r="F51" s="242"/>
      <c r="G51" s="242"/>
      <c r="H51" s="242"/>
      <c r="I51" s="242"/>
      <c r="J51" s="242"/>
      <c r="K51" s="242"/>
      <c r="L51" s="242"/>
      <c r="M51" s="242"/>
      <c r="N51" s="242"/>
      <c r="O51" s="242"/>
      <c r="P51" s="201">
        <f t="shared" si="0"/>
        <v>0</v>
      </c>
      <c r="Q51" s="201">
        <f t="shared" si="1"/>
        <v>0</v>
      </c>
      <c r="R51" s="94"/>
    </row>
  </sheetData>
  <mergeCells count="23">
    <mergeCell ref="L2:O2"/>
    <mergeCell ref="M6:M7"/>
    <mergeCell ref="O6:O7"/>
    <mergeCell ref="P2:Q2"/>
    <mergeCell ref="Q4:Q7"/>
    <mergeCell ref="P4:P7"/>
    <mergeCell ref="N6:N7"/>
    <mergeCell ref="L6:L7"/>
    <mergeCell ref="K6:K7"/>
    <mergeCell ref="A2:C3"/>
    <mergeCell ref="D2:G2"/>
    <mergeCell ref="A4:A7"/>
    <mergeCell ref="B4:C4"/>
    <mergeCell ref="H6:H7"/>
    <mergeCell ref="H2:K2"/>
    <mergeCell ref="J6:J7"/>
    <mergeCell ref="B5:C5"/>
    <mergeCell ref="B6:C6"/>
    <mergeCell ref="D6:D7"/>
    <mergeCell ref="F6:F7"/>
    <mergeCell ref="E6:E7"/>
    <mergeCell ref="G6:G7"/>
    <mergeCell ref="I6:I7"/>
  </mergeCells>
  <phoneticPr fontId="50" type="noConversion"/>
  <printOptions horizontalCentered="1" verticalCentered="1"/>
  <pageMargins left="0.35433070866141736" right="0.35433070866141736" top="0.39370078740157483" bottom="0.39370078740157483" header="0.51181102362204722" footer="0.51181102362204722"/>
  <pageSetup paperSize="9" scale="55" orientation="portrait" r:id="rId1"/>
  <headerFooter alignWithMargins="0">
    <oddHeader>&amp;C2023. évi költégvetés&amp;R&amp;A</oddHeader>
    <oddFooter>&amp;C&amp;P/&amp;N</oddFooter>
  </headerFooter>
  <colBreaks count="3" manualBreakCount="3">
    <brk id="7" max="50" man="1"/>
    <brk id="11" max="50" man="1"/>
    <brk id="15" max="50"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X81"/>
  <sheetViews>
    <sheetView view="pageBreakPreview" zoomScale="80" zoomScaleNormal="100" zoomScaleSheetLayoutView="80" workbookViewId="0">
      <selection activeCell="D27" sqref="D27:I27"/>
    </sheetView>
  </sheetViews>
  <sheetFormatPr defaultRowHeight="12.75" x14ac:dyDescent="0.2"/>
  <cols>
    <col min="1" max="1" width="10" customWidth="1"/>
    <col min="2" max="2" width="71.7109375" customWidth="1"/>
    <col min="3" max="3" width="10.42578125" customWidth="1"/>
    <col min="4" max="4" width="20.7109375" customWidth="1"/>
    <col min="5" max="5" width="20.28515625" style="348" customWidth="1"/>
    <col min="6" max="6" width="18" style="348" bestFit="1" customWidth="1"/>
    <col min="7" max="7" width="28" style="348" bestFit="1" customWidth="1"/>
    <col min="8" max="9" width="19.42578125" style="348" bestFit="1" customWidth="1"/>
    <col min="10" max="10" width="10.28515625" bestFit="1" customWidth="1"/>
    <col min="11" max="11" width="15.5703125" bestFit="1" customWidth="1"/>
    <col min="12" max="12" width="14.28515625" bestFit="1" customWidth="1"/>
    <col min="15" max="15" width="13.140625" bestFit="1" customWidth="1"/>
  </cols>
  <sheetData>
    <row r="1" spans="1:50" ht="12" customHeight="1" x14ac:dyDescent="0.2">
      <c r="A1" s="2000" t="s">
        <v>1021</v>
      </c>
      <c r="B1" s="2000"/>
      <c r="C1" s="2000"/>
      <c r="D1" s="2000"/>
      <c r="E1" s="2000"/>
      <c r="F1" s="2000"/>
      <c r="G1" s="2000"/>
      <c r="H1" s="2000"/>
      <c r="I1" s="2000"/>
    </row>
    <row r="2" spans="1:50" ht="23.25" customHeight="1" x14ac:dyDescent="0.2">
      <c r="A2" s="2001"/>
      <c r="B2" s="2001"/>
      <c r="C2" s="2001"/>
      <c r="D2" s="2001"/>
      <c r="E2" s="2001"/>
      <c r="F2" s="2001"/>
      <c r="G2" s="2001"/>
      <c r="H2" s="2001"/>
      <c r="I2" s="2001"/>
    </row>
    <row r="3" spans="1:50" s="129" customFormat="1" ht="45.75" customHeight="1" x14ac:dyDescent="0.25">
      <c r="A3" s="461" t="s">
        <v>53</v>
      </c>
      <c r="B3" s="461" t="s">
        <v>996</v>
      </c>
      <c r="C3" s="461" t="s">
        <v>997</v>
      </c>
      <c r="D3" s="461" t="s">
        <v>1022</v>
      </c>
      <c r="E3" s="462" t="s">
        <v>1023</v>
      </c>
      <c r="F3" s="462" t="s">
        <v>1024</v>
      </c>
      <c r="G3" s="462" t="s">
        <v>999</v>
      </c>
      <c r="H3" s="462" t="s">
        <v>1000</v>
      </c>
      <c r="I3" s="462" t="s">
        <v>1025</v>
      </c>
      <c r="J3" s="12"/>
    </row>
    <row r="4" spans="1:50" ht="15" customHeight="1" x14ac:dyDescent="0.25">
      <c r="A4" s="463" t="s">
        <v>188</v>
      </c>
      <c r="B4" s="440" t="s">
        <v>329</v>
      </c>
      <c r="C4" s="464" t="s">
        <v>199</v>
      </c>
      <c r="D4" s="716">
        <v>1870584379</v>
      </c>
      <c r="E4" s="465">
        <f>+'3. sz.Városi szintű összesen'!J8</f>
        <v>2885384444</v>
      </c>
      <c r="F4" s="466">
        <f t="shared" ref="F4:F19" si="0">E4/D4</f>
        <v>1.5425042977973036</v>
      </c>
      <c r="G4" s="467">
        <f>E4*1.001</f>
        <v>2888269828.4439998</v>
      </c>
      <c r="H4" s="467">
        <f t="shared" ref="H4:I6" si="1">+G4*1.005</f>
        <v>2902711177.5862193</v>
      </c>
      <c r="I4" s="467">
        <f t="shared" si="1"/>
        <v>2917224733.4741502</v>
      </c>
    </row>
    <row r="5" spans="1:50" ht="15.75" x14ac:dyDescent="0.25">
      <c r="A5" s="463" t="s">
        <v>189</v>
      </c>
      <c r="B5" s="437" t="s">
        <v>200</v>
      </c>
      <c r="C5" s="464" t="s">
        <v>201</v>
      </c>
      <c r="D5" s="716">
        <v>362912951</v>
      </c>
      <c r="E5" s="465">
        <f>+'3. sz.Városi szintű összesen'!J9</f>
        <v>424087076</v>
      </c>
      <c r="F5" s="466">
        <f t="shared" si="0"/>
        <v>1.1685641827645881</v>
      </c>
      <c r="G5" s="467">
        <f>E5*1.001</f>
        <v>424511163.07599998</v>
      </c>
      <c r="H5" s="467">
        <f t="shared" si="1"/>
        <v>426633718.89137995</v>
      </c>
      <c r="I5" s="467">
        <f t="shared" si="1"/>
        <v>428766887.4858368</v>
      </c>
    </row>
    <row r="6" spans="1:50" ht="15.75" x14ac:dyDescent="0.25">
      <c r="A6" s="463" t="s">
        <v>190</v>
      </c>
      <c r="B6" s="437" t="s">
        <v>330</v>
      </c>
      <c r="C6" s="464" t="s">
        <v>202</v>
      </c>
      <c r="D6" s="716">
        <v>2169021861</v>
      </c>
      <c r="E6" s="465">
        <f>+'3. sz.Városi szintű összesen'!J10</f>
        <v>3493049767</v>
      </c>
      <c r="F6" s="466">
        <f t="shared" si="0"/>
        <v>1.610426261628167</v>
      </c>
      <c r="G6" s="467">
        <f>E6*1.005</f>
        <v>3510515015.8349996</v>
      </c>
      <c r="H6" s="467">
        <f t="shared" si="1"/>
        <v>3528067590.9141741</v>
      </c>
      <c r="I6" s="467">
        <f t="shared" si="1"/>
        <v>3545707928.8687444</v>
      </c>
    </row>
    <row r="7" spans="1:50" ht="15.75" x14ac:dyDescent="0.25">
      <c r="A7" s="463" t="s">
        <v>191</v>
      </c>
      <c r="B7" s="441" t="s">
        <v>331</v>
      </c>
      <c r="C7" s="464" t="s">
        <v>203</v>
      </c>
      <c r="D7" s="716">
        <v>41000000</v>
      </c>
      <c r="E7" s="465">
        <f>+'3. sz.Városi szintű összesen'!J11</f>
        <v>46000000</v>
      </c>
      <c r="F7" s="466">
        <f t="shared" si="0"/>
        <v>1.1219512195121952</v>
      </c>
      <c r="G7" s="467">
        <v>41000000</v>
      </c>
      <c r="H7" s="467">
        <f>+G7</f>
        <v>41000000</v>
      </c>
      <c r="I7" s="467">
        <f>+H7</f>
        <v>41000000</v>
      </c>
    </row>
    <row r="8" spans="1:50" ht="15.75" x14ac:dyDescent="0.25">
      <c r="A8" s="463" t="s">
        <v>192</v>
      </c>
      <c r="B8" s="441" t="s">
        <v>234</v>
      </c>
      <c r="C8" s="464" t="s">
        <v>204</v>
      </c>
      <c r="D8" s="716">
        <v>1393684413</v>
      </c>
      <c r="E8" s="465">
        <f>SUM(E9:E11)</f>
        <v>2638846498</v>
      </c>
      <c r="F8" s="466">
        <f t="shared" si="0"/>
        <v>1.8934318798326117</v>
      </c>
      <c r="G8" s="467">
        <f>SUM(G9:G11)</f>
        <v>2516021008</v>
      </c>
      <c r="H8" s="467">
        <f>SUM(H9:H11)</f>
        <v>2262836167</v>
      </c>
      <c r="I8" s="467">
        <f>SUM(I9:I11)</f>
        <v>2269150347.8349996</v>
      </c>
    </row>
    <row r="9" spans="1:50" s="474" customFormat="1" ht="15.75" x14ac:dyDescent="0.25">
      <c r="A9" s="468"/>
      <c r="B9" s="469" t="s">
        <v>126</v>
      </c>
      <c r="C9" s="470"/>
      <c r="D9" s="717">
        <v>251832528</v>
      </c>
      <c r="E9" s="471">
        <f>+'3. sz.Városi szintű összesen'!J13</f>
        <v>356203400</v>
      </c>
      <c r="F9" s="472">
        <f t="shared" si="0"/>
        <v>1.4144455556591164</v>
      </c>
      <c r="G9" s="473">
        <f>+E9</f>
        <v>356203400</v>
      </c>
      <c r="H9" s="473">
        <f>G9*1.005</f>
        <v>357984416.99999994</v>
      </c>
      <c r="I9" s="473">
        <f>H9*1.005</f>
        <v>359774339.08499992</v>
      </c>
    </row>
    <row r="10" spans="1:50" s="474" customFormat="1" ht="15.75" x14ac:dyDescent="0.25">
      <c r="A10" s="468"/>
      <c r="B10" s="469" t="s">
        <v>116</v>
      </c>
      <c r="C10" s="470"/>
      <c r="D10" s="717">
        <v>710434485</v>
      </c>
      <c r="E10" s="471">
        <f>+'3. sz.Városi szintű összesen'!J14</f>
        <v>1023175490</v>
      </c>
      <c r="F10" s="472">
        <f t="shared" si="0"/>
        <v>1.4402109013612987</v>
      </c>
      <c r="G10" s="473">
        <v>900350000</v>
      </c>
      <c r="H10" s="473">
        <f>G10*1.005</f>
        <v>904851749.99999988</v>
      </c>
      <c r="I10" s="473">
        <f>H10*1.005</f>
        <v>909376008.74999976</v>
      </c>
    </row>
    <row r="11" spans="1:50" s="474" customFormat="1" ht="15.75" x14ac:dyDescent="0.25">
      <c r="A11" s="468"/>
      <c r="B11" s="469" t="s">
        <v>550</v>
      </c>
      <c r="C11" s="470"/>
      <c r="D11" s="717">
        <v>431417400</v>
      </c>
      <c r="E11" s="471">
        <f>+'3. sz.Városi szintű összesen'!J15</f>
        <v>1259467608</v>
      </c>
      <c r="F11" s="472">
        <f t="shared" si="0"/>
        <v>2.9193713744508218</v>
      </c>
      <c r="G11" s="473">
        <f>+E11</f>
        <v>1259467608</v>
      </c>
      <c r="H11" s="473">
        <v>1000000000</v>
      </c>
      <c r="I11" s="473">
        <v>1000000000</v>
      </c>
    </row>
    <row r="12" spans="1:50" ht="15.75" x14ac:dyDescent="0.25">
      <c r="A12" s="463" t="s">
        <v>193</v>
      </c>
      <c r="B12" s="475" t="s">
        <v>241</v>
      </c>
      <c r="C12" s="464" t="s">
        <v>205</v>
      </c>
      <c r="D12" s="716">
        <v>1389139084</v>
      </c>
      <c r="E12" s="465">
        <f>+'3. sz.Városi szintű összesen'!J16</f>
        <v>1479496135</v>
      </c>
      <c r="F12" s="466">
        <f t="shared" si="0"/>
        <v>1.0650453594177327</v>
      </c>
      <c r="G12" s="467">
        <f>1470000000-529689645-4500000+30150000</f>
        <v>965960355</v>
      </c>
      <c r="H12" s="467">
        <f>1470000000-577276859-8500000+30300750</f>
        <v>914523891</v>
      </c>
      <c r="I12" s="467">
        <f>1470000000-575163244-8500000+30452254</f>
        <v>916789010</v>
      </c>
    </row>
    <row r="13" spans="1:50" ht="15.75" x14ac:dyDescent="0.25">
      <c r="A13" s="463" t="s">
        <v>194</v>
      </c>
      <c r="B13" s="441" t="s">
        <v>332</v>
      </c>
      <c r="C13" s="464" t="s">
        <v>206</v>
      </c>
      <c r="D13" s="716">
        <v>330132320</v>
      </c>
      <c r="E13" s="465">
        <f>+'3. sz.Városi szintű összesen'!J17</f>
        <v>266068695</v>
      </c>
      <c r="F13" s="466">
        <f t="shared" si="0"/>
        <v>0.80594561295907052</v>
      </c>
      <c r="G13" s="467">
        <f>100000000+88192700+57</f>
        <v>188192757</v>
      </c>
      <c r="H13" s="467">
        <f>115000000+50000000-20000000-65348117+99621865</f>
        <v>179273748</v>
      </c>
      <c r="I13" s="467">
        <f>115000000+40000000-15000000-53321400+14970793+58818224</f>
        <v>160467617</v>
      </c>
      <c r="M13" s="2002"/>
      <c r="N13" s="2002"/>
      <c r="O13" s="2002"/>
      <c r="P13" s="2002"/>
      <c r="Q13" s="2002"/>
      <c r="R13" s="2002"/>
      <c r="S13" s="2002"/>
      <c r="T13" s="2002"/>
      <c r="U13" s="2002"/>
      <c r="V13" s="2002"/>
      <c r="W13" s="2002"/>
      <c r="X13" s="2002"/>
      <c r="Y13" s="2002"/>
      <c r="Z13" s="2002"/>
      <c r="AA13" s="2002"/>
      <c r="AB13" s="2002"/>
      <c r="AC13" s="2002"/>
      <c r="AD13" s="2002"/>
      <c r="AE13" s="2002"/>
      <c r="AF13" s="2002"/>
      <c r="AG13" s="2002"/>
      <c r="AH13" s="2002"/>
      <c r="AI13" s="2002"/>
      <c r="AJ13" s="2002"/>
      <c r="AK13" s="2002"/>
      <c r="AL13" s="2002"/>
      <c r="AM13" s="2002"/>
      <c r="AN13" s="2002"/>
      <c r="AO13" s="2002"/>
      <c r="AP13" s="2002"/>
      <c r="AQ13" s="2002"/>
      <c r="AR13" s="2002"/>
      <c r="AS13" s="2002"/>
      <c r="AT13" s="2002"/>
      <c r="AU13" s="2002"/>
      <c r="AV13" s="2002"/>
      <c r="AW13" s="2002"/>
      <c r="AX13" s="2002"/>
    </row>
    <row r="14" spans="1:50" ht="15.75" x14ac:dyDescent="0.25">
      <c r="A14" s="463" t="s">
        <v>195</v>
      </c>
      <c r="B14" s="441" t="s">
        <v>1001</v>
      </c>
      <c r="C14" s="464" t="s">
        <v>207</v>
      </c>
      <c r="D14" s="716">
        <v>15500000</v>
      </c>
      <c r="E14" s="465">
        <f>+E15</f>
        <v>28820000</v>
      </c>
      <c r="F14" s="466">
        <f t="shared" si="0"/>
        <v>1.8593548387096774</v>
      </c>
      <c r="G14" s="467">
        <f>+G15</f>
        <v>20000000</v>
      </c>
      <c r="H14" s="467">
        <f>+H15</f>
        <v>20000000</v>
      </c>
      <c r="I14" s="467">
        <f>+I15</f>
        <v>20000000</v>
      </c>
      <c r="M14" s="2002"/>
      <c r="N14" s="2002"/>
      <c r="O14" s="2002"/>
      <c r="P14" s="2002"/>
      <c r="Q14" s="2002"/>
      <c r="R14" s="2002"/>
      <c r="S14" s="2002"/>
      <c r="T14" s="2002"/>
      <c r="U14" s="2002"/>
      <c r="V14" s="2002"/>
      <c r="W14" s="2002"/>
      <c r="X14" s="2002"/>
      <c r="Y14" s="2002"/>
      <c r="Z14" s="2002"/>
      <c r="AA14" s="2002"/>
      <c r="AB14" s="2002"/>
      <c r="AC14" s="2002"/>
      <c r="AD14" s="2002"/>
      <c r="AE14" s="2002"/>
      <c r="AF14" s="2002"/>
      <c r="AG14" s="2002"/>
      <c r="AH14" s="2002"/>
      <c r="AI14" s="2002"/>
      <c r="AJ14" s="2002"/>
      <c r="AK14" s="2002"/>
      <c r="AL14" s="2002"/>
      <c r="AM14" s="2002"/>
      <c r="AN14" s="2002"/>
      <c r="AO14" s="2002"/>
      <c r="AP14" s="2002"/>
      <c r="AQ14" s="2002"/>
      <c r="AR14" s="2002"/>
      <c r="AS14" s="2002"/>
      <c r="AT14" s="2002"/>
      <c r="AU14" s="2002"/>
      <c r="AV14" s="2002"/>
      <c r="AW14" s="2002"/>
      <c r="AX14" s="2002"/>
    </row>
    <row r="15" spans="1:50" ht="15.75" x14ac:dyDescent="0.25">
      <c r="A15" s="463"/>
      <c r="B15" s="469" t="s">
        <v>125</v>
      </c>
      <c r="C15" s="464"/>
      <c r="D15" s="716">
        <v>15500000</v>
      </c>
      <c r="E15" s="471">
        <f>+'3. sz.Városi szintű összesen'!J19</f>
        <v>28820000</v>
      </c>
      <c r="F15" s="466">
        <f t="shared" si="0"/>
        <v>1.8593548387096774</v>
      </c>
      <c r="G15" s="467">
        <v>20000000</v>
      </c>
      <c r="H15" s="467">
        <v>20000000</v>
      </c>
      <c r="I15" s="467">
        <v>20000000</v>
      </c>
      <c r="M15" s="2003"/>
      <c r="N15" s="2003"/>
      <c r="O15" s="2003"/>
      <c r="P15" s="2003"/>
      <c r="Q15" s="2003"/>
      <c r="R15" s="2003"/>
      <c r="S15" s="2003"/>
      <c r="T15" s="2003"/>
      <c r="U15" s="2003"/>
      <c r="V15" s="2003"/>
      <c r="W15" s="2003"/>
      <c r="X15" s="2003"/>
      <c r="Y15" s="2003"/>
      <c r="Z15" s="2003"/>
      <c r="AA15" s="2003"/>
      <c r="AB15" s="2003"/>
      <c r="AC15" s="2003"/>
      <c r="AD15" s="2003"/>
      <c r="AE15" s="2003"/>
      <c r="AF15" s="2003"/>
      <c r="AG15" s="2003"/>
      <c r="AH15" s="2003"/>
      <c r="AI15" s="2003"/>
      <c r="AJ15" s="2003"/>
      <c r="AK15" s="2003"/>
      <c r="AL15" s="2003"/>
      <c r="AM15" s="2003"/>
      <c r="AN15" s="2003"/>
      <c r="AO15" s="2003"/>
      <c r="AP15" s="2003"/>
      <c r="AQ15" s="2003"/>
      <c r="AR15" s="2003"/>
      <c r="AS15" s="2003"/>
      <c r="AT15" s="476"/>
      <c r="AU15" s="476"/>
      <c r="AV15" s="476"/>
      <c r="AW15" s="476"/>
      <c r="AX15" s="477"/>
    </row>
    <row r="16" spans="1:50" s="129" customFormat="1" ht="15.75" x14ac:dyDescent="0.25">
      <c r="A16" s="463" t="s">
        <v>196</v>
      </c>
      <c r="B16" s="104" t="s">
        <v>236</v>
      </c>
      <c r="C16" s="1" t="s">
        <v>208</v>
      </c>
      <c r="D16" s="718">
        <f>+D4+D5+D6+D7+D12+D13+D14+D8</f>
        <v>7571975008</v>
      </c>
      <c r="E16" s="478">
        <f>+E4+E5+E6+E7+E12+E13+E14+E8</f>
        <v>11261752615</v>
      </c>
      <c r="F16" s="479">
        <f t="shared" si="0"/>
        <v>1.4872939494783921</v>
      </c>
      <c r="G16" s="480">
        <f>+G4+G5+G6+G7+G8+G12+G13+G14</f>
        <v>10554470127.355</v>
      </c>
      <c r="H16" s="480">
        <f>+H4+H5+H6+H7+H8+H12+H13+H14</f>
        <v>10275046293.391773</v>
      </c>
      <c r="I16" s="480">
        <f>+I4+I5+I6+I7+I8+I12+I13+I14</f>
        <v>10299106524.663731</v>
      </c>
    </row>
    <row r="17" spans="1:10" s="474" customFormat="1" ht="15.75" x14ac:dyDescent="0.25">
      <c r="A17" s="468"/>
      <c r="B17" s="481" t="s">
        <v>1002</v>
      </c>
      <c r="C17" s="470"/>
      <c r="D17" s="717">
        <f>+D4+D5+D6+D7+D8</f>
        <v>5837203604</v>
      </c>
      <c r="E17" s="471">
        <f>+E4+E5+E6+E8+E7</f>
        <v>9487367785</v>
      </c>
      <c r="F17" s="472">
        <f t="shared" si="0"/>
        <v>1.6253275418556052</v>
      </c>
      <c r="G17" s="473">
        <f>+G4+G5+G6+G7+G8</f>
        <v>9380317015.3549995</v>
      </c>
      <c r="H17" s="473">
        <f>+H4+H5+H6+H7+H8</f>
        <v>9161248654.3917732</v>
      </c>
      <c r="I17" s="473">
        <f>+I4+I5+I6+I7+I8</f>
        <v>9201849897.6637306</v>
      </c>
    </row>
    <row r="18" spans="1:10" s="474" customFormat="1" ht="15.75" x14ac:dyDescent="0.25">
      <c r="A18" s="468"/>
      <c r="B18" s="481" t="s">
        <v>1003</v>
      </c>
      <c r="C18" s="470"/>
      <c r="D18" s="717">
        <f>+D12+D13+D14</f>
        <v>1734771404</v>
      </c>
      <c r="E18" s="471">
        <f>+E12+E13+E14</f>
        <v>1774384830</v>
      </c>
      <c r="F18" s="472">
        <f t="shared" si="0"/>
        <v>1.0228349544548982</v>
      </c>
      <c r="G18" s="473">
        <f>+G12+G13+G14</f>
        <v>1174153112</v>
      </c>
      <c r="H18" s="473">
        <f>+H12+H13+H14</f>
        <v>1113797639</v>
      </c>
      <c r="I18" s="473">
        <f>+I12+I13+I14</f>
        <v>1097256627</v>
      </c>
      <c r="J18" s="482"/>
    </row>
    <row r="19" spans="1:10" s="129" customFormat="1" ht="15.75" x14ac:dyDescent="0.25">
      <c r="A19" s="9" t="s">
        <v>197</v>
      </c>
      <c r="B19" s="104" t="s">
        <v>221</v>
      </c>
      <c r="C19" s="1" t="s">
        <v>217</v>
      </c>
      <c r="D19" s="718">
        <f>SUM(D20:D24)</f>
        <v>2772646429</v>
      </c>
      <c r="E19" s="483">
        <f>SUM(E20:E24)</f>
        <v>4449812090</v>
      </c>
      <c r="F19" s="479">
        <f t="shared" si="0"/>
        <v>1.6048970555560151</v>
      </c>
      <c r="G19" s="480">
        <f>SUM(G20:G23)</f>
        <v>4472737613.3299999</v>
      </c>
      <c r="H19" s="480">
        <f>SUM(H20:H23)</f>
        <v>4494956301.3966494</v>
      </c>
      <c r="I19" s="480">
        <f>SUM(I20:I23)</f>
        <v>4517286082.9036312</v>
      </c>
    </row>
    <row r="20" spans="1:10" s="474" customFormat="1" ht="15.75" x14ac:dyDescent="0.25">
      <c r="A20" s="468"/>
      <c r="B20" s="484" t="s">
        <v>978</v>
      </c>
      <c r="C20" s="470"/>
      <c r="D20" s="717">
        <v>38767040</v>
      </c>
      <c r="E20" s="471">
        <f>+'3. sz.Városi szintű összesen'!J22</f>
        <v>72036518</v>
      </c>
      <c r="F20" s="472">
        <v>0</v>
      </c>
      <c r="G20" s="473">
        <f>E20*1.005</f>
        <v>72396700.589999989</v>
      </c>
      <c r="H20" s="473">
        <f t="shared" ref="H20:I22" si="2">G20*1.005</f>
        <v>72758684.092949986</v>
      </c>
      <c r="I20" s="473">
        <f t="shared" si="2"/>
        <v>73122477.513414726</v>
      </c>
    </row>
    <row r="21" spans="1:10" s="474" customFormat="1" ht="15.75" x14ac:dyDescent="0.25">
      <c r="A21" s="468"/>
      <c r="B21" s="481" t="s">
        <v>1004</v>
      </c>
      <c r="C21" s="470"/>
      <c r="D21" s="717">
        <v>2626307065</v>
      </c>
      <c r="E21" s="471">
        <f>+'3. sz.Városi szintű összesen'!J23</f>
        <v>4291386848</v>
      </c>
      <c r="F21" s="472">
        <f>E21/D21</f>
        <v>1.6340004202821576</v>
      </c>
      <c r="G21" s="473">
        <f>E21*1.005</f>
        <v>4312843782.2399998</v>
      </c>
      <c r="H21" s="473">
        <f t="shared" si="2"/>
        <v>4334408001.1511993</v>
      </c>
      <c r="I21" s="473">
        <f t="shared" si="2"/>
        <v>4356080041.1569548</v>
      </c>
    </row>
    <row r="22" spans="1:10" s="474" customFormat="1" ht="15.75" x14ac:dyDescent="0.25">
      <c r="A22" s="468"/>
      <c r="B22" s="481" t="s">
        <v>1005</v>
      </c>
      <c r="C22" s="470"/>
      <c r="D22" s="717">
        <v>79389700</v>
      </c>
      <c r="E22" s="471">
        <f>+'3. sz.Városi szintű összesen'!J24</f>
        <v>58206100</v>
      </c>
      <c r="F22" s="472">
        <f>E22/D22</f>
        <v>0.73316941618371145</v>
      </c>
      <c r="G22" s="473">
        <f>E22*1.005</f>
        <v>58497130.499999993</v>
      </c>
      <c r="H22" s="473">
        <f t="shared" si="2"/>
        <v>58789616.152499989</v>
      </c>
      <c r="I22" s="473">
        <f t="shared" si="2"/>
        <v>59083564.233262479</v>
      </c>
    </row>
    <row r="23" spans="1:10" s="474" customFormat="1" ht="15.75" x14ac:dyDescent="0.25">
      <c r="A23" s="468"/>
      <c r="B23" s="481" t="s">
        <v>1006</v>
      </c>
      <c r="C23" s="470"/>
      <c r="D23" s="717">
        <v>28182624</v>
      </c>
      <c r="E23" s="471">
        <f>+'3. sz.Városi szintű összesen'!J25</f>
        <v>28182624</v>
      </c>
      <c r="F23" s="472">
        <f>E23/D23</f>
        <v>1</v>
      </c>
      <c r="G23" s="473">
        <v>29000000</v>
      </c>
      <c r="H23" s="473">
        <v>29000000</v>
      </c>
      <c r="I23" s="473">
        <v>29000000</v>
      </c>
    </row>
    <row r="24" spans="1:10" s="474" customFormat="1" ht="15.75" x14ac:dyDescent="0.25">
      <c r="A24" s="468"/>
      <c r="B24" s="481" t="s">
        <v>1007</v>
      </c>
      <c r="C24" s="470"/>
      <c r="D24" s="717">
        <v>0</v>
      </c>
      <c r="E24" s="471">
        <f>+'3. sz.Városi szintű összesen'!J26</f>
        <v>0</v>
      </c>
      <c r="F24" s="472">
        <v>0</v>
      </c>
      <c r="G24" s="471">
        <v>0</v>
      </c>
      <c r="H24" s="471">
        <v>0</v>
      </c>
      <c r="I24" s="471">
        <v>0</v>
      </c>
    </row>
    <row r="25" spans="1:10" s="129" customFormat="1" ht="15.75" x14ac:dyDescent="0.25">
      <c r="A25" s="9" t="s">
        <v>198</v>
      </c>
      <c r="B25" s="55" t="s">
        <v>32</v>
      </c>
      <c r="C25" s="1"/>
      <c r="D25" s="718">
        <f>+D17+D21+D20+D24</f>
        <v>8502277709</v>
      </c>
      <c r="E25" s="483">
        <f>+E4+E5+E6+E7+E8+E20+E21+E24</f>
        <v>13850791151</v>
      </c>
      <c r="F25" s="479">
        <f t="shared" ref="F25:F42" si="3">E25/D25</f>
        <v>1.6290683067595386</v>
      </c>
      <c r="G25" s="480">
        <f>+G4+G5+G6+G7+G8+G21</f>
        <v>13693160797.594999</v>
      </c>
      <c r="H25" s="480">
        <f>+H4+H5+H6+H7+H8+H21</f>
        <v>13495656655.542973</v>
      </c>
      <c r="I25" s="480">
        <f>+I4+I5+I6+I7+I8+I21</f>
        <v>13557929938.820686</v>
      </c>
    </row>
    <row r="26" spans="1:10" s="129" customFormat="1" ht="15.75" x14ac:dyDescent="0.25">
      <c r="A26" s="9" t="s">
        <v>225</v>
      </c>
      <c r="B26" s="55" t="s">
        <v>33</v>
      </c>
      <c r="C26" s="1"/>
      <c r="D26" s="718">
        <f>+D18+D22+D23</f>
        <v>1842343728</v>
      </c>
      <c r="E26" s="483">
        <f>+E18+E22+E23</f>
        <v>1860773554</v>
      </c>
      <c r="F26" s="479">
        <f t="shared" si="3"/>
        <v>1.010003467713382</v>
      </c>
      <c r="G26" s="480">
        <f>+G12+G13+G14+G22+G23</f>
        <v>1261650242.5</v>
      </c>
      <c r="H26" s="480">
        <f>+H12+H13+H14+H22+H23</f>
        <v>1201587255.1524999</v>
      </c>
      <c r="I26" s="480">
        <f>+I12+I13+I14+I22+I23</f>
        <v>1185340191.2332625</v>
      </c>
    </row>
    <row r="27" spans="1:10" s="129" customFormat="1" ht="15.75" x14ac:dyDescent="0.25">
      <c r="A27" s="485" t="s">
        <v>226</v>
      </c>
      <c r="B27" s="486" t="s">
        <v>327</v>
      </c>
      <c r="C27" s="487" t="s">
        <v>31</v>
      </c>
      <c r="D27" s="488">
        <f>+D25+D26</f>
        <v>10344621437</v>
      </c>
      <c r="E27" s="488">
        <f>+E25+E26</f>
        <v>15711564705</v>
      </c>
      <c r="F27" s="720">
        <f t="shared" si="3"/>
        <v>1.5188148547228466</v>
      </c>
      <c r="G27" s="488">
        <f>+G25+G26</f>
        <v>14954811040.094999</v>
      </c>
      <c r="H27" s="488">
        <f>+H25+H26</f>
        <v>14697243910.695473</v>
      </c>
      <c r="I27" s="488">
        <f>+I25+I26</f>
        <v>14743270130.053949</v>
      </c>
    </row>
    <row r="28" spans="1:10" ht="15.75" x14ac:dyDescent="0.25">
      <c r="A28" s="463" t="s">
        <v>227</v>
      </c>
      <c r="B28" s="437" t="s">
        <v>52</v>
      </c>
      <c r="C28" s="475" t="s">
        <v>209</v>
      </c>
      <c r="D28" s="716">
        <v>1025335051</v>
      </c>
      <c r="E28" s="465">
        <f>+'3. sz.Városi szintű összesen'!J30</f>
        <v>2139264624</v>
      </c>
      <c r="F28" s="466">
        <f t="shared" si="3"/>
        <v>2.0864054358754189</v>
      </c>
      <c r="G28" s="467">
        <v>1650000000</v>
      </c>
      <c r="H28" s="467">
        <v>1652000000</v>
      </c>
      <c r="I28" s="467">
        <v>1652000000</v>
      </c>
    </row>
    <row r="29" spans="1:10" ht="15.75" x14ac:dyDescent="0.25">
      <c r="A29" s="463" t="s">
        <v>228</v>
      </c>
      <c r="B29" s="437" t="s">
        <v>220</v>
      </c>
      <c r="C29" s="475" t="s">
        <v>210</v>
      </c>
      <c r="D29" s="716">
        <v>147576592</v>
      </c>
      <c r="E29" s="465">
        <f>+'3. sz.Városi szintű összesen'!J31</f>
        <v>0</v>
      </c>
      <c r="F29" s="466">
        <f t="shared" si="3"/>
        <v>0</v>
      </c>
      <c r="G29" s="467"/>
      <c r="H29" s="467">
        <v>0</v>
      </c>
      <c r="I29" s="467">
        <v>0</v>
      </c>
    </row>
    <row r="30" spans="1:10" ht="15.75" x14ac:dyDescent="0.25">
      <c r="A30" s="463" t="s">
        <v>229</v>
      </c>
      <c r="B30" s="437" t="s">
        <v>1008</v>
      </c>
      <c r="C30" s="475" t="s">
        <v>211</v>
      </c>
      <c r="D30" s="716">
        <v>4337364830</v>
      </c>
      <c r="E30" s="465">
        <f>+'3. sz.Városi szintű összesen'!J32</f>
        <v>4799627756</v>
      </c>
      <c r="F30" s="466">
        <f t="shared" si="3"/>
        <v>1.1065769065130728</v>
      </c>
      <c r="G30" s="467">
        <v>3800000000</v>
      </c>
      <c r="H30" s="467">
        <v>3800000000</v>
      </c>
      <c r="I30" s="467">
        <v>3800000000</v>
      </c>
    </row>
    <row r="31" spans="1:10" ht="15.75" x14ac:dyDescent="0.25">
      <c r="A31" s="463" t="s">
        <v>230</v>
      </c>
      <c r="B31" s="441" t="s">
        <v>0</v>
      </c>
      <c r="C31" s="475" t="s">
        <v>212</v>
      </c>
      <c r="D31" s="716">
        <v>584036924</v>
      </c>
      <c r="E31" s="465">
        <f>+'3. sz.Városi szintű összesen'!J33</f>
        <v>831698250</v>
      </c>
      <c r="F31" s="466">
        <f t="shared" si="3"/>
        <v>1.4240508019660756</v>
      </c>
      <c r="G31" s="467">
        <f>E31*1.005</f>
        <v>835856741.24999988</v>
      </c>
      <c r="H31" s="467">
        <f>G31*1.005</f>
        <v>840036024.95624983</v>
      </c>
      <c r="I31" s="467">
        <f>H31*1.005</f>
        <v>844236205.08103096</v>
      </c>
    </row>
    <row r="32" spans="1:10" ht="15.75" x14ac:dyDescent="0.25">
      <c r="A32" s="463" t="s">
        <v>231</v>
      </c>
      <c r="B32" s="437" t="s">
        <v>242</v>
      </c>
      <c r="C32" s="475" t="s">
        <v>213</v>
      </c>
      <c r="D32" s="716">
        <v>40010000</v>
      </c>
      <c r="E32" s="465">
        <f>+'3. sz.Városi szintű összesen'!J34</f>
        <v>51854877</v>
      </c>
      <c r="F32" s="466">
        <f t="shared" si="3"/>
        <v>1.2960479130217446</v>
      </c>
      <c r="G32" s="467">
        <v>30000000</v>
      </c>
      <c r="H32" s="467">
        <v>30000000</v>
      </c>
      <c r="I32" s="467">
        <v>30000000</v>
      </c>
    </row>
    <row r="33" spans="1:15" ht="15.75" x14ac:dyDescent="0.25">
      <c r="A33" s="463" t="s">
        <v>232</v>
      </c>
      <c r="B33" s="437" t="s">
        <v>237</v>
      </c>
      <c r="C33" s="475" t="s">
        <v>214</v>
      </c>
      <c r="D33" s="716">
        <v>0</v>
      </c>
      <c r="E33" s="465">
        <f>+'3. sz.Városi szintű összesen'!J35</f>
        <v>0</v>
      </c>
      <c r="F33" s="466">
        <v>0</v>
      </c>
      <c r="G33" s="467">
        <v>10000000</v>
      </c>
      <c r="H33" s="467">
        <v>10000000</v>
      </c>
      <c r="I33" s="467">
        <v>10000000</v>
      </c>
    </row>
    <row r="34" spans="1:15" ht="15.75" x14ac:dyDescent="0.25">
      <c r="A34" s="463" t="s">
        <v>233</v>
      </c>
      <c r="B34" s="437" t="s">
        <v>1009</v>
      </c>
      <c r="C34" s="475" t="s">
        <v>215</v>
      </c>
      <c r="D34" s="716">
        <v>4586500</v>
      </c>
      <c r="E34" s="465">
        <f>+'3. sz.Városi szintű összesen'!J36</f>
        <v>8395200</v>
      </c>
      <c r="F34" s="466">
        <f t="shared" si="3"/>
        <v>1.8304153493949635</v>
      </c>
      <c r="G34" s="467">
        <f t="shared" ref="G34:G43" si="4">E34*1.005</f>
        <v>8437176</v>
      </c>
      <c r="H34" s="467">
        <f>G34*1.005</f>
        <v>8479361.879999999</v>
      </c>
      <c r="I34" s="467">
        <f>H34*1.005</f>
        <v>8521758.6893999986</v>
      </c>
    </row>
    <row r="35" spans="1:15" s="129" customFormat="1" ht="15.75" x14ac:dyDescent="0.25">
      <c r="A35" s="9" t="s">
        <v>260</v>
      </c>
      <c r="B35" s="102" t="s">
        <v>239</v>
      </c>
      <c r="C35" s="104" t="s">
        <v>216</v>
      </c>
      <c r="D35" s="718">
        <f>SUM(D28:D34)</f>
        <v>6138909897</v>
      </c>
      <c r="E35" s="483">
        <f>SUM(E36:E37)</f>
        <v>7830840707</v>
      </c>
      <c r="F35" s="479">
        <f t="shared" si="3"/>
        <v>1.2756076955660847</v>
      </c>
      <c r="G35" s="480">
        <f>SUM(G28:G34)</f>
        <v>6334293917.25</v>
      </c>
      <c r="H35" s="480">
        <f>SUM(H28:H34)</f>
        <v>6340515386.8362503</v>
      </c>
      <c r="I35" s="480">
        <f>SUM(I28:I34)</f>
        <v>6344757963.7704306</v>
      </c>
    </row>
    <row r="36" spans="1:15" s="474" customFormat="1" ht="15.75" x14ac:dyDescent="0.25">
      <c r="A36" s="489"/>
      <c r="B36" s="469" t="s">
        <v>1010</v>
      </c>
      <c r="C36" s="481"/>
      <c r="D36" s="717">
        <f>+D28+D30+D31+D33</f>
        <v>5946736805</v>
      </c>
      <c r="E36" s="471">
        <f>+E28+E30+E31+E33</f>
        <v>7770590630</v>
      </c>
      <c r="F36" s="472">
        <f t="shared" si="3"/>
        <v>1.3066982590294747</v>
      </c>
      <c r="G36" s="473">
        <f>+G28+G30+G31+G33</f>
        <v>6295856741.25</v>
      </c>
      <c r="H36" s="473">
        <f>+H28+H30+H31+H33</f>
        <v>6302036024.9562502</v>
      </c>
      <c r="I36" s="473">
        <f>+I28+I30+I31+I33</f>
        <v>6306236205.0810308</v>
      </c>
    </row>
    <row r="37" spans="1:15" s="474" customFormat="1" ht="15.75" x14ac:dyDescent="0.25">
      <c r="A37" s="489"/>
      <c r="B37" s="469" t="s">
        <v>1011</v>
      </c>
      <c r="C37" s="481"/>
      <c r="D37" s="717">
        <f>+D29+D32+D34</f>
        <v>192173092</v>
      </c>
      <c r="E37" s="471">
        <f>+E29+E32+E34</f>
        <v>60250077</v>
      </c>
      <c r="F37" s="472">
        <f t="shared" si="3"/>
        <v>0.31351983970784003</v>
      </c>
      <c r="G37" s="473">
        <f>+G29+G32+G34</f>
        <v>38437176</v>
      </c>
      <c r="H37" s="473">
        <f>+H29+H32+H34</f>
        <v>38479361.879999995</v>
      </c>
      <c r="I37" s="473">
        <f>+I29+I32+I34</f>
        <v>38521758.689400002</v>
      </c>
      <c r="J37" s="482"/>
      <c r="K37" s="482">
        <f>+G27-G48</f>
        <v>700389504.85499954</v>
      </c>
    </row>
    <row r="38" spans="1:15" s="129" customFormat="1" ht="15.75" x14ac:dyDescent="0.25">
      <c r="A38" s="9" t="s">
        <v>261</v>
      </c>
      <c r="B38" s="104" t="s">
        <v>240</v>
      </c>
      <c r="C38" s="1" t="s">
        <v>218</v>
      </c>
      <c r="D38" s="718">
        <f>SUM(D39:D45)</f>
        <v>4205711540</v>
      </c>
      <c r="E38" s="483">
        <f>SUM(E39:E45)</f>
        <v>7880723998</v>
      </c>
      <c r="F38" s="479">
        <f t="shared" si="3"/>
        <v>1.8738146739374333</v>
      </c>
      <c r="G38" s="480">
        <f>+G39+G40+G41+G42+G43</f>
        <v>7920127617.9899998</v>
      </c>
      <c r="H38" s="480">
        <f>+H39+H40+H41+H42+H43</f>
        <v>7963540783.0799484</v>
      </c>
      <c r="I38" s="480">
        <f>+I39+I40+I41+I42+I43</f>
        <v>8003358486.995347</v>
      </c>
      <c r="O38" s="490">
        <f>+G27-G48</f>
        <v>700389504.85499954</v>
      </c>
    </row>
    <row r="39" spans="1:15" s="474" customFormat="1" ht="15" customHeight="1" x14ac:dyDescent="0.25">
      <c r="A39" s="468"/>
      <c r="B39" s="481" t="s">
        <v>1012</v>
      </c>
      <c r="C39" s="470"/>
      <c r="D39" s="717">
        <v>737255365</v>
      </c>
      <c r="E39" s="471">
        <f>+'3. sz.Városi szintű összesen'!J40</f>
        <v>2456933339</v>
      </c>
      <c r="F39" s="472">
        <f t="shared" si="3"/>
        <v>3.3325404678472568</v>
      </c>
      <c r="G39" s="473">
        <f t="shared" si="4"/>
        <v>2469218005.6949997</v>
      </c>
      <c r="H39" s="473">
        <f>G39*1.005</f>
        <v>2481564095.7234745</v>
      </c>
      <c r="I39" s="473">
        <f>H39*1.005</f>
        <v>2493971916.2020917</v>
      </c>
    </row>
    <row r="40" spans="1:15" s="474" customFormat="1" ht="15.75" x14ac:dyDescent="0.25">
      <c r="A40" s="468"/>
      <c r="B40" s="481" t="s">
        <v>1013</v>
      </c>
      <c r="C40" s="470"/>
      <c r="D40" s="717">
        <v>762759410</v>
      </c>
      <c r="E40" s="471">
        <f>+'3. sz.Városi szintű összesen'!J41</f>
        <v>1074197711</v>
      </c>
      <c r="F40" s="472">
        <f t="shared" si="3"/>
        <v>1.4083047641457482</v>
      </c>
      <c r="G40" s="473">
        <f t="shared" si="4"/>
        <v>1079568699.5549998</v>
      </c>
      <c r="H40" s="473">
        <f>G40*1.005</f>
        <v>1084966543.0527747</v>
      </c>
      <c r="I40" s="473">
        <f>H40*1.005</f>
        <v>1090391375.7680385</v>
      </c>
    </row>
    <row r="41" spans="1:15" s="474" customFormat="1" ht="15.75" x14ac:dyDescent="0.25">
      <c r="A41" s="468"/>
      <c r="B41" s="481" t="s">
        <v>1014</v>
      </c>
      <c r="C41" s="470"/>
      <c r="D41" s="717">
        <v>2626307065</v>
      </c>
      <c r="E41" s="471">
        <f>+'3. sz.Városi szintű összesen'!J42</f>
        <v>4291386848</v>
      </c>
      <c r="F41" s="472">
        <f t="shared" si="3"/>
        <v>1.6340004202821576</v>
      </c>
      <c r="G41" s="473">
        <f t="shared" si="4"/>
        <v>4312843782.2399998</v>
      </c>
      <c r="H41" s="473">
        <f>G41*1.005+3812527</f>
        <v>4338220528.1511993</v>
      </c>
      <c r="I41" s="473">
        <f>H41*1.005</f>
        <v>4359911630.791955</v>
      </c>
    </row>
    <row r="42" spans="1:15" s="474" customFormat="1" ht="15.75" x14ac:dyDescent="0.25">
      <c r="A42" s="468"/>
      <c r="B42" s="481" t="s">
        <v>1015</v>
      </c>
      <c r="C42" s="470"/>
      <c r="D42" s="717">
        <v>79389700</v>
      </c>
      <c r="E42" s="471">
        <f>+'3. sz.Városi szintű összesen'!J43</f>
        <v>58206100</v>
      </c>
      <c r="F42" s="472">
        <f t="shared" si="3"/>
        <v>0.73316941618371145</v>
      </c>
      <c r="G42" s="473">
        <f t="shared" si="4"/>
        <v>58497130.499999993</v>
      </c>
      <c r="H42" s="473">
        <f>G42*1.005</f>
        <v>58789616.152499989</v>
      </c>
      <c r="I42" s="473">
        <f>H42*1.005</f>
        <v>59083564.233262479</v>
      </c>
      <c r="L42" s="482">
        <f>+G27-G48</f>
        <v>700389504.85499954</v>
      </c>
    </row>
    <row r="43" spans="1:15" s="474" customFormat="1" ht="15.75" x14ac:dyDescent="0.25">
      <c r="A43" s="468"/>
      <c r="B43" s="481" t="s">
        <v>1016</v>
      </c>
      <c r="C43" s="470"/>
      <c r="D43" s="717">
        <v>0</v>
      </c>
      <c r="E43" s="471">
        <f>+'3. sz.Városi szintű összesen'!J44</f>
        <v>0</v>
      </c>
      <c r="F43" s="472">
        <v>0</v>
      </c>
      <c r="G43" s="473">
        <f t="shared" si="4"/>
        <v>0</v>
      </c>
      <c r="H43" s="473">
        <f>G43*1.005</f>
        <v>0</v>
      </c>
      <c r="I43" s="473">
        <f>H43*1.005</f>
        <v>0</v>
      </c>
      <c r="K43" s="482">
        <f>+H27-H48</f>
        <v>393187740.77927399</v>
      </c>
    </row>
    <row r="44" spans="1:15" s="474" customFormat="1" ht="15.75" x14ac:dyDescent="0.25">
      <c r="A44" s="468"/>
      <c r="B44" s="481" t="s">
        <v>1017</v>
      </c>
      <c r="C44" s="470"/>
      <c r="D44" s="717">
        <v>0</v>
      </c>
      <c r="E44" s="471">
        <f>+'3. sz.Városi szintű összesen'!J45</f>
        <v>0</v>
      </c>
      <c r="F44" s="472"/>
      <c r="G44" s="471">
        <v>0</v>
      </c>
      <c r="H44" s="471">
        <v>0</v>
      </c>
      <c r="I44" s="471">
        <v>0</v>
      </c>
      <c r="K44" s="482"/>
    </row>
    <row r="45" spans="1:15" s="474" customFormat="1" ht="15.75" x14ac:dyDescent="0.25">
      <c r="A45" s="468"/>
      <c r="B45" s="481" t="s">
        <v>1018</v>
      </c>
      <c r="C45" s="470"/>
      <c r="D45" s="717">
        <v>0</v>
      </c>
      <c r="E45" s="471">
        <f>+'3. sz.Városi szintű összesen'!J39</f>
        <v>0</v>
      </c>
      <c r="F45" s="472"/>
      <c r="G45" s="471"/>
      <c r="H45" s="471"/>
      <c r="I45" s="471"/>
      <c r="K45" s="482"/>
    </row>
    <row r="46" spans="1:15" s="129" customFormat="1" ht="15.75" x14ac:dyDescent="0.25">
      <c r="A46" s="9" t="s">
        <v>262</v>
      </c>
      <c r="B46" s="55" t="s">
        <v>113</v>
      </c>
      <c r="C46" s="1"/>
      <c r="D46" s="718">
        <f>+D36+D39+D41+D44</f>
        <v>9310299235</v>
      </c>
      <c r="E46" s="483">
        <f>+E36+E39+E41+E44+E45</f>
        <v>14518910817</v>
      </c>
      <c r="F46" s="479">
        <f>E46/D46</f>
        <v>1.5594462058125245</v>
      </c>
      <c r="G46" s="480">
        <f>+G28+G30+G31+G33+G39+G41</f>
        <v>13077918529.184999</v>
      </c>
      <c r="H46" s="480">
        <f>+H28+H30+H31+H33+H39+H41</f>
        <v>13121820648.830925</v>
      </c>
      <c r="I46" s="480">
        <f>+I28+I30+I31+I33+I39+I41</f>
        <v>13160119752.075077</v>
      </c>
    </row>
    <row r="47" spans="1:15" s="129" customFormat="1" ht="15.75" x14ac:dyDescent="0.25">
      <c r="A47" s="9" t="s">
        <v>263</v>
      </c>
      <c r="B47" s="55" t="s">
        <v>114</v>
      </c>
      <c r="C47" s="1"/>
      <c r="D47" s="718">
        <f>+D37+D40+D42+D43</f>
        <v>1034322202</v>
      </c>
      <c r="E47" s="483">
        <f>+E37+E40+E42</f>
        <v>1192653888</v>
      </c>
      <c r="F47" s="479">
        <f>E47/D47</f>
        <v>1.1530777215202812</v>
      </c>
      <c r="G47" s="480">
        <f>+G29+G32+G34+G40+G42</f>
        <v>1176503006.0549998</v>
      </c>
      <c r="H47" s="480">
        <f>+H29+H32+H34+H40+H42</f>
        <v>1182235521.0852745</v>
      </c>
      <c r="I47" s="480">
        <f>+I29+I32+I34+I40+I42</f>
        <v>1187996698.690701</v>
      </c>
      <c r="L47" s="490">
        <f>+G27-G48</f>
        <v>700389504.85499954</v>
      </c>
    </row>
    <row r="48" spans="1:15" s="129" customFormat="1" ht="15.75" x14ac:dyDescent="0.25">
      <c r="A48" s="485" t="s">
        <v>264</v>
      </c>
      <c r="B48" s="486" t="s">
        <v>328</v>
      </c>
      <c r="C48" s="487" t="s">
        <v>859</v>
      </c>
      <c r="D48" s="488">
        <f>+D46+D47</f>
        <v>10344621437</v>
      </c>
      <c r="E48" s="488">
        <f>+E46+E47</f>
        <v>15711564705</v>
      </c>
      <c r="F48" s="720">
        <f>E48/D48</f>
        <v>1.5188148547228466</v>
      </c>
      <c r="G48" s="488">
        <f>+G46+G47</f>
        <v>14254421535.24</v>
      </c>
      <c r="H48" s="488">
        <f>+H46+H47</f>
        <v>14304056169.916199</v>
      </c>
      <c r="I48" s="488">
        <f>+I46+I47</f>
        <v>14348116450.765778</v>
      </c>
      <c r="K48" s="490">
        <f>+I27-I48</f>
        <v>395153679.28817177</v>
      </c>
    </row>
    <row r="49" spans="1:11" s="129" customFormat="1" ht="15.75" x14ac:dyDescent="0.25">
      <c r="A49" s="491"/>
      <c r="B49" s="452"/>
      <c r="C49" s="492"/>
      <c r="D49" s="493"/>
      <c r="E49" s="494"/>
      <c r="F49" s="495"/>
      <c r="G49" s="494"/>
      <c r="H49" s="494"/>
      <c r="I49" s="494"/>
      <c r="K49" s="490"/>
    </row>
    <row r="50" spans="1:11" s="129" customFormat="1" ht="18.75" customHeight="1" x14ac:dyDescent="0.25">
      <c r="A50" s="491"/>
      <c r="B50" s="1998" t="s">
        <v>987</v>
      </c>
      <c r="C50" s="1998"/>
      <c r="D50" s="1998"/>
      <c r="E50" s="494">
        <f>E36</f>
        <v>7770590630</v>
      </c>
      <c r="F50" s="496"/>
      <c r="G50" s="494">
        <f>+G48-G27</f>
        <v>-700389504.85499954</v>
      </c>
      <c r="H50" s="494">
        <f>+H48-H27</f>
        <v>-393187740.77927399</v>
      </c>
      <c r="I50" s="494">
        <f>+I48-I27</f>
        <v>-395153679.28817177</v>
      </c>
      <c r="J50" s="494"/>
    </row>
    <row r="51" spans="1:11" s="129" customFormat="1" ht="18.75" customHeight="1" x14ac:dyDescent="0.25">
      <c r="A51" s="491"/>
      <c r="B51" s="1998" t="s">
        <v>988</v>
      </c>
      <c r="C51" s="1998"/>
      <c r="D51" s="1998"/>
      <c r="E51" s="494">
        <f>E17</f>
        <v>9487367785</v>
      </c>
      <c r="F51" s="496"/>
      <c r="G51" s="494"/>
      <c r="H51" s="494"/>
      <c r="I51" s="494"/>
      <c r="J51" s="490"/>
    </row>
    <row r="52" spans="1:11" s="129" customFormat="1" ht="18.75" customHeight="1" x14ac:dyDescent="0.25">
      <c r="A52" s="491"/>
      <c r="B52" s="1998" t="s">
        <v>989</v>
      </c>
      <c r="C52" s="1998"/>
      <c r="D52" s="1998"/>
      <c r="E52" s="494">
        <f>E50-E51</f>
        <v>-1716777155</v>
      </c>
      <c r="F52" s="496"/>
      <c r="G52" s="494"/>
      <c r="H52" s="494"/>
      <c r="I52" s="494"/>
    </row>
    <row r="53" spans="1:11" s="129" customFormat="1" ht="18.75" customHeight="1" x14ac:dyDescent="0.25">
      <c r="A53" s="491"/>
      <c r="B53" s="452"/>
      <c r="C53" s="452"/>
      <c r="D53" s="452"/>
      <c r="E53" s="494"/>
      <c r="F53" s="496"/>
      <c r="G53" s="494"/>
      <c r="H53" s="494"/>
      <c r="I53" s="494"/>
      <c r="K53" s="490">
        <f>+H27-H48</f>
        <v>393187740.77927399</v>
      </c>
    </row>
    <row r="54" spans="1:11" s="129" customFormat="1" ht="18.75" customHeight="1" x14ac:dyDescent="0.25">
      <c r="A54" s="491"/>
      <c r="B54" s="1998" t="s">
        <v>990</v>
      </c>
      <c r="C54" s="1998"/>
      <c r="D54" s="1998"/>
      <c r="E54" s="494">
        <f>E37</f>
        <v>60250077</v>
      </c>
      <c r="F54" s="496"/>
      <c r="G54" s="494"/>
      <c r="H54" s="494"/>
      <c r="I54" s="494"/>
    </row>
    <row r="55" spans="1:11" s="129" customFormat="1" ht="18.75" customHeight="1" x14ac:dyDescent="0.25">
      <c r="A55" s="491"/>
      <c r="B55" s="1998" t="s">
        <v>991</v>
      </c>
      <c r="C55" s="1998"/>
      <c r="D55" s="1998"/>
      <c r="E55" s="494">
        <f>E18</f>
        <v>1774384830</v>
      </c>
      <c r="F55" s="496"/>
      <c r="G55" s="494"/>
      <c r="H55" s="494"/>
      <c r="I55" s="494"/>
    </row>
    <row r="56" spans="1:11" s="129" customFormat="1" ht="18.75" customHeight="1" x14ac:dyDescent="0.25">
      <c r="A56" s="491"/>
      <c r="B56" s="1998" t="s">
        <v>992</v>
      </c>
      <c r="C56" s="1998"/>
      <c r="D56" s="1998"/>
      <c r="E56" s="494">
        <f>E54-E55</f>
        <v>-1714134753</v>
      </c>
      <c r="F56" s="496"/>
      <c r="G56" s="494"/>
      <c r="H56" s="494"/>
      <c r="I56" s="494"/>
      <c r="K56" s="490">
        <f>+G48-G27</f>
        <v>-700389504.85499954</v>
      </c>
    </row>
    <row r="57" spans="1:11" s="129" customFormat="1" ht="18.75" customHeight="1" x14ac:dyDescent="0.25">
      <c r="A57" s="491"/>
      <c r="B57" s="452"/>
      <c r="C57" s="452"/>
      <c r="D57" s="452"/>
      <c r="E57" s="494"/>
      <c r="F57" s="496"/>
      <c r="G57" s="494"/>
      <c r="H57" s="494"/>
      <c r="I57" s="494"/>
    </row>
    <row r="58" spans="1:11" s="129" customFormat="1" ht="18.75" customHeight="1" x14ac:dyDescent="0.25">
      <c r="A58" s="491"/>
      <c r="B58" s="1998" t="s">
        <v>993</v>
      </c>
      <c r="C58" s="1998"/>
      <c r="D58" s="1998"/>
      <c r="E58" s="494">
        <f>E52+E56</f>
        <v>-3430911908</v>
      </c>
      <c r="F58" s="496"/>
      <c r="G58" s="494"/>
      <c r="H58" s="494"/>
      <c r="I58" s="494"/>
    </row>
    <row r="59" spans="1:11" s="129" customFormat="1" ht="18.75" customHeight="1" x14ac:dyDescent="0.25">
      <c r="A59" s="491"/>
      <c r="B59" s="1998" t="s">
        <v>994</v>
      </c>
      <c r="C59" s="1998"/>
      <c r="D59" s="1998"/>
      <c r="E59" s="494">
        <f>+E38-E19</f>
        <v>3430911908</v>
      </c>
      <c r="F59" s="496"/>
      <c r="G59" s="494"/>
      <c r="H59" s="494"/>
      <c r="I59" s="494"/>
    </row>
    <row r="60" spans="1:11" s="129" customFormat="1" ht="18.75" customHeight="1" x14ac:dyDescent="0.25">
      <c r="A60" s="491"/>
      <c r="B60" s="1998" t="s">
        <v>1026</v>
      </c>
      <c r="C60" s="1998"/>
      <c r="D60" s="1998"/>
      <c r="E60" s="494">
        <f>+E58+E59</f>
        <v>0</v>
      </c>
      <c r="F60" s="496"/>
      <c r="G60" s="494"/>
      <c r="H60" s="494"/>
      <c r="I60" s="494"/>
    </row>
    <row r="62" spans="1:11" ht="15.75" customHeight="1" x14ac:dyDescent="0.25">
      <c r="A62" s="2005" t="s">
        <v>1019</v>
      </c>
      <c r="B62" s="2005"/>
      <c r="C62" s="719"/>
      <c r="D62" s="719"/>
      <c r="E62" s="719"/>
      <c r="F62" s="719"/>
      <c r="G62" s="719"/>
      <c r="H62" s="719"/>
      <c r="I62" s="719"/>
    </row>
    <row r="63" spans="1:11" ht="50.25" customHeight="1" x14ac:dyDescent="0.25">
      <c r="A63" s="2004" t="s">
        <v>1279</v>
      </c>
      <c r="B63" s="2004"/>
      <c r="C63" s="2004"/>
      <c r="D63" s="2004"/>
      <c r="E63" s="2004"/>
      <c r="F63" s="2004"/>
      <c r="G63" s="2004"/>
      <c r="H63" s="2004"/>
      <c r="I63" s="2004"/>
    </row>
    <row r="64" spans="1:11" s="348" customFormat="1" ht="15.6" customHeight="1" x14ac:dyDescent="0.25">
      <c r="A64" s="2004" t="s">
        <v>1020</v>
      </c>
      <c r="B64" s="2004"/>
      <c r="C64" s="2004"/>
      <c r="D64" s="2004"/>
      <c r="E64" s="2004"/>
      <c r="F64" s="2004"/>
      <c r="G64" s="2004"/>
      <c r="H64" s="2004"/>
      <c r="I64" s="2004"/>
    </row>
    <row r="65" spans="1:9" s="348" customFormat="1" ht="52.5" customHeight="1" x14ac:dyDescent="0.25">
      <c r="A65" s="2004" t="s">
        <v>1280</v>
      </c>
      <c r="B65" s="2004"/>
      <c r="C65" s="2004"/>
      <c r="D65" s="2004"/>
      <c r="E65" s="2004"/>
      <c r="F65" s="2004"/>
      <c r="G65" s="2004"/>
      <c r="H65" s="2004"/>
      <c r="I65" s="2004"/>
    </row>
    <row r="66" spans="1:9" s="348" customFormat="1" ht="15.75" customHeight="1" x14ac:dyDescent="0.25">
      <c r="A66" s="2004" t="s">
        <v>1281</v>
      </c>
      <c r="B66" s="2004"/>
      <c r="C66" s="2004"/>
      <c r="D66" s="2004"/>
      <c r="E66" s="2004"/>
      <c r="F66" s="2004"/>
      <c r="G66" s="2004"/>
      <c r="H66" s="2004"/>
      <c r="I66" s="2004"/>
    </row>
    <row r="67" spans="1:9" ht="15.75" customHeight="1" x14ac:dyDescent="0.25">
      <c r="A67" s="2004" t="s">
        <v>1282</v>
      </c>
      <c r="B67" s="2004"/>
      <c r="C67" s="2004"/>
      <c r="D67" s="2004"/>
      <c r="E67" s="2004"/>
      <c r="F67" s="2004"/>
      <c r="G67" s="2004"/>
      <c r="H67" s="2004"/>
      <c r="I67"/>
    </row>
    <row r="68" spans="1:9" ht="15.75" customHeight="1" x14ac:dyDescent="0.25">
      <c r="A68" s="2004" t="s">
        <v>1283</v>
      </c>
      <c r="B68" s="2004"/>
      <c r="C68" s="2004"/>
      <c r="D68" s="2004"/>
      <c r="E68" s="2004"/>
      <c r="F68" s="2004"/>
      <c r="G68" s="2004"/>
      <c r="H68" s="2004"/>
      <c r="I68"/>
    </row>
    <row r="69" spans="1:9" ht="15.75" customHeight="1" x14ac:dyDescent="0.25">
      <c r="A69" s="2004" t="s">
        <v>1284</v>
      </c>
      <c r="B69" s="2004"/>
      <c r="C69" s="2004"/>
      <c r="D69" s="2004"/>
      <c r="E69" s="2004"/>
      <c r="F69" s="2004"/>
      <c r="G69" s="2004"/>
      <c r="H69" s="2004"/>
      <c r="I69"/>
    </row>
    <row r="70" spans="1:9" ht="15.75" x14ac:dyDescent="0.25">
      <c r="A70" s="2004"/>
      <c r="B70" s="2004"/>
      <c r="C70" s="2004"/>
      <c r="D70" s="2004"/>
      <c r="E70" s="2004"/>
      <c r="F70" s="2004"/>
      <c r="G70" s="2004"/>
      <c r="H70" s="2004"/>
    </row>
    <row r="71" spans="1:9" ht="15.75" x14ac:dyDescent="0.25">
      <c r="A71" s="2004"/>
      <c r="B71" s="2004"/>
      <c r="C71" s="2004"/>
      <c r="D71" s="2004"/>
      <c r="E71" s="2004"/>
      <c r="F71" s="2004"/>
      <c r="G71" s="2004"/>
      <c r="H71" s="2004"/>
    </row>
    <row r="72" spans="1:9" ht="15.75" x14ac:dyDescent="0.25">
      <c r="A72" s="2004"/>
      <c r="B72" s="2004"/>
      <c r="C72" s="2004"/>
      <c r="D72" s="2004"/>
      <c r="E72" s="2004"/>
      <c r="F72" s="2004"/>
      <c r="G72" s="2004"/>
      <c r="H72" s="2004"/>
    </row>
    <row r="73" spans="1:9" ht="15.75" x14ac:dyDescent="0.25">
      <c r="A73" s="2004"/>
      <c r="B73" s="2004"/>
      <c r="C73" s="2004"/>
      <c r="D73" s="2004"/>
      <c r="E73" s="2004"/>
      <c r="F73" s="2004"/>
      <c r="G73" s="2004"/>
      <c r="H73" s="2004"/>
    </row>
    <row r="74" spans="1:9" ht="15.75" x14ac:dyDescent="0.25">
      <c r="A74" s="2004"/>
      <c r="B74" s="2004"/>
      <c r="C74" s="2004"/>
      <c r="D74" s="2004"/>
      <c r="E74" s="2004"/>
      <c r="F74" s="2004"/>
      <c r="G74" s="2004"/>
      <c r="H74" s="2004"/>
    </row>
    <row r="75" spans="1:9" ht="15.75" x14ac:dyDescent="0.25">
      <c r="A75" s="497"/>
      <c r="B75" s="497"/>
      <c r="C75" s="497"/>
      <c r="D75" s="497"/>
      <c r="E75" s="497"/>
      <c r="F75" s="497"/>
      <c r="G75" s="498"/>
      <c r="H75" s="498"/>
    </row>
    <row r="76" spans="1:9" ht="15.75" x14ac:dyDescent="0.25">
      <c r="A76" s="2005"/>
      <c r="B76" s="2005"/>
      <c r="C76" s="2005"/>
      <c r="D76" s="2005"/>
      <c r="E76" s="2005"/>
      <c r="F76" s="2005"/>
      <c r="G76" s="2005"/>
      <c r="H76" s="2005"/>
      <c r="I76" s="2005"/>
    </row>
    <row r="77" spans="1:9" ht="15.75" x14ac:dyDescent="0.25">
      <c r="A77" s="2004"/>
      <c r="B77" s="2004"/>
      <c r="C77" s="2004"/>
      <c r="D77" s="2004"/>
      <c r="E77" s="2004"/>
      <c r="F77" s="2004"/>
      <c r="G77" s="2004"/>
      <c r="H77" s="2004"/>
      <c r="I77" s="2004"/>
    </row>
    <row r="78" spans="1:9" ht="15.75" x14ac:dyDescent="0.25">
      <c r="A78" s="2004"/>
      <c r="B78" s="2004"/>
      <c r="C78" s="2004"/>
      <c r="D78" s="2004"/>
      <c r="E78" s="2004"/>
      <c r="F78" s="2004"/>
      <c r="G78" s="2004"/>
      <c r="H78" s="2004"/>
      <c r="I78" s="2004"/>
    </row>
    <row r="79" spans="1:9" ht="34.5" customHeight="1" x14ac:dyDescent="0.25">
      <c r="A79" s="2004"/>
      <c r="B79" s="2004"/>
      <c r="C79" s="2004"/>
      <c r="D79" s="2004"/>
      <c r="E79" s="2004"/>
      <c r="F79" s="2004"/>
      <c r="G79" s="2004"/>
      <c r="H79" s="2004"/>
      <c r="I79" s="2004"/>
    </row>
    <row r="80" spans="1:9" ht="15.75" x14ac:dyDescent="0.25">
      <c r="A80" s="2004"/>
      <c r="B80" s="2004"/>
      <c r="C80" s="2004"/>
      <c r="D80" s="2004"/>
      <c r="E80" s="2004"/>
      <c r="F80" s="2004"/>
      <c r="G80" s="2004"/>
      <c r="H80" s="2004"/>
      <c r="I80" s="2004"/>
    </row>
    <row r="81" spans="1:9" ht="15.75" x14ac:dyDescent="0.25">
      <c r="A81" s="455"/>
      <c r="B81" s="455"/>
      <c r="C81" s="455"/>
      <c r="D81" s="455"/>
      <c r="E81" s="499"/>
      <c r="F81" s="499"/>
      <c r="G81" s="499"/>
      <c r="H81" s="499"/>
      <c r="I81" s="499"/>
    </row>
  </sheetData>
  <mergeCells count="30">
    <mergeCell ref="A80:I80"/>
    <mergeCell ref="A73:H73"/>
    <mergeCell ref="A74:H74"/>
    <mergeCell ref="A76:I76"/>
    <mergeCell ref="A77:I77"/>
    <mergeCell ref="A78:I78"/>
    <mergeCell ref="A79:I79"/>
    <mergeCell ref="A70:H70"/>
    <mergeCell ref="A71:H71"/>
    <mergeCell ref="A72:H72"/>
    <mergeCell ref="A62:B62"/>
    <mergeCell ref="A63:I63"/>
    <mergeCell ref="A64:I64"/>
    <mergeCell ref="A67:H67"/>
    <mergeCell ref="A68:H68"/>
    <mergeCell ref="A69:H69"/>
    <mergeCell ref="A65:I65"/>
    <mergeCell ref="A66:I66"/>
    <mergeCell ref="B60:D60"/>
    <mergeCell ref="A1:I2"/>
    <mergeCell ref="M13:AX14"/>
    <mergeCell ref="M15:AS15"/>
    <mergeCell ref="B50:D50"/>
    <mergeCell ref="B51:D51"/>
    <mergeCell ref="B52:D52"/>
    <mergeCell ref="B54:D54"/>
    <mergeCell ref="B55:D55"/>
    <mergeCell ref="B56:D56"/>
    <mergeCell ref="B58:D58"/>
    <mergeCell ref="B59:D59"/>
  </mergeCells>
  <printOptions horizontalCentered="1" verticalCentered="1"/>
  <pageMargins left="0.15748031496062992" right="0.23622047244094491" top="0.31496062992125984" bottom="0.31496062992125984" header="0.23622047244094491" footer="0.15748031496062992"/>
  <pageSetup paperSize="9" scale="53" orientation="landscape" r:id="rId1"/>
  <headerFooter>
    <oddHeader>&amp;C2022. évi költségvetés&amp;R&amp;A</oddHeader>
    <oddFooter>&amp;C&amp;P/&amp;N</oddFooter>
  </headerFooter>
  <rowBreaks count="1" manualBreakCount="1">
    <brk id="60" max="8"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5"/>
  <sheetViews>
    <sheetView view="pageBreakPreview" zoomScale="89" zoomScaleNormal="100" zoomScaleSheetLayoutView="89" workbookViewId="0">
      <selection activeCell="B13" sqref="B13"/>
    </sheetView>
  </sheetViews>
  <sheetFormatPr defaultRowHeight="12.75" x14ac:dyDescent="0.2"/>
  <cols>
    <col min="1" max="1" width="9.140625" style="348"/>
    <col min="2" max="2" width="48.140625" style="348" customWidth="1"/>
    <col min="3" max="3" width="9.140625" style="348"/>
    <col min="4" max="4" width="12.28515625" style="348" customWidth="1"/>
    <col min="5" max="5" width="13.28515625" style="348" customWidth="1"/>
    <col min="6" max="6" width="12.42578125" style="348" customWidth="1"/>
    <col min="7" max="8" width="13.28515625" style="348" customWidth="1"/>
    <col min="9" max="9" width="16.7109375" style="348" customWidth="1"/>
    <col min="10" max="10" width="15.42578125" style="348" customWidth="1"/>
    <col min="11" max="11" width="18.42578125" style="348" bestFit="1" customWidth="1"/>
    <col min="12" max="12" width="12.140625" style="348" bestFit="1" customWidth="1"/>
    <col min="13" max="16384" width="9.140625" style="348"/>
  </cols>
  <sheetData>
    <row r="1" spans="1:13" ht="15.75" x14ac:dyDescent="0.2">
      <c r="A1" s="2009" t="s">
        <v>1027</v>
      </c>
      <c r="B1" s="2009"/>
      <c r="C1" s="2009"/>
      <c r="D1" s="2009"/>
      <c r="E1" s="2009"/>
      <c r="F1" s="2009"/>
      <c r="G1" s="2009"/>
      <c r="H1" s="2009"/>
      <c r="I1" s="2009"/>
    </row>
    <row r="2" spans="1:13" ht="14.25" thickBot="1" x14ac:dyDescent="0.3">
      <c r="A2" s="501"/>
      <c r="B2" s="502"/>
      <c r="C2" s="502"/>
      <c r="D2" s="502"/>
      <c r="E2" s="502"/>
      <c r="F2" s="502"/>
      <c r="G2" s="502"/>
      <c r="H2" s="502"/>
      <c r="I2" s="503"/>
    </row>
    <row r="3" spans="1:13" x14ac:dyDescent="0.2">
      <c r="A3" s="2010" t="s">
        <v>186</v>
      </c>
      <c r="B3" s="2012" t="s">
        <v>1028</v>
      </c>
      <c r="C3" s="2014" t="s">
        <v>1029</v>
      </c>
      <c r="D3" s="2014" t="s">
        <v>1058</v>
      </c>
      <c r="E3" s="2012" t="s">
        <v>1030</v>
      </c>
      <c r="F3" s="2012"/>
      <c r="G3" s="2012"/>
      <c r="H3" s="2012"/>
      <c r="I3" s="2016" t="s">
        <v>119</v>
      </c>
      <c r="J3" s="2204" t="s">
        <v>1031</v>
      </c>
      <c r="K3" s="348" t="s">
        <v>1032</v>
      </c>
    </row>
    <row r="4" spans="1:13" x14ac:dyDescent="0.2">
      <c r="A4" s="2011"/>
      <c r="B4" s="2013"/>
      <c r="C4" s="2013"/>
      <c r="D4" s="2015"/>
      <c r="E4" s="504" t="s">
        <v>1034</v>
      </c>
      <c r="F4" s="504" t="s">
        <v>1035</v>
      </c>
      <c r="G4" s="504" t="s">
        <v>1059</v>
      </c>
      <c r="H4" s="505" t="s">
        <v>1060</v>
      </c>
      <c r="I4" s="2017"/>
      <c r="J4" s="2204"/>
    </row>
    <row r="5" spans="1:13" x14ac:dyDescent="0.2">
      <c r="A5" s="506" t="s">
        <v>1036</v>
      </c>
      <c r="B5" s="505" t="s">
        <v>1037</v>
      </c>
      <c r="C5" s="505" t="s">
        <v>1038</v>
      </c>
      <c r="D5" s="505" t="s">
        <v>1039</v>
      </c>
      <c r="E5" s="505" t="s">
        <v>1040</v>
      </c>
      <c r="F5" s="505" t="s">
        <v>1041</v>
      </c>
      <c r="G5" s="505" t="s">
        <v>1042</v>
      </c>
      <c r="H5" s="505" t="s">
        <v>1043</v>
      </c>
      <c r="I5" s="507" t="s">
        <v>1044</v>
      </c>
      <c r="J5" s="2204"/>
    </row>
    <row r="6" spans="1:13" ht="32.25" customHeight="1" x14ac:dyDescent="0.2">
      <c r="A6" s="506" t="s">
        <v>188</v>
      </c>
      <c r="B6" s="508" t="s">
        <v>1045</v>
      </c>
      <c r="C6" s="509"/>
      <c r="D6" s="510"/>
      <c r="E6" s="510"/>
      <c r="F6" s="510"/>
      <c r="G6" s="510"/>
      <c r="H6" s="510"/>
      <c r="I6" s="511"/>
    </row>
    <row r="7" spans="1:13" ht="36.75" customHeight="1" x14ac:dyDescent="0.2">
      <c r="A7" s="506" t="s">
        <v>189</v>
      </c>
      <c r="B7" s="508" t="s">
        <v>1046</v>
      </c>
      <c r="C7" s="509"/>
      <c r="D7" s="674">
        <f t="shared" ref="D7:I7" si="0">SUM(D8:D10)</f>
        <v>149278151</v>
      </c>
      <c r="E7" s="674">
        <f t="shared" si="0"/>
        <v>28182624</v>
      </c>
      <c r="F7" s="674">
        <f t="shared" si="0"/>
        <v>28182624</v>
      </c>
      <c r="G7" s="674">
        <f t="shared" si="0"/>
        <v>28182624</v>
      </c>
      <c r="H7" s="674">
        <f t="shared" si="0"/>
        <v>415666545</v>
      </c>
      <c r="I7" s="674">
        <f t="shared" si="0"/>
        <v>649492568</v>
      </c>
      <c r="J7" s="513">
        <f>SUM(I8:I10)</f>
        <v>649492568</v>
      </c>
    </row>
    <row r="8" spans="1:13" ht="23.25" customHeight="1" x14ac:dyDescent="0.2">
      <c r="A8" s="506"/>
      <c r="B8" s="512" t="s">
        <v>1047</v>
      </c>
      <c r="C8" s="509" t="s">
        <v>1048</v>
      </c>
      <c r="D8" s="676">
        <v>103389477</v>
      </c>
      <c r="E8" s="676">
        <v>14063032</v>
      </c>
      <c r="F8" s="676">
        <v>14063032</v>
      </c>
      <c r="G8" s="676">
        <v>14063032</v>
      </c>
      <c r="H8" s="676">
        <v>203913995</v>
      </c>
      <c r="I8" s="675">
        <f>SUM(D8:H8)</f>
        <v>349492568</v>
      </c>
      <c r="J8" s="677">
        <f>+K8</f>
        <v>349492568</v>
      </c>
      <c r="K8" s="678">
        <v>349492568</v>
      </c>
      <c r="L8" s="513"/>
    </row>
    <row r="9" spans="1:13" ht="18" customHeight="1" x14ac:dyDescent="0.2">
      <c r="A9" s="506"/>
      <c r="B9" s="512" t="s">
        <v>1049</v>
      </c>
      <c r="C9" s="509" t="s">
        <v>1050</v>
      </c>
      <c r="D9" s="676">
        <v>31666674</v>
      </c>
      <c r="E9" s="676">
        <v>9743592</v>
      </c>
      <c r="F9" s="676">
        <v>9743592</v>
      </c>
      <c r="G9" s="676">
        <v>9743592</v>
      </c>
      <c r="H9" s="676">
        <v>146153917</v>
      </c>
      <c r="I9" s="675">
        <f>SUM(D9:H9)</f>
        <v>207051367</v>
      </c>
      <c r="J9" s="677">
        <v>207051367</v>
      </c>
      <c r="K9" s="677"/>
    </row>
    <row r="10" spans="1:13" ht="21.75" customHeight="1" x14ac:dyDescent="0.2">
      <c r="A10" s="506"/>
      <c r="B10" s="512" t="s">
        <v>1051</v>
      </c>
      <c r="C10" s="509" t="s">
        <v>1050</v>
      </c>
      <c r="D10" s="676">
        <v>14222000</v>
      </c>
      <c r="E10" s="676">
        <v>4376000</v>
      </c>
      <c r="F10" s="676">
        <v>4376000</v>
      </c>
      <c r="G10" s="676">
        <v>4376000</v>
      </c>
      <c r="H10" s="676">
        <v>65598633</v>
      </c>
      <c r="I10" s="675">
        <f>SUM(D10:H10)</f>
        <v>92948633</v>
      </c>
      <c r="J10" s="348">
        <v>92948633</v>
      </c>
      <c r="K10" s="513"/>
      <c r="L10" s="513"/>
    </row>
    <row r="11" spans="1:13" ht="21" customHeight="1" x14ac:dyDescent="0.2">
      <c r="A11" s="506" t="s">
        <v>190</v>
      </c>
      <c r="B11" s="508" t="s">
        <v>1052</v>
      </c>
      <c r="C11" s="509"/>
      <c r="D11" s="674">
        <f>SUM(D12:D12)</f>
        <v>9829500</v>
      </c>
      <c r="E11" s="674">
        <f>SUM(E12:E12)</f>
        <v>493294660</v>
      </c>
      <c r="F11" s="674">
        <f>SUM(F12:F12)</f>
        <v>124359621</v>
      </c>
      <c r="G11" s="674">
        <f>SUM(G12:G12)</f>
        <v>0</v>
      </c>
      <c r="H11" s="674">
        <f>SUM(H12:H12)</f>
        <v>0</v>
      </c>
      <c r="I11" s="675">
        <f>SUM(D11:H11)</f>
        <v>627483781</v>
      </c>
    </row>
    <row r="12" spans="1:13" ht="35.25" customHeight="1" x14ac:dyDescent="0.2">
      <c r="A12" s="506"/>
      <c r="B12" s="698" t="s">
        <v>1269</v>
      </c>
      <c r="C12" s="509" t="s">
        <v>1053</v>
      </c>
      <c r="D12" s="674">
        <f>7429500+2400000</f>
        <v>9829500</v>
      </c>
      <c r="E12" s="674">
        <f>88554434+404740226</f>
        <v>493294660</v>
      </c>
      <c r="F12" s="674">
        <v>124359621</v>
      </c>
      <c r="G12" s="674"/>
      <c r="H12" s="674"/>
      <c r="I12" s="675">
        <f>SUM(D12:H12)</f>
        <v>627483781</v>
      </c>
      <c r="J12" s="348">
        <v>708443675</v>
      </c>
    </row>
    <row r="13" spans="1:13" ht="20.25" customHeight="1" x14ac:dyDescent="0.2">
      <c r="A13" s="506" t="s">
        <v>191</v>
      </c>
      <c r="B13" s="508" t="s">
        <v>1054</v>
      </c>
      <c r="C13" s="509"/>
      <c r="D13" s="510"/>
      <c r="E13" s="510"/>
      <c r="F13" s="510"/>
      <c r="G13" s="510"/>
      <c r="H13" s="510"/>
      <c r="I13" s="511"/>
      <c r="L13" s="348" t="s">
        <v>1055</v>
      </c>
      <c r="M13" s="348">
        <v>38607</v>
      </c>
    </row>
    <row r="14" spans="1:13" ht="17.25" customHeight="1" x14ac:dyDescent="0.2">
      <c r="A14" s="506" t="s">
        <v>192</v>
      </c>
      <c r="B14" s="508" t="s">
        <v>1056</v>
      </c>
      <c r="C14" s="509"/>
      <c r="D14" s="510"/>
      <c r="E14" s="510"/>
      <c r="F14" s="510"/>
      <c r="G14" s="510"/>
      <c r="H14" s="510"/>
      <c r="I14" s="511"/>
    </row>
    <row r="15" spans="1:13" ht="23.25" customHeight="1" thickBot="1" x14ac:dyDescent="0.25">
      <c r="A15" s="2007" t="s">
        <v>1057</v>
      </c>
      <c r="B15" s="2008"/>
      <c r="C15" s="514">
        <f t="shared" ref="C15:I15" si="1">+C6+C7+C11+C13+C14</f>
        <v>0</v>
      </c>
      <c r="D15" s="514">
        <f t="shared" si="1"/>
        <v>159107651</v>
      </c>
      <c r="E15" s="514">
        <f t="shared" si="1"/>
        <v>521477284</v>
      </c>
      <c r="F15" s="514">
        <f t="shared" si="1"/>
        <v>152542245</v>
      </c>
      <c r="G15" s="514">
        <f t="shared" si="1"/>
        <v>28182624</v>
      </c>
      <c r="H15" s="514">
        <f t="shared" si="1"/>
        <v>415666545</v>
      </c>
      <c r="I15" s="515">
        <f t="shared" si="1"/>
        <v>1276976349</v>
      </c>
    </row>
  </sheetData>
  <mergeCells count="9">
    <mergeCell ref="J3:J5"/>
    <mergeCell ref="A15:B15"/>
    <mergeCell ref="A1:I1"/>
    <mergeCell ref="A3:A4"/>
    <mergeCell ref="B3:B4"/>
    <mergeCell ref="C3:C4"/>
    <mergeCell ref="D3:D4"/>
    <mergeCell ref="E3:H3"/>
    <mergeCell ref="I3:I4"/>
  </mergeCells>
  <printOptions horizontalCentered="1"/>
  <pageMargins left="0.31496062992125984" right="0.31496062992125984" top="0.74803149606299213" bottom="0.35433070866141736" header="0.31496062992125984" footer="0.31496062992125984"/>
  <pageSetup paperSize="9" scale="78" orientation="landscape" r:id="rId1"/>
  <headerFooter>
    <oddHeader>&amp;C2022. évi költségvetés
&amp;R&amp;A</oddHeader>
    <oddFooter>&amp;C&amp;P/&amp;N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CP687"/>
  <sheetViews>
    <sheetView view="pageBreakPreview" zoomScaleNormal="100" zoomScaleSheetLayoutView="100" workbookViewId="0">
      <selection activeCell="A24" sqref="A24:IV24"/>
    </sheetView>
  </sheetViews>
  <sheetFormatPr defaultColWidth="12.42578125" defaultRowHeight="11.25" x14ac:dyDescent="0.2"/>
  <cols>
    <col min="1" max="1" width="25.5703125" style="525" bestFit="1" customWidth="1"/>
    <col min="2" max="4" width="26.140625" style="525" bestFit="1" customWidth="1"/>
    <col min="5" max="5" width="16.42578125" style="525" bestFit="1" customWidth="1"/>
    <col min="6" max="6" width="21.85546875" style="525" customWidth="1"/>
    <col min="7" max="16384" width="12.42578125" style="525"/>
  </cols>
  <sheetData>
    <row r="1" spans="1:94" s="518" customFormat="1" ht="29.25" customHeight="1" x14ac:dyDescent="0.25">
      <c r="A1" s="2019" t="s">
        <v>1061</v>
      </c>
      <c r="B1" s="2019"/>
      <c r="C1" s="2019"/>
      <c r="D1" s="2019"/>
      <c r="E1" s="2019"/>
      <c r="F1" s="516"/>
      <c r="G1" s="517"/>
      <c r="H1" s="517"/>
      <c r="I1" s="517"/>
      <c r="J1" s="517"/>
      <c r="K1" s="517"/>
      <c r="L1" s="517"/>
      <c r="M1" s="517"/>
      <c r="N1" s="517"/>
      <c r="O1" s="517"/>
      <c r="P1" s="517"/>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c r="AX1" s="517"/>
      <c r="AY1" s="517"/>
      <c r="AZ1" s="517"/>
      <c r="BA1" s="517"/>
      <c r="BB1" s="517"/>
      <c r="BC1" s="517"/>
      <c r="BD1" s="517"/>
      <c r="BE1" s="517"/>
      <c r="BF1" s="517"/>
      <c r="BG1" s="517"/>
      <c r="BH1" s="517"/>
      <c r="BI1" s="517"/>
      <c r="BJ1" s="517"/>
      <c r="BK1" s="517"/>
      <c r="BL1" s="517"/>
      <c r="BM1" s="517"/>
      <c r="BN1" s="517"/>
      <c r="BO1" s="517"/>
      <c r="BP1" s="517"/>
      <c r="BQ1" s="517"/>
      <c r="BR1" s="517"/>
      <c r="BS1" s="517"/>
      <c r="BT1" s="517"/>
      <c r="BU1" s="517"/>
      <c r="BV1" s="517"/>
      <c r="BW1" s="517"/>
      <c r="BX1" s="517"/>
      <c r="BY1" s="517"/>
      <c r="BZ1" s="517"/>
      <c r="CA1" s="517"/>
      <c r="CB1" s="517"/>
      <c r="CC1" s="517"/>
      <c r="CD1" s="517"/>
      <c r="CE1" s="517"/>
      <c r="CF1" s="517"/>
      <c r="CG1" s="517"/>
      <c r="CH1" s="517"/>
      <c r="CI1" s="517"/>
      <c r="CJ1" s="517"/>
      <c r="CK1" s="517"/>
      <c r="CL1" s="517"/>
      <c r="CM1" s="517"/>
      <c r="CN1" s="517"/>
      <c r="CO1" s="517"/>
      <c r="CP1" s="517"/>
    </row>
    <row r="2" spans="1:94" s="517" customFormat="1" ht="14.25" customHeight="1" x14ac:dyDescent="0.25">
      <c r="A2" s="2205"/>
      <c r="B2" s="2205"/>
      <c r="C2" s="2205"/>
      <c r="D2" s="2205"/>
      <c r="E2" s="2205"/>
      <c r="F2" s="2205"/>
    </row>
    <row r="3" spans="1:94" s="517" customFormat="1" ht="11.25" customHeight="1" x14ac:dyDescent="0.2">
      <c r="A3" s="519"/>
      <c r="E3" s="520"/>
      <c r="F3" s="521"/>
    </row>
    <row r="4" spans="1:94" s="517" customFormat="1" ht="3" customHeight="1" thickBot="1" x14ac:dyDescent="0.25">
      <c r="F4" s="520"/>
    </row>
    <row r="5" spans="1:94" s="524" customFormat="1" ht="37.5" customHeight="1" x14ac:dyDescent="0.2">
      <c r="A5" s="2020" t="s">
        <v>2</v>
      </c>
      <c r="B5" s="2021" t="s">
        <v>1062</v>
      </c>
      <c r="C5" s="2021"/>
      <c r="D5" s="2021"/>
      <c r="E5" s="2022" t="s">
        <v>1063</v>
      </c>
      <c r="F5" s="517"/>
      <c r="G5" s="517"/>
      <c r="H5" s="517"/>
      <c r="I5" s="517"/>
      <c r="J5" s="517"/>
      <c r="K5" s="517"/>
      <c r="L5" s="517"/>
      <c r="M5" s="517"/>
      <c r="N5" s="517"/>
      <c r="O5" s="517"/>
      <c r="P5" s="517"/>
      <c r="Q5" s="517"/>
      <c r="R5" s="517"/>
      <c r="S5" s="517"/>
      <c r="T5" s="517"/>
      <c r="U5" s="517"/>
      <c r="V5" s="517"/>
      <c r="W5" s="517"/>
      <c r="X5" s="517"/>
      <c r="Y5" s="517"/>
      <c r="Z5" s="517"/>
      <c r="AA5" s="517"/>
      <c r="AB5" s="517"/>
      <c r="AC5" s="517"/>
      <c r="AD5" s="517"/>
      <c r="AE5" s="517"/>
      <c r="AF5" s="517"/>
      <c r="AG5" s="517"/>
      <c r="AH5" s="517"/>
      <c r="AI5" s="517"/>
      <c r="AJ5" s="517"/>
      <c r="AK5" s="517"/>
      <c r="AL5" s="517"/>
      <c r="AM5" s="517"/>
      <c r="AN5" s="517"/>
      <c r="AO5" s="517"/>
      <c r="AP5" s="517"/>
      <c r="AQ5" s="517"/>
      <c r="AR5" s="517"/>
      <c r="AS5" s="517"/>
      <c r="AT5" s="517"/>
      <c r="AU5" s="517"/>
      <c r="AV5" s="517"/>
      <c r="AW5" s="517"/>
      <c r="AX5" s="517"/>
      <c r="AY5" s="517"/>
      <c r="AZ5" s="517"/>
      <c r="BA5" s="517"/>
      <c r="BB5" s="517"/>
      <c r="BC5" s="517"/>
      <c r="BD5" s="517"/>
      <c r="BE5" s="517"/>
      <c r="BF5" s="517"/>
      <c r="BG5" s="517"/>
      <c r="BH5" s="517"/>
      <c r="BI5" s="517"/>
      <c r="BJ5" s="517"/>
      <c r="BK5" s="517"/>
      <c r="BL5" s="517"/>
      <c r="BM5" s="517"/>
      <c r="BN5" s="517"/>
      <c r="BO5" s="517"/>
      <c r="BP5" s="517"/>
      <c r="BQ5" s="517"/>
      <c r="BR5" s="517"/>
      <c r="BS5" s="517"/>
      <c r="BT5" s="517"/>
      <c r="BU5" s="517"/>
      <c r="BV5" s="517"/>
      <c r="BW5" s="517"/>
      <c r="BX5" s="517"/>
      <c r="BY5" s="517"/>
      <c r="BZ5" s="517"/>
      <c r="CA5" s="517"/>
      <c r="CB5" s="517"/>
      <c r="CC5" s="517"/>
      <c r="CD5" s="517"/>
      <c r="CE5" s="517"/>
      <c r="CF5" s="517"/>
      <c r="CG5" s="517"/>
      <c r="CH5" s="517"/>
      <c r="CI5" s="517"/>
      <c r="CJ5" s="517"/>
      <c r="CK5" s="517"/>
      <c r="CL5" s="517"/>
      <c r="CM5" s="517"/>
      <c r="CN5" s="517"/>
      <c r="CO5" s="517"/>
      <c r="CP5" s="517"/>
    </row>
    <row r="6" spans="1:94" ht="24.75" customHeight="1" x14ac:dyDescent="0.2">
      <c r="A6" s="2020"/>
      <c r="B6" s="522" t="s">
        <v>1064</v>
      </c>
      <c r="C6" s="522" t="s">
        <v>1064</v>
      </c>
      <c r="D6" s="522" t="s">
        <v>1064</v>
      </c>
      <c r="E6" s="2022"/>
      <c r="F6" s="517"/>
      <c r="G6" s="517"/>
      <c r="H6" s="517"/>
      <c r="I6" s="517"/>
      <c r="J6" s="517"/>
      <c r="K6" s="517"/>
      <c r="L6" s="517"/>
      <c r="M6" s="517"/>
      <c r="N6" s="517"/>
      <c r="O6" s="517"/>
      <c r="P6" s="517"/>
      <c r="Q6" s="517"/>
      <c r="R6" s="517"/>
      <c r="S6" s="517"/>
      <c r="T6" s="517"/>
      <c r="U6" s="517"/>
      <c r="V6" s="517"/>
      <c r="W6" s="517"/>
      <c r="X6" s="517"/>
      <c r="Y6" s="517"/>
      <c r="Z6" s="517"/>
      <c r="AA6" s="517"/>
      <c r="AB6" s="517"/>
      <c r="AC6" s="517"/>
      <c r="AD6" s="517"/>
      <c r="AE6" s="517"/>
      <c r="AF6" s="517"/>
      <c r="AG6" s="517"/>
      <c r="AH6" s="517"/>
      <c r="AI6" s="517"/>
      <c r="AJ6" s="517"/>
      <c r="AK6" s="517"/>
      <c r="AL6" s="517"/>
      <c r="AM6" s="517"/>
      <c r="AN6" s="517"/>
      <c r="AO6" s="517"/>
      <c r="AP6" s="517"/>
      <c r="AQ6" s="517"/>
      <c r="AR6" s="517"/>
      <c r="AS6" s="517"/>
      <c r="AT6" s="517"/>
      <c r="AU6" s="517"/>
      <c r="AV6" s="517"/>
      <c r="AW6" s="517"/>
      <c r="AX6" s="517"/>
      <c r="AY6" s="517"/>
      <c r="AZ6" s="517"/>
      <c r="BA6" s="517"/>
      <c r="BB6" s="517"/>
      <c r="BC6" s="517"/>
      <c r="BD6" s="517"/>
      <c r="BE6" s="517"/>
      <c r="BF6" s="517"/>
      <c r="BG6" s="517"/>
      <c r="BH6" s="517"/>
      <c r="BI6" s="517"/>
      <c r="BJ6" s="517"/>
      <c r="BK6" s="517"/>
      <c r="BL6" s="517"/>
      <c r="BM6" s="517"/>
      <c r="BN6" s="517"/>
      <c r="BO6" s="517"/>
      <c r="BP6" s="517"/>
      <c r="BQ6" s="517"/>
      <c r="BR6" s="517"/>
      <c r="BS6" s="517"/>
      <c r="BT6" s="517"/>
      <c r="BU6" s="517"/>
      <c r="BV6" s="517"/>
      <c r="BW6" s="517"/>
      <c r="BX6" s="517"/>
      <c r="BY6" s="517"/>
      <c r="BZ6" s="517"/>
      <c r="CA6" s="517"/>
      <c r="CB6" s="517"/>
      <c r="CC6" s="517"/>
      <c r="CD6" s="517"/>
      <c r="CE6" s="517"/>
      <c r="CF6" s="517"/>
      <c r="CG6" s="517"/>
      <c r="CH6" s="517"/>
      <c r="CI6" s="517"/>
      <c r="CJ6" s="517"/>
      <c r="CK6" s="517"/>
      <c r="CL6" s="517"/>
      <c r="CM6" s="517"/>
      <c r="CN6" s="517"/>
      <c r="CO6" s="517"/>
      <c r="CP6" s="517"/>
    </row>
    <row r="7" spans="1:94" s="527" customFormat="1" ht="16.5" customHeight="1" thickBot="1" x14ac:dyDescent="0.25">
      <c r="A7" s="2020"/>
      <c r="B7" s="526">
        <f>360000000-10507432</f>
        <v>349492568</v>
      </c>
      <c r="C7" s="526">
        <v>207051367</v>
      </c>
      <c r="D7" s="526">
        <v>92948633</v>
      </c>
      <c r="E7" s="2023"/>
      <c r="F7" s="517"/>
      <c r="G7" s="517"/>
      <c r="H7" s="517"/>
      <c r="I7" s="517"/>
      <c r="J7" s="517"/>
      <c r="K7" s="517"/>
      <c r="L7" s="517"/>
      <c r="M7" s="517"/>
      <c r="N7" s="517"/>
      <c r="O7" s="517"/>
      <c r="P7" s="517"/>
      <c r="Q7" s="517"/>
      <c r="R7" s="517"/>
      <c r="S7" s="517"/>
      <c r="T7" s="517"/>
      <c r="U7" s="517"/>
      <c r="V7" s="517"/>
      <c r="W7" s="517"/>
      <c r="X7" s="517"/>
      <c r="Y7" s="517"/>
      <c r="Z7" s="517"/>
      <c r="AA7" s="517"/>
      <c r="AB7" s="517"/>
      <c r="AC7" s="517"/>
      <c r="AD7" s="517"/>
      <c r="AE7" s="517"/>
      <c r="AF7" s="517"/>
      <c r="AG7" s="517"/>
      <c r="AH7" s="517"/>
      <c r="AI7" s="517"/>
      <c r="AJ7" s="517"/>
      <c r="AK7" s="517"/>
      <c r="AL7" s="517"/>
      <c r="AM7" s="517"/>
      <c r="AN7" s="517"/>
      <c r="AO7" s="517"/>
      <c r="AP7" s="517"/>
      <c r="AQ7" s="517"/>
      <c r="AR7" s="517"/>
      <c r="AS7" s="517"/>
      <c r="AT7" s="517"/>
      <c r="AU7" s="517"/>
      <c r="AV7" s="517"/>
      <c r="AW7" s="517"/>
      <c r="AX7" s="517"/>
      <c r="AY7" s="517"/>
      <c r="AZ7" s="517"/>
      <c r="BA7" s="517"/>
      <c r="BB7" s="517"/>
      <c r="BC7" s="517"/>
      <c r="BD7" s="517"/>
      <c r="BE7" s="517"/>
      <c r="BF7" s="517"/>
      <c r="BG7" s="517"/>
      <c r="BH7" s="517"/>
      <c r="BI7" s="517"/>
      <c r="BJ7" s="517"/>
      <c r="BK7" s="517"/>
      <c r="BL7" s="517"/>
      <c r="BM7" s="517"/>
      <c r="BN7" s="517"/>
      <c r="BO7" s="517"/>
      <c r="BP7" s="517"/>
      <c r="BQ7" s="517"/>
      <c r="BR7" s="517"/>
      <c r="BS7" s="517"/>
      <c r="BT7" s="517"/>
      <c r="BU7" s="517"/>
      <c r="BV7" s="517"/>
      <c r="BW7" s="517"/>
      <c r="BX7" s="517"/>
      <c r="BY7" s="517"/>
      <c r="BZ7" s="517"/>
      <c r="CA7" s="517"/>
      <c r="CB7" s="517"/>
      <c r="CC7" s="517"/>
      <c r="CD7" s="517"/>
      <c r="CE7" s="517"/>
      <c r="CF7" s="517"/>
      <c r="CG7" s="517"/>
      <c r="CH7" s="517"/>
      <c r="CI7" s="517"/>
      <c r="CJ7" s="517"/>
      <c r="CK7" s="517"/>
      <c r="CL7" s="517"/>
      <c r="CM7" s="517"/>
      <c r="CN7" s="517"/>
      <c r="CO7" s="517"/>
      <c r="CP7" s="517"/>
    </row>
    <row r="8" spans="1:94" s="530" customFormat="1" ht="45" customHeight="1" x14ac:dyDescent="0.2">
      <c r="A8" s="528" t="s">
        <v>1065</v>
      </c>
      <c r="B8" s="529" t="s">
        <v>1066</v>
      </c>
      <c r="C8" s="529" t="s">
        <v>1067</v>
      </c>
      <c r="D8" s="529" t="s">
        <v>1068</v>
      </c>
      <c r="E8" s="2024"/>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7"/>
      <c r="BC8" s="517"/>
      <c r="BD8" s="517"/>
      <c r="BE8" s="517"/>
      <c r="BF8" s="517"/>
      <c r="BG8" s="517"/>
      <c r="BH8" s="517"/>
      <c r="BI8" s="517"/>
      <c r="BJ8" s="517"/>
      <c r="BK8" s="517"/>
      <c r="BL8" s="517"/>
      <c r="BM8" s="517"/>
      <c r="BN8" s="517"/>
      <c r="BO8" s="517"/>
      <c r="BP8" s="517"/>
      <c r="BQ8" s="517"/>
      <c r="BR8" s="517"/>
      <c r="BS8" s="517"/>
      <c r="BT8" s="517"/>
      <c r="BU8" s="517"/>
      <c r="BV8" s="517"/>
      <c r="BW8" s="517"/>
      <c r="BX8" s="517"/>
      <c r="BY8" s="517"/>
      <c r="BZ8" s="517"/>
      <c r="CA8" s="517"/>
      <c r="CB8" s="517"/>
      <c r="CC8" s="517"/>
      <c r="CD8" s="517"/>
      <c r="CE8" s="517"/>
      <c r="CF8" s="517"/>
      <c r="CG8" s="517"/>
      <c r="CH8" s="517"/>
      <c r="CI8" s="517"/>
      <c r="CJ8" s="517"/>
      <c r="CK8" s="517"/>
      <c r="CL8" s="517"/>
      <c r="CM8" s="517"/>
      <c r="CN8" s="517"/>
      <c r="CO8" s="517"/>
      <c r="CP8" s="517"/>
    </row>
    <row r="9" spans="1:94" s="530" customFormat="1" ht="22.5" customHeight="1" x14ac:dyDescent="0.2">
      <c r="A9" s="528" t="s">
        <v>1069</v>
      </c>
      <c r="B9" s="531">
        <v>41466</v>
      </c>
      <c r="C9" s="531">
        <v>41647</v>
      </c>
      <c r="D9" s="531">
        <v>41647</v>
      </c>
      <c r="E9" s="2024"/>
      <c r="F9" s="517"/>
      <c r="G9" s="517"/>
      <c r="H9" s="517"/>
      <c r="I9" s="517"/>
      <c r="J9" s="517"/>
      <c r="K9" s="517"/>
      <c r="L9" s="517"/>
      <c r="M9" s="517"/>
      <c r="N9" s="517"/>
      <c r="O9" s="517"/>
      <c r="P9" s="517"/>
      <c r="Q9" s="517"/>
      <c r="R9" s="517"/>
      <c r="S9" s="517"/>
      <c r="T9" s="517"/>
      <c r="U9" s="517"/>
      <c r="V9" s="517"/>
      <c r="W9" s="517"/>
      <c r="X9" s="517"/>
      <c r="Y9" s="517"/>
      <c r="Z9" s="517"/>
      <c r="AA9" s="517"/>
      <c r="AB9" s="517"/>
      <c r="AC9" s="517"/>
      <c r="AD9" s="517"/>
      <c r="AE9" s="517"/>
      <c r="AF9" s="517"/>
      <c r="AG9" s="517"/>
      <c r="AH9" s="517"/>
      <c r="AI9" s="517"/>
      <c r="AJ9" s="517"/>
      <c r="AK9" s="517"/>
      <c r="AL9" s="517"/>
      <c r="AM9" s="517"/>
      <c r="AN9" s="517"/>
      <c r="AO9" s="517"/>
      <c r="AP9" s="517"/>
      <c r="AQ9" s="517"/>
      <c r="AR9" s="517"/>
      <c r="AS9" s="517"/>
      <c r="AT9" s="517"/>
      <c r="AU9" s="517"/>
      <c r="AV9" s="517"/>
      <c r="AW9" s="517"/>
      <c r="AX9" s="517"/>
      <c r="AY9" s="517"/>
      <c r="AZ9" s="517"/>
      <c r="BA9" s="517"/>
      <c r="BB9" s="517"/>
      <c r="BC9" s="517"/>
      <c r="BD9" s="517"/>
      <c r="BE9" s="517"/>
      <c r="BF9" s="517"/>
      <c r="BG9" s="517"/>
      <c r="BH9" s="517"/>
      <c r="BI9" s="517"/>
      <c r="BJ9" s="517"/>
      <c r="BK9" s="517"/>
      <c r="BL9" s="517"/>
      <c r="BM9" s="517"/>
      <c r="BN9" s="517"/>
      <c r="BO9" s="517"/>
      <c r="BP9" s="517"/>
      <c r="BQ9" s="517"/>
      <c r="BR9" s="517"/>
      <c r="BS9" s="517"/>
      <c r="BT9" s="517"/>
      <c r="BU9" s="517"/>
      <c r="BV9" s="517"/>
      <c r="BW9" s="517"/>
      <c r="BX9" s="517"/>
      <c r="BY9" s="517"/>
      <c r="BZ9" s="517"/>
      <c r="CA9" s="517"/>
      <c r="CB9" s="517"/>
      <c r="CC9" s="517"/>
      <c r="CD9" s="517"/>
      <c r="CE9" s="517"/>
      <c r="CF9" s="517"/>
      <c r="CG9" s="517"/>
      <c r="CH9" s="517"/>
      <c r="CI9" s="517"/>
      <c r="CJ9" s="517"/>
      <c r="CK9" s="517"/>
      <c r="CL9" s="517"/>
      <c r="CM9" s="517"/>
      <c r="CN9" s="517"/>
      <c r="CO9" s="517"/>
      <c r="CP9" s="517"/>
    </row>
    <row r="10" spans="1:94" s="530" customFormat="1" ht="18" customHeight="1" x14ac:dyDescent="0.2">
      <c r="A10" s="532" t="s">
        <v>1070</v>
      </c>
      <c r="B10" s="533"/>
      <c r="C10" s="533"/>
      <c r="D10" s="533"/>
      <c r="E10" s="2024"/>
      <c r="F10" s="517"/>
      <c r="G10" s="517"/>
      <c r="H10" s="517"/>
      <c r="I10" s="517"/>
      <c r="J10" s="517"/>
      <c r="K10" s="517"/>
      <c r="L10" s="517"/>
      <c r="M10" s="517"/>
      <c r="N10" s="517"/>
      <c r="O10" s="517"/>
      <c r="P10" s="517"/>
      <c r="Q10" s="517"/>
      <c r="R10" s="517"/>
      <c r="S10" s="517"/>
      <c r="T10" s="517"/>
      <c r="U10" s="517"/>
      <c r="V10" s="517"/>
      <c r="W10" s="517"/>
      <c r="X10" s="517"/>
      <c r="Y10" s="517"/>
      <c r="Z10" s="517"/>
      <c r="AA10" s="517"/>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7"/>
      <c r="AY10" s="517"/>
      <c r="AZ10" s="517"/>
      <c r="BA10" s="517"/>
      <c r="BB10" s="517"/>
      <c r="BC10" s="517"/>
      <c r="BD10" s="517"/>
      <c r="BE10" s="517"/>
      <c r="BF10" s="517"/>
      <c r="BG10" s="517"/>
      <c r="BH10" s="517"/>
      <c r="BI10" s="517"/>
      <c r="BJ10" s="517"/>
      <c r="BK10" s="517"/>
      <c r="BL10" s="517"/>
      <c r="BM10" s="517"/>
      <c r="BN10" s="517"/>
      <c r="BO10" s="517"/>
      <c r="BP10" s="517"/>
      <c r="BQ10" s="517"/>
      <c r="BR10" s="517"/>
      <c r="BS10" s="517"/>
      <c r="BT10" s="517"/>
      <c r="BU10" s="517"/>
      <c r="BV10" s="517"/>
      <c r="BW10" s="517"/>
      <c r="BX10" s="517"/>
      <c r="BY10" s="517"/>
      <c r="BZ10" s="517"/>
      <c r="CA10" s="517"/>
      <c r="CB10" s="517"/>
      <c r="CC10" s="517"/>
      <c r="CD10" s="517"/>
      <c r="CE10" s="517"/>
      <c r="CF10" s="517"/>
      <c r="CG10" s="517"/>
      <c r="CH10" s="517"/>
      <c r="CI10" s="517"/>
      <c r="CJ10" s="517"/>
      <c r="CK10" s="517"/>
      <c r="CL10" s="517"/>
      <c r="CM10" s="517"/>
      <c r="CN10" s="517"/>
      <c r="CO10" s="517"/>
      <c r="CP10" s="517"/>
    </row>
    <row r="11" spans="1:94" s="530" customFormat="1" ht="13.5" customHeight="1" x14ac:dyDescent="0.2">
      <c r="A11" s="534" t="s">
        <v>1071</v>
      </c>
      <c r="B11" s="528" t="s">
        <v>1072</v>
      </c>
      <c r="C11" s="528" t="s">
        <v>1073</v>
      </c>
      <c r="D11" s="528" t="s">
        <v>1073</v>
      </c>
      <c r="E11" s="2024"/>
      <c r="F11" s="517"/>
      <c r="G11" s="517"/>
      <c r="H11" s="517"/>
      <c r="I11" s="517"/>
      <c r="J11" s="517"/>
      <c r="K11" s="517"/>
      <c r="L11" s="517"/>
      <c r="M11" s="517"/>
      <c r="N11" s="517"/>
      <c r="O11" s="517"/>
      <c r="P11" s="517"/>
      <c r="Q11" s="517"/>
      <c r="R11" s="517"/>
      <c r="S11" s="517"/>
      <c r="T11" s="517"/>
      <c r="U11" s="517"/>
      <c r="V11" s="517"/>
      <c r="W11" s="517"/>
      <c r="X11" s="517"/>
      <c r="Y11" s="517"/>
      <c r="Z11" s="517"/>
      <c r="AA11" s="517"/>
      <c r="AB11" s="517"/>
      <c r="AC11" s="517"/>
      <c r="AD11" s="517"/>
      <c r="AE11" s="517"/>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7"/>
      <c r="BB11" s="517"/>
      <c r="BC11" s="517"/>
      <c r="BD11" s="517"/>
      <c r="BE11" s="517"/>
      <c r="BF11" s="517"/>
      <c r="BG11" s="517"/>
      <c r="BH11" s="517"/>
      <c r="BI11" s="517"/>
      <c r="BJ11" s="517"/>
      <c r="BK11" s="517"/>
      <c r="BL11" s="517"/>
      <c r="BM11" s="517"/>
      <c r="BN11" s="517"/>
      <c r="BO11" s="517"/>
      <c r="BP11" s="517"/>
      <c r="BQ11" s="517"/>
      <c r="BR11" s="517"/>
      <c r="BS11" s="517"/>
      <c r="BT11" s="517"/>
      <c r="BU11" s="517"/>
      <c r="BV11" s="517"/>
      <c r="BW11" s="517"/>
      <c r="BX11" s="517"/>
      <c r="BY11" s="517"/>
      <c r="BZ11" s="517"/>
      <c r="CA11" s="517"/>
      <c r="CB11" s="517"/>
      <c r="CC11" s="517"/>
      <c r="CD11" s="517"/>
      <c r="CE11" s="517"/>
      <c r="CF11" s="517"/>
      <c r="CG11" s="517"/>
      <c r="CH11" s="517"/>
      <c r="CI11" s="517"/>
      <c r="CJ11" s="517"/>
      <c r="CK11" s="517"/>
      <c r="CL11" s="517"/>
      <c r="CM11" s="517"/>
      <c r="CN11" s="517"/>
      <c r="CO11" s="517"/>
      <c r="CP11" s="517"/>
    </row>
    <row r="12" spans="1:94" s="537" customFormat="1" ht="12.75" customHeight="1" x14ac:dyDescent="0.2">
      <c r="A12" s="534" t="s">
        <v>53</v>
      </c>
      <c r="B12" s="535" t="s">
        <v>188</v>
      </c>
      <c r="C12" s="535" t="s">
        <v>189</v>
      </c>
      <c r="D12" s="535" t="s">
        <v>190</v>
      </c>
      <c r="E12" s="2024"/>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6"/>
      <c r="AY12" s="536"/>
      <c r="AZ12" s="536"/>
      <c r="BA12" s="536"/>
      <c r="BB12" s="536"/>
      <c r="BC12" s="536"/>
      <c r="BD12" s="536"/>
      <c r="BE12" s="536"/>
      <c r="BF12" s="536"/>
      <c r="BG12" s="536"/>
      <c r="BH12" s="536"/>
      <c r="BI12" s="536"/>
      <c r="BJ12" s="536"/>
      <c r="BK12" s="536"/>
      <c r="BL12" s="536"/>
      <c r="BM12" s="536"/>
      <c r="BN12" s="536"/>
      <c r="BO12" s="536"/>
      <c r="BP12" s="536"/>
      <c r="BQ12" s="536"/>
      <c r="BR12" s="536"/>
      <c r="BS12" s="536"/>
      <c r="BT12" s="536"/>
      <c r="BU12" s="536"/>
      <c r="BV12" s="536"/>
      <c r="BW12" s="536"/>
      <c r="BX12" s="536"/>
      <c r="BY12" s="536"/>
      <c r="BZ12" s="536"/>
      <c r="CA12" s="536"/>
      <c r="CB12" s="536"/>
      <c r="CC12" s="536"/>
      <c r="CD12" s="536"/>
      <c r="CE12" s="536"/>
      <c r="CF12" s="536"/>
      <c r="CG12" s="536"/>
      <c r="CH12" s="536"/>
      <c r="CI12" s="536"/>
      <c r="CJ12" s="536"/>
      <c r="CK12" s="536"/>
      <c r="CL12" s="536"/>
      <c r="CM12" s="536"/>
      <c r="CN12" s="536"/>
      <c r="CO12" s="536"/>
      <c r="CP12" s="536"/>
    </row>
    <row r="13" spans="1:94" s="540" customFormat="1" ht="31.5" customHeight="1" x14ac:dyDescent="0.2">
      <c r="A13" s="522" t="s">
        <v>1074</v>
      </c>
      <c r="B13" s="538" t="s">
        <v>1075</v>
      </c>
      <c r="C13" s="538" t="s">
        <v>1075</v>
      </c>
      <c r="D13" s="538" t="s">
        <v>1075</v>
      </c>
      <c r="E13" s="2024"/>
      <c r="F13" s="539"/>
      <c r="G13" s="539"/>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row>
    <row r="14" spans="1:94" s="540" customFormat="1" ht="44.25" customHeight="1" x14ac:dyDescent="0.2">
      <c r="A14" s="541" t="s">
        <v>1076</v>
      </c>
      <c r="B14" s="523"/>
      <c r="C14" s="523"/>
      <c r="D14" s="523"/>
      <c r="E14" s="2025"/>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row>
    <row r="15" spans="1:94" s="543" customFormat="1" ht="14.25" customHeight="1" x14ac:dyDescent="0.2">
      <c r="A15" s="542" t="s">
        <v>1077</v>
      </c>
      <c r="B15" s="542"/>
      <c r="C15" s="542"/>
      <c r="D15" s="542"/>
      <c r="E15" s="542" t="s">
        <v>1078</v>
      </c>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row>
    <row r="16" spans="1:94" ht="15.95" customHeight="1" x14ac:dyDescent="0.2">
      <c r="A16" s="522" t="s">
        <v>1079</v>
      </c>
      <c r="B16" s="544">
        <v>64716139</v>
      </c>
      <c r="C16" s="544"/>
      <c r="D16" s="544"/>
      <c r="E16" s="545">
        <f>SUM(B16:B16)</f>
        <v>64716139</v>
      </c>
      <c r="F16" s="517"/>
      <c r="G16" s="517"/>
      <c r="H16" s="517"/>
      <c r="I16" s="517"/>
      <c r="J16" s="517"/>
      <c r="K16" s="517"/>
      <c r="L16" s="517"/>
      <c r="M16" s="517"/>
      <c r="N16" s="517"/>
      <c r="O16" s="517"/>
      <c r="P16" s="517"/>
      <c r="Q16" s="517"/>
      <c r="R16" s="517"/>
      <c r="S16" s="517"/>
      <c r="T16" s="517"/>
      <c r="U16" s="517"/>
      <c r="V16" s="517"/>
      <c r="W16" s="517"/>
      <c r="X16" s="517"/>
      <c r="Y16" s="517"/>
      <c r="Z16" s="517"/>
      <c r="AA16" s="517"/>
      <c r="AB16" s="517"/>
      <c r="AC16" s="517"/>
      <c r="AD16" s="517"/>
      <c r="AE16" s="517"/>
      <c r="AF16" s="517"/>
      <c r="AG16" s="517"/>
      <c r="AH16" s="517"/>
      <c r="AI16" s="517"/>
      <c r="AJ16" s="517"/>
      <c r="AK16" s="517"/>
      <c r="AL16" s="517"/>
      <c r="AM16" s="517"/>
      <c r="AN16" s="517"/>
      <c r="AO16" s="517"/>
      <c r="AP16" s="517"/>
      <c r="AQ16" s="517"/>
      <c r="AR16" s="517"/>
      <c r="AS16" s="517"/>
      <c r="AT16" s="517"/>
      <c r="AU16" s="517"/>
      <c r="AV16" s="517"/>
      <c r="AW16" s="517"/>
      <c r="AX16" s="517"/>
      <c r="AY16" s="517"/>
      <c r="AZ16" s="517"/>
      <c r="BA16" s="517"/>
      <c r="BB16" s="517"/>
      <c r="BC16" s="517"/>
      <c r="BD16" s="517"/>
      <c r="BE16" s="517"/>
      <c r="BF16" s="517"/>
      <c r="BG16" s="517"/>
      <c r="BH16" s="517"/>
      <c r="BI16" s="517"/>
      <c r="BJ16" s="517"/>
      <c r="BK16" s="517"/>
      <c r="BL16" s="517"/>
      <c r="BM16" s="517"/>
      <c r="BN16" s="517"/>
      <c r="BO16" s="517"/>
      <c r="BP16" s="517"/>
      <c r="BQ16" s="517"/>
      <c r="BR16" s="517"/>
      <c r="BS16" s="517"/>
      <c r="BT16" s="517"/>
      <c r="BU16" s="517"/>
      <c r="BV16" s="517"/>
      <c r="BW16" s="517"/>
      <c r="BX16" s="517"/>
      <c r="BY16" s="517"/>
      <c r="BZ16" s="517"/>
      <c r="CA16" s="517"/>
      <c r="CB16" s="517"/>
      <c r="CC16" s="517"/>
      <c r="CD16" s="517"/>
      <c r="CE16" s="517"/>
      <c r="CF16" s="517"/>
      <c r="CG16" s="517"/>
      <c r="CH16" s="517"/>
      <c r="CI16" s="517"/>
      <c r="CJ16" s="517"/>
      <c r="CK16" s="517"/>
      <c r="CL16" s="517"/>
      <c r="CM16" s="517"/>
      <c r="CN16" s="517"/>
      <c r="CO16" s="517"/>
      <c r="CP16" s="517"/>
    </row>
    <row r="17" spans="1:94" ht="15.95" customHeight="1" x14ac:dyDescent="0.2">
      <c r="A17" s="522" t="s">
        <v>1080</v>
      </c>
      <c r="B17" s="544"/>
      <c r="C17" s="544"/>
      <c r="D17" s="544"/>
      <c r="E17" s="545">
        <f>SUM(B17:B17)</f>
        <v>0</v>
      </c>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517"/>
      <c r="AD17" s="517"/>
      <c r="AE17" s="517"/>
      <c r="AF17" s="517"/>
      <c r="AG17" s="517"/>
      <c r="AH17" s="517"/>
      <c r="AI17" s="517"/>
      <c r="AJ17" s="517"/>
      <c r="AK17" s="517"/>
      <c r="AL17" s="517"/>
      <c r="AM17" s="517"/>
      <c r="AN17" s="517"/>
      <c r="AO17" s="517"/>
      <c r="AP17" s="517"/>
      <c r="AQ17" s="517"/>
      <c r="AR17" s="517"/>
      <c r="AS17" s="517"/>
      <c r="AT17" s="517"/>
      <c r="AU17" s="517"/>
      <c r="AV17" s="517"/>
      <c r="AW17" s="517"/>
      <c r="AX17" s="517"/>
      <c r="AY17" s="517"/>
      <c r="AZ17" s="517"/>
      <c r="BA17" s="517"/>
      <c r="BB17" s="517"/>
      <c r="BC17" s="517"/>
      <c r="BD17" s="517"/>
      <c r="BE17" s="517"/>
      <c r="BF17" s="517"/>
      <c r="BG17" s="517"/>
      <c r="BH17" s="517"/>
      <c r="BI17" s="517"/>
      <c r="BJ17" s="517"/>
      <c r="BK17" s="517"/>
      <c r="BL17" s="517"/>
      <c r="BM17" s="517"/>
      <c r="BN17" s="517"/>
      <c r="BO17" s="517"/>
      <c r="BP17" s="517"/>
      <c r="BQ17" s="517"/>
      <c r="BR17" s="517"/>
      <c r="BS17" s="517"/>
      <c r="BT17" s="517"/>
      <c r="BU17" s="517"/>
      <c r="BV17" s="517"/>
      <c r="BW17" s="517"/>
      <c r="BX17" s="517"/>
      <c r="BY17" s="517"/>
      <c r="BZ17" s="517"/>
      <c r="CA17" s="517"/>
      <c r="CB17" s="517"/>
      <c r="CC17" s="517"/>
      <c r="CD17" s="517"/>
      <c r="CE17" s="517"/>
      <c r="CF17" s="517"/>
      <c r="CG17" s="517"/>
      <c r="CH17" s="517"/>
      <c r="CI17" s="517"/>
      <c r="CJ17" s="517"/>
      <c r="CK17" s="517"/>
      <c r="CL17" s="517"/>
      <c r="CM17" s="517"/>
      <c r="CN17" s="517"/>
      <c r="CO17" s="517"/>
      <c r="CP17" s="517"/>
    </row>
    <row r="18" spans="1:94" s="518" customFormat="1" ht="15.95" customHeight="1" x14ac:dyDescent="0.2">
      <c r="A18" s="522" t="s">
        <v>1081</v>
      </c>
      <c r="B18" s="544"/>
      <c r="C18" s="544"/>
      <c r="D18" s="544"/>
      <c r="E18" s="545">
        <f>SUM(B18:B18)</f>
        <v>0</v>
      </c>
      <c r="F18" s="517"/>
      <c r="G18" s="517"/>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c r="AE18" s="517"/>
      <c r="AF18" s="517"/>
      <c r="AG18" s="517"/>
      <c r="AH18" s="517"/>
      <c r="AI18" s="517"/>
      <c r="AJ18" s="517"/>
      <c r="AK18" s="517"/>
      <c r="AL18" s="517"/>
      <c r="AM18" s="517"/>
      <c r="AN18" s="517"/>
      <c r="AO18" s="517"/>
      <c r="AP18" s="517"/>
      <c r="AQ18" s="517"/>
      <c r="AR18" s="517"/>
      <c r="AS18" s="517"/>
      <c r="AT18" s="517"/>
      <c r="AU18" s="517"/>
      <c r="AV18" s="517"/>
      <c r="AW18" s="517"/>
      <c r="AX18" s="517"/>
      <c r="AY18" s="517"/>
      <c r="AZ18" s="517"/>
      <c r="BA18" s="517"/>
      <c r="BB18" s="517"/>
      <c r="BC18" s="517"/>
      <c r="BD18" s="517"/>
      <c r="BE18" s="517"/>
      <c r="BF18" s="517"/>
      <c r="BG18" s="517"/>
      <c r="BH18" s="517"/>
      <c r="BI18" s="517"/>
      <c r="BJ18" s="517"/>
      <c r="BK18" s="517"/>
      <c r="BL18" s="517"/>
      <c r="BM18" s="517"/>
      <c r="BN18" s="517"/>
      <c r="BO18" s="517"/>
      <c r="BP18" s="517"/>
      <c r="BQ18" s="517"/>
      <c r="BR18" s="517"/>
      <c r="BS18" s="517"/>
      <c r="BT18" s="517"/>
      <c r="BU18" s="517"/>
      <c r="BV18" s="517"/>
      <c r="BW18" s="517"/>
      <c r="BX18" s="517"/>
      <c r="BY18" s="517"/>
      <c r="BZ18" s="517"/>
      <c r="CA18" s="517"/>
      <c r="CB18" s="517"/>
      <c r="CC18" s="517"/>
      <c r="CD18" s="517"/>
      <c r="CE18" s="517"/>
      <c r="CF18" s="517"/>
      <c r="CG18" s="517"/>
      <c r="CH18" s="517"/>
      <c r="CI18" s="517"/>
      <c r="CJ18" s="517"/>
      <c r="CK18" s="517"/>
      <c r="CL18" s="517"/>
      <c r="CM18" s="517"/>
      <c r="CN18" s="517"/>
      <c r="CO18" s="517"/>
      <c r="CP18" s="517"/>
    </row>
    <row r="19" spans="1:94" s="518" customFormat="1" ht="15.95" customHeight="1" x14ac:dyDescent="0.2">
      <c r="A19" s="522" t="s">
        <v>1082</v>
      </c>
      <c r="B19" s="544"/>
      <c r="C19" s="544">
        <v>2435898</v>
      </c>
      <c r="D19" s="544">
        <v>1094000</v>
      </c>
      <c r="E19" s="545">
        <f>SUM(B19:D19)</f>
        <v>3529898</v>
      </c>
      <c r="F19" s="517"/>
      <c r="G19" s="517"/>
      <c r="H19" s="517"/>
      <c r="I19" s="517"/>
      <c r="J19" s="517"/>
      <c r="K19" s="517"/>
      <c r="L19" s="517"/>
      <c r="M19" s="517"/>
      <c r="N19" s="517"/>
      <c r="O19" s="517"/>
      <c r="P19" s="517"/>
      <c r="Q19" s="517"/>
      <c r="R19" s="517"/>
      <c r="S19" s="517"/>
      <c r="T19" s="517"/>
      <c r="U19" s="517"/>
      <c r="V19" s="517"/>
      <c r="W19" s="517"/>
      <c r="X19" s="517"/>
      <c r="Y19" s="517"/>
      <c r="Z19" s="517"/>
      <c r="AA19" s="517"/>
      <c r="AB19" s="517"/>
      <c r="AC19" s="517"/>
      <c r="AD19" s="517"/>
      <c r="AE19" s="517"/>
      <c r="AF19" s="517"/>
      <c r="AG19" s="517"/>
      <c r="AH19" s="517"/>
      <c r="AI19" s="517"/>
      <c r="AJ19" s="517"/>
      <c r="AK19" s="517"/>
      <c r="AL19" s="517"/>
      <c r="AM19" s="517"/>
      <c r="AN19" s="517"/>
      <c r="AO19" s="517"/>
      <c r="AP19" s="517"/>
      <c r="AQ19" s="517"/>
      <c r="AR19" s="517"/>
      <c r="AS19" s="517"/>
      <c r="AT19" s="517"/>
      <c r="AU19" s="517"/>
      <c r="AV19" s="517"/>
      <c r="AW19" s="517"/>
      <c r="AX19" s="517"/>
      <c r="AY19" s="517"/>
      <c r="AZ19" s="517"/>
      <c r="BA19" s="517"/>
      <c r="BB19" s="517"/>
      <c r="BC19" s="517"/>
      <c r="BD19" s="517"/>
      <c r="BE19" s="517"/>
      <c r="BF19" s="517"/>
      <c r="BG19" s="517"/>
      <c r="BH19" s="517"/>
      <c r="BI19" s="517"/>
      <c r="BJ19" s="517"/>
      <c r="BK19" s="517"/>
      <c r="BL19" s="517"/>
      <c r="BM19" s="517"/>
      <c r="BN19" s="517"/>
      <c r="BO19" s="517"/>
      <c r="BP19" s="517"/>
      <c r="BQ19" s="517"/>
      <c r="BR19" s="517"/>
      <c r="BS19" s="517"/>
      <c r="BT19" s="517"/>
      <c r="BU19" s="517"/>
      <c r="BV19" s="517"/>
      <c r="BW19" s="517"/>
      <c r="BX19" s="517"/>
      <c r="BY19" s="517"/>
      <c r="BZ19" s="517"/>
      <c r="CA19" s="517"/>
      <c r="CB19" s="517"/>
      <c r="CC19" s="517"/>
      <c r="CD19" s="517"/>
      <c r="CE19" s="517"/>
      <c r="CF19" s="517"/>
      <c r="CG19" s="517"/>
      <c r="CH19" s="517"/>
      <c r="CI19" s="517"/>
      <c r="CJ19" s="517"/>
      <c r="CK19" s="517"/>
      <c r="CL19" s="517"/>
      <c r="CM19" s="517"/>
      <c r="CN19" s="517"/>
      <c r="CO19" s="517"/>
      <c r="CP19" s="517"/>
    </row>
    <row r="20" spans="1:94" s="518" customFormat="1" ht="28.15" customHeight="1" x14ac:dyDescent="0.2">
      <c r="A20" s="522" t="s">
        <v>1083</v>
      </c>
      <c r="B20" s="544">
        <v>10547274</v>
      </c>
      <c r="C20" s="544">
        <f>9743592-2435898</f>
        <v>7307694</v>
      </c>
      <c r="D20" s="544">
        <f>4376000-1094000</f>
        <v>3282000</v>
      </c>
      <c r="E20" s="545">
        <f t="shared" ref="E20:E41" si="0">SUM(B20:D20)</f>
        <v>21136968</v>
      </c>
      <c r="F20" s="517"/>
      <c r="G20" s="517"/>
      <c r="H20" s="517"/>
      <c r="I20" s="517"/>
      <c r="J20" s="517"/>
      <c r="K20" s="517"/>
      <c r="L20" s="517"/>
      <c r="M20" s="517"/>
      <c r="N20" s="517"/>
      <c r="O20" s="517"/>
      <c r="P20" s="517"/>
      <c r="Q20" s="517"/>
      <c r="R20" s="517"/>
      <c r="S20" s="517"/>
      <c r="T20" s="517"/>
      <c r="U20" s="517"/>
      <c r="V20" s="517"/>
      <c r="W20" s="517"/>
      <c r="X20" s="517"/>
      <c r="Y20" s="517"/>
      <c r="Z20" s="517"/>
      <c r="AA20" s="517"/>
      <c r="AB20" s="517"/>
      <c r="AC20" s="517"/>
      <c r="AD20" s="517"/>
      <c r="AE20" s="517"/>
      <c r="AF20" s="517"/>
      <c r="AG20" s="517"/>
      <c r="AH20" s="517"/>
      <c r="AI20" s="517"/>
      <c r="AJ20" s="517"/>
      <c r="AK20" s="517"/>
      <c r="AL20" s="517"/>
      <c r="AM20" s="517"/>
      <c r="AN20" s="517"/>
      <c r="AO20" s="517"/>
      <c r="AP20" s="517"/>
      <c r="AQ20" s="517"/>
      <c r="AR20" s="517"/>
      <c r="AS20" s="517"/>
      <c r="AT20" s="517"/>
      <c r="AU20" s="517"/>
      <c r="AV20" s="517"/>
      <c r="AW20" s="517"/>
      <c r="AX20" s="517"/>
      <c r="AY20" s="517"/>
      <c r="AZ20" s="517"/>
      <c r="BA20" s="517"/>
      <c r="BB20" s="517"/>
      <c r="BC20" s="517"/>
      <c r="BD20" s="517"/>
      <c r="BE20" s="517"/>
      <c r="BF20" s="517"/>
      <c r="BG20" s="517"/>
      <c r="BH20" s="517"/>
      <c r="BI20" s="517"/>
      <c r="BJ20" s="517"/>
      <c r="BK20" s="517"/>
      <c r="BL20" s="517"/>
      <c r="BM20" s="517"/>
      <c r="BN20" s="517"/>
      <c r="BO20" s="517"/>
      <c r="BP20" s="517"/>
      <c r="BQ20" s="517"/>
      <c r="BR20" s="517"/>
      <c r="BS20" s="517"/>
      <c r="BT20" s="517"/>
      <c r="BU20" s="517"/>
      <c r="BV20" s="517"/>
      <c r="BW20" s="517"/>
      <c r="BX20" s="517"/>
      <c r="BY20" s="517"/>
      <c r="BZ20" s="517"/>
      <c r="CA20" s="517"/>
      <c r="CB20" s="517"/>
      <c r="CC20" s="517"/>
      <c r="CD20" s="517"/>
      <c r="CE20" s="517"/>
      <c r="CF20" s="517"/>
      <c r="CG20" s="517"/>
      <c r="CH20" s="517"/>
      <c r="CI20" s="517"/>
      <c r="CJ20" s="517"/>
      <c r="CK20" s="517"/>
      <c r="CL20" s="517"/>
      <c r="CM20" s="517"/>
      <c r="CN20" s="517"/>
      <c r="CO20" s="517"/>
      <c r="CP20" s="517"/>
    </row>
    <row r="21" spans="1:94" s="518" customFormat="1" ht="15.95" customHeight="1" x14ac:dyDescent="0.2">
      <c r="A21" s="522" t="s">
        <v>1084</v>
      </c>
      <c r="B21" s="544"/>
      <c r="C21" s="544">
        <v>2435898</v>
      </c>
      <c r="D21" s="544">
        <v>1094000</v>
      </c>
      <c r="E21" s="545">
        <f t="shared" si="0"/>
        <v>3529898</v>
      </c>
      <c r="F21" s="517"/>
      <c r="G21" s="517"/>
      <c r="H21" s="517"/>
      <c r="I21" s="517"/>
      <c r="J21" s="517"/>
      <c r="K21" s="517"/>
      <c r="L21" s="517"/>
      <c r="M21" s="517"/>
      <c r="N21" s="517"/>
      <c r="O21" s="517"/>
      <c r="P21" s="517"/>
      <c r="Q21" s="517"/>
      <c r="R21" s="517"/>
      <c r="S21" s="517"/>
      <c r="T21" s="517"/>
      <c r="U21" s="517"/>
      <c r="V21" s="517"/>
      <c r="W21" s="517"/>
      <c r="X21" s="517"/>
      <c r="Y21" s="517"/>
      <c r="Z21" s="517"/>
      <c r="AA21" s="517"/>
      <c r="AB21" s="517"/>
      <c r="AC21" s="517"/>
      <c r="AD21" s="517"/>
      <c r="AE21" s="517"/>
      <c r="AF21" s="517"/>
      <c r="AG21" s="517"/>
      <c r="AH21" s="517"/>
      <c r="AI21" s="517"/>
      <c r="AJ21" s="517"/>
      <c r="AK21" s="517"/>
      <c r="AL21" s="517"/>
      <c r="AM21" s="517"/>
      <c r="AN21" s="517"/>
      <c r="AO21" s="517"/>
      <c r="AP21" s="517"/>
      <c r="AQ21" s="517"/>
      <c r="AR21" s="517"/>
      <c r="AS21" s="517"/>
      <c r="AT21" s="517"/>
      <c r="AU21" s="517"/>
      <c r="AV21" s="517"/>
      <c r="AW21" s="517"/>
      <c r="AX21" s="517"/>
      <c r="AY21" s="517"/>
      <c r="AZ21" s="517"/>
      <c r="BA21" s="517"/>
      <c r="BB21" s="517"/>
      <c r="BC21" s="517"/>
      <c r="BD21" s="517"/>
      <c r="BE21" s="517"/>
      <c r="BF21" s="517"/>
      <c r="BG21" s="517"/>
      <c r="BH21" s="517"/>
      <c r="BI21" s="517"/>
      <c r="BJ21" s="517"/>
      <c r="BK21" s="517"/>
      <c r="BL21" s="517"/>
      <c r="BM21" s="517"/>
      <c r="BN21" s="517"/>
      <c r="BO21" s="517"/>
      <c r="BP21" s="517"/>
      <c r="BQ21" s="517"/>
      <c r="BR21" s="517"/>
      <c r="BS21" s="517"/>
      <c r="BT21" s="517"/>
      <c r="BU21" s="517"/>
      <c r="BV21" s="517"/>
      <c r="BW21" s="517"/>
      <c r="BX21" s="517"/>
      <c r="BY21" s="517"/>
      <c r="BZ21" s="517"/>
      <c r="CA21" s="517"/>
      <c r="CB21" s="517"/>
      <c r="CC21" s="517"/>
      <c r="CD21" s="517"/>
      <c r="CE21" s="517"/>
      <c r="CF21" s="517"/>
      <c r="CG21" s="517"/>
      <c r="CH21" s="517"/>
      <c r="CI21" s="517"/>
      <c r="CJ21" s="517"/>
      <c r="CK21" s="517"/>
      <c r="CL21" s="517"/>
      <c r="CM21" s="517"/>
      <c r="CN21" s="517"/>
      <c r="CO21" s="517"/>
      <c r="CP21" s="517"/>
    </row>
    <row r="22" spans="1:94" s="518" customFormat="1" ht="28.15" customHeight="1" x14ac:dyDescent="0.2">
      <c r="A22" s="522" t="s">
        <v>1085</v>
      </c>
      <c r="B22" s="544">
        <v>14063032</v>
      </c>
      <c r="C22" s="544">
        <v>9743592</v>
      </c>
      <c r="D22" s="544">
        <v>4376000</v>
      </c>
      <c r="E22" s="545">
        <f t="shared" si="0"/>
        <v>28182624</v>
      </c>
      <c r="F22" s="517"/>
      <c r="G22" s="517"/>
      <c r="H22" s="517"/>
      <c r="I22" s="517"/>
      <c r="J22" s="517"/>
      <c r="K22" s="517"/>
      <c r="L22" s="517"/>
      <c r="M22" s="517"/>
      <c r="N22" s="517"/>
      <c r="O22" s="517"/>
      <c r="P22" s="517"/>
      <c r="Q22" s="517"/>
      <c r="R22" s="517"/>
      <c r="S22" s="517"/>
      <c r="T22" s="517"/>
      <c r="U22" s="517"/>
      <c r="V22" s="517"/>
      <c r="W22" s="517"/>
      <c r="X22" s="517"/>
      <c r="Y22" s="517"/>
      <c r="Z22" s="517"/>
      <c r="AA22" s="517"/>
      <c r="AB22" s="517"/>
      <c r="AC22" s="517"/>
      <c r="AD22" s="517"/>
      <c r="AE22" s="517"/>
      <c r="AF22" s="517"/>
      <c r="AG22" s="517"/>
      <c r="AH22" s="517"/>
      <c r="AI22" s="517"/>
      <c r="AJ22" s="517"/>
      <c r="AK22" s="517"/>
      <c r="AL22" s="517"/>
      <c r="AM22" s="517"/>
      <c r="AN22" s="517"/>
      <c r="AO22" s="517"/>
      <c r="AP22" s="517"/>
      <c r="AQ22" s="517"/>
      <c r="AR22" s="517"/>
      <c r="AS22" s="517"/>
      <c r="AT22" s="517"/>
      <c r="AU22" s="517"/>
      <c r="AV22" s="517"/>
      <c r="AW22" s="517"/>
      <c r="AX22" s="517"/>
      <c r="AY22" s="517"/>
      <c r="AZ22" s="517"/>
      <c r="BA22" s="517"/>
      <c r="BB22" s="517"/>
      <c r="BC22" s="517"/>
      <c r="BD22" s="517"/>
      <c r="BE22" s="517"/>
      <c r="BF22" s="517"/>
      <c r="BG22" s="517"/>
      <c r="BH22" s="517"/>
      <c r="BI22" s="517"/>
      <c r="BJ22" s="517"/>
      <c r="BK22" s="517"/>
      <c r="BL22" s="517"/>
      <c r="BM22" s="517"/>
      <c r="BN22" s="517"/>
      <c r="BO22" s="517"/>
      <c r="BP22" s="517"/>
      <c r="BQ22" s="517"/>
      <c r="BR22" s="517"/>
      <c r="BS22" s="517"/>
      <c r="BT22" s="517"/>
      <c r="BU22" s="517"/>
      <c r="BV22" s="517"/>
      <c r="BW22" s="517"/>
      <c r="BX22" s="517"/>
      <c r="BY22" s="517"/>
      <c r="BZ22" s="517"/>
      <c r="CA22" s="517"/>
      <c r="CB22" s="517"/>
      <c r="CC22" s="517"/>
      <c r="CD22" s="517"/>
      <c r="CE22" s="517"/>
      <c r="CF22" s="517"/>
      <c r="CG22" s="517"/>
      <c r="CH22" s="517"/>
      <c r="CI22" s="517"/>
      <c r="CJ22" s="517"/>
      <c r="CK22" s="517"/>
      <c r="CL22" s="517"/>
      <c r="CM22" s="517"/>
      <c r="CN22" s="517"/>
      <c r="CO22" s="517"/>
      <c r="CP22" s="517"/>
    </row>
    <row r="23" spans="1:94" s="518" customFormat="1" ht="15.95" customHeight="1" x14ac:dyDescent="0.2">
      <c r="A23" s="522" t="s">
        <v>1033</v>
      </c>
      <c r="B23" s="544">
        <v>14063032</v>
      </c>
      <c r="C23" s="544">
        <v>9743592</v>
      </c>
      <c r="D23" s="544">
        <v>4376000</v>
      </c>
      <c r="E23" s="545">
        <f t="shared" si="0"/>
        <v>28182624</v>
      </c>
      <c r="F23" s="517"/>
      <c r="G23" s="517"/>
      <c r="H23" s="517"/>
      <c r="I23" s="517"/>
      <c r="J23" s="517"/>
      <c r="K23" s="517"/>
      <c r="L23" s="517"/>
      <c r="M23" s="517"/>
      <c r="N23" s="517"/>
      <c r="O23" s="517"/>
      <c r="P23" s="517"/>
      <c r="Q23" s="517"/>
      <c r="R23" s="517"/>
      <c r="S23" s="517"/>
      <c r="T23" s="517"/>
      <c r="U23" s="517"/>
      <c r="V23" s="517"/>
      <c r="W23" s="517"/>
      <c r="X23" s="517"/>
      <c r="Y23" s="517"/>
      <c r="Z23" s="517"/>
      <c r="AA23" s="517"/>
      <c r="AB23" s="517"/>
      <c r="AC23" s="517"/>
      <c r="AD23" s="517"/>
      <c r="AE23" s="517"/>
      <c r="AF23" s="517"/>
      <c r="AG23" s="517"/>
      <c r="AH23" s="517"/>
      <c r="AI23" s="517"/>
      <c r="AJ23" s="517"/>
      <c r="AK23" s="517"/>
      <c r="AL23" s="517"/>
      <c r="AM23" s="517"/>
      <c r="AN23" s="517"/>
      <c r="AO23" s="517"/>
      <c r="AP23" s="517"/>
      <c r="AQ23" s="517"/>
      <c r="AR23" s="517"/>
      <c r="AS23" s="517"/>
      <c r="AT23" s="517"/>
      <c r="AU23" s="517"/>
      <c r="AV23" s="517"/>
      <c r="AW23" s="517"/>
      <c r="AX23" s="517"/>
      <c r="AY23" s="517"/>
      <c r="AZ23" s="517"/>
      <c r="BA23" s="517"/>
      <c r="BB23" s="517"/>
      <c r="BC23" s="517"/>
      <c r="BD23" s="517"/>
      <c r="BE23" s="517"/>
      <c r="BF23" s="517"/>
      <c r="BG23" s="517"/>
      <c r="BH23" s="517"/>
      <c r="BI23" s="517"/>
      <c r="BJ23" s="517"/>
      <c r="BK23" s="517"/>
      <c r="BL23" s="517"/>
      <c r="BM23" s="517"/>
      <c r="BN23" s="517"/>
      <c r="BO23" s="517"/>
      <c r="BP23" s="517"/>
      <c r="BQ23" s="517"/>
      <c r="BR23" s="517"/>
      <c r="BS23" s="517"/>
      <c r="BT23" s="517"/>
      <c r="BU23" s="517"/>
      <c r="BV23" s="517"/>
      <c r="BW23" s="517"/>
      <c r="BX23" s="517"/>
      <c r="BY23" s="517"/>
      <c r="BZ23" s="517"/>
      <c r="CA23" s="517"/>
      <c r="CB23" s="517"/>
      <c r="CC23" s="517"/>
      <c r="CD23" s="517"/>
      <c r="CE23" s="517"/>
      <c r="CF23" s="517"/>
      <c r="CG23" s="517"/>
      <c r="CH23" s="517"/>
      <c r="CI23" s="517"/>
      <c r="CJ23" s="517"/>
      <c r="CK23" s="517"/>
      <c r="CL23" s="517"/>
      <c r="CM23" s="517"/>
      <c r="CN23" s="517"/>
      <c r="CO23" s="517"/>
      <c r="CP23" s="517"/>
    </row>
    <row r="24" spans="1:94" s="518" customFormat="1" ht="15.95" customHeight="1" x14ac:dyDescent="0.2">
      <c r="A24" s="522" t="s">
        <v>1034</v>
      </c>
      <c r="B24" s="544">
        <v>14063032</v>
      </c>
      <c r="C24" s="544">
        <v>9743592</v>
      </c>
      <c r="D24" s="544">
        <v>4376000</v>
      </c>
      <c r="E24" s="545">
        <f t="shared" si="0"/>
        <v>28182624</v>
      </c>
      <c r="F24" s="517"/>
      <c r="G24" s="546"/>
      <c r="H24" s="547"/>
      <c r="I24" s="547"/>
      <c r="J24" s="548"/>
      <c r="K24" s="549"/>
      <c r="L24" s="517"/>
      <c r="M24" s="517"/>
      <c r="N24" s="517"/>
      <c r="O24" s="517"/>
      <c r="P24" s="517"/>
      <c r="Q24" s="517"/>
      <c r="R24" s="517"/>
      <c r="S24" s="517"/>
      <c r="T24" s="517"/>
      <c r="U24" s="517"/>
      <c r="V24" s="517"/>
      <c r="W24" s="517"/>
      <c r="X24" s="517"/>
      <c r="Y24" s="517"/>
      <c r="Z24" s="517"/>
      <c r="AA24" s="517"/>
      <c r="AB24" s="517"/>
      <c r="AC24" s="517"/>
      <c r="AD24" s="517"/>
      <c r="AE24" s="517"/>
      <c r="AF24" s="517"/>
      <c r="AG24" s="517"/>
      <c r="AH24" s="517"/>
      <c r="AI24" s="517"/>
      <c r="AJ24" s="517"/>
      <c r="AK24" s="517"/>
      <c r="AL24" s="517"/>
      <c r="AM24" s="517"/>
      <c r="AN24" s="517"/>
      <c r="AO24" s="517"/>
      <c r="AP24" s="517"/>
      <c r="AQ24" s="517"/>
      <c r="AR24" s="517"/>
      <c r="AS24" s="517"/>
      <c r="AT24" s="517"/>
      <c r="AU24" s="517"/>
      <c r="AV24" s="517"/>
      <c r="AW24" s="517"/>
      <c r="AX24" s="517"/>
      <c r="AY24" s="517"/>
      <c r="AZ24" s="517"/>
      <c r="BA24" s="517"/>
      <c r="BB24" s="517"/>
      <c r="BC24" s="517"/>
      <c r="BD24" s="517"/>
      <c r="BE24" s="517"/>
      <c r="BF24" s="517"/>
      <c r="BG24" s="517"/>
      <c r="BH24" s="517"/>
      <c r="BI24" s="517"/>
      <c r="BJ24" s="517"/>
      <c r="BK24" s="517"/>
      <c r="BL24" s="517"/>
      <c r="BM24" s="517"/>
      <c r="BN24" s="517"/>
      <c r="BO24" s="517"/>
      <c r="BP24" s="517"/>
      <c r="BQ24" s="517"/>
      <c r="BR24" s="517"/>
      <c r="BS24" s="517"/>
      <c r="BT24" s="517"/>
      <c r="BU24" s="517"/>
      <c r="BV24" s="517"/>
      <c r="BW24" s="517"/>
      <c r="BX24" s="517"/>
      <c r="BY24" s="517"/>
      <c r="BZ24" s="517"/>
      <c r="CA24" s="517"/>
      <c r="CB24" s="517"/>
      <c r="CC24" s="517"/>
      <c r="CD24" s="517"/>
      <c r="CE24" s="517"/>
      <c r="CF24" s="517"/>
      <c r="CG24" s="517"/>
      <c r="CH24" s="517"/>
      <c r="CI24" s="517"/>
      <c r="CJ24" s="517"/>
      <c r="CK24" s="517"/>
      <c r="CL24" s="517"/>
      <c r="CM24" s="517"/>
      <c r="CN24" s="517"/>
      <c r="CO24" s="517"/>
      <c r="CP24" s="517"/>
    </row>
    <row r="25" spans="1:94" s="518" customFormat="1" ht="15.95" customHeight="1" x14ac:dyDescent="0.2">
      <c r="A25" s="522" t="s">
        <v>1035</v>
      </c>
      <c r="B25" s="544">
        <v>14063032</v>
      </c>
      <c r="C25" s="544">
        <v>9743592</v>
      </c>
      <c r="D25" s="544">
        <v>4376000</v>
      </c>
      <c r="E25" s="545">
        <f t="shared" si="0"/>
        <v>28182624</v>
      </c>
      <c r="F25" s="517"/>
      <c r="G25" s="550"/>
      <c r="H25" s="550"/>
      <c r="I25" s="550"/>
      <c r="J25" s="550"/>
      <c r="K25" s="550"/>
      <c r="L25" s="517"/>
      <c r="M25" s="517"/>
      <c r="N25" s="517"/>
      <c r="O25" s="517"/>
      <c r="P25" s="517"/>
      <c r="Q25" s="517"/>
      <c r="R25" s="517"/>
      <c r="S25" s="517"/>
      <c r="T25" s="517"/>
      <c r="U25" s="517"/>
      <c r="V25" s="517"/>
      <c r="W25" s="517"/>
      <c r="X25" s="517"/>
      <c r="Y25" s="517"/>
      <c r="Z25" s="517"/>
      <c r="AA25" s="517"/>
      <c r="AB25" s="517"/>
      <c r="AC25" s="517"/>
      <c r="AD25" s="517"/>
      <c r="AE25" s="517"/>
      <c r="AF25" s="517"/>
      <c r="AG25" s="517"/>
      <c r="AH25" s="517"/>
      <c r="AI25" s="517"/>
      <c r="AJ25" s="517"/>
      <c r="AK25" s="517"/>
      <c r="AL25" s="517"/>
      <c r="AM25" s="517"/>
      <c r="AN25" s="517"/>
      <c r="AO25" s="517"/>
      <c r="AP25" s="517"/>
      <c r="AQ25" s="517"/>
      <c r="AR25" s="517"/>
      <c r="AS25" s="517"/>
      <c r="AT25" s="517"/>
      <c r="AU25" s="517"/>
      <c r="AV25" s="517"/>
      <c r="AW25" s="517"/>
      <c r="AX25" s="517"/>
      <c r="AY25" s="517"/>
      <c r="AZ25" s="517"/>
      <c r="BA25" s="517"/>
      <c r="BB25" s="517"/>
      <c r="BC25" s="517"/>
      <c r="BD25" s="517"/>
      <c r="BE25" s="517"/>
      <c r="BF25" s="517"/>
      <c r="BG25" s="517"/>
      <c r="BH25" s="517"/>
      <c r="BI25" s="517"/>
      <c r="BJ25" s="517"/>
      <c r="BK25" s="517"/>
      <c r="BL25" s="517"/>
      <c r="BM25" s="517"/>
      <c r="BN25" s="517"/>
      <c r="BO25" s="517"/>
      <c r="BP25" s="517"/>
      <c r="BQ25" s="517"/>
      <c r="BR25" s="517"/>
      <c r="BS25" s="517"/>
      <c r="BT25" s="517"/>
      <c r="BU25" s="517"/>
      <c r="BV25" s="517"/>
      <c r="BW25" s="517"/>
      <c r="BX25" s="517"/>
      <c r="BY25" s="517"/>
      <c r="BZ25" s="517"/>
      <c r="CA25" s="517"/>
      <c r="CB25" s="517"/>
      <c r="CC25" s="517"/>
      <c r="CD25" s="517"/>
      <c r="CE25" s="517"/>
      <c r="CF25" s="517"/>
      <c r="CG25" s="517"/>
      <c r="CH25" s="517"/>
      <c r="CI25" s="517"/>
      <c r="CJ25" s="517"/>
      <c r="CK25" s="517"/>
      <c r="CL25" s="517"/>
      <c r="CM25" s="517"/>
      <c r="CN25" s="517"/>
      <c r="CO25" s="517"/>
      <c r="CP25" s="517"/>
    </row>
    <row r="26" spans="1:94" s="518" customFormat="1" ht="15.95" customHeight="1" x14ac:dyDescent="0.2">
      <c r="A26" s="522" t="s">
        <v>1059</v>
      </c>
      <c r="B26" s="544">
        <v>14063032</v>
      </c>
      <c r="C26" s="544">
        <v>9743592</v>
      </c>
      <c r="D26" s="544">
        <v>4376000</v>
      </c>
      <c r="E26" s="545">
        <f t="shared" si="0"/>
        <v>28182624</v>
      </c>
      <c r="F26" s="517"/>
      <c r="G26" s="550"/>
      <c r="H26" s="550"/>
      <c r="I26" s="550"/>
      <c r="J26" s="550"/>
      <c r="K26" s="550"/>
      <c r="L26" s="517"/>
      <c r="M26" s="517"/>
      <c r="N26" s="517"/>
      <c r="O26" s="517"/>
      <c r="P26" s="517"/>
      <c r="Q26" s="517"/>
      <c r="R26" s="517"/>
      <c r="S26" s="517"/>
      <c r="T26" s="517"/>
      <c r="U26" s="517"/>
      <c r="V26" s="517"/>
      <c r="W26" s="517"/>
      <c r="X26" s="517"/>
      <c r="Y26" s="517"/>
      <c r="Z26" s="517"/>
      <c r="AA26" s="517"/>
      <c r="AB26" s="517"/>
      <c r="AC26" s="517"/>
      <c r="AD26" s="517"/>
      <c r="AE26" s="517"/>
      <c r="AF26" s="517"/>
      <c r="AG26" s="517"/>
      <c r="AH26" s="517"/>
      <c r="AI26" s="517"/>
      <c r="AJ26" s="517"/>
      <c r="AK26" s="517"/>
      <c r="AL26" s="517"/>
      <c r="AM26" s="517"/>
      <c r="AN26" s="517"/>
      <c r="AO26" s="517"/>
      <c r="AP26" s="517"/>
      <c r="AQ26" s="517"/>
      <c r="AR26" s="517"/>
      <c r="AS26" s="517"/>
      <c r="AT26" s="517"/>
      <c r="AU26" s="517"/>
      <c r="AV26" s="517"/>
      <c r="AW26" s="517"/>
      <c r="AX26" s="517"/>
      <c r="AY26" s="517"/>
      <c r="AZ26" s="517"/>
      <c r="BA26" s="517"/>
      <c r="BB26" s="517"/>
      <c r="BC26" s="517"/>
      <c r="BD26" s="517"/>
      <c r="BE26" s="517"/>
      <c r="BF26" s="517"/>
      <c r="BG26" s="517"/>
      <c r="BH26" s="517"/>
      <c r="BI26" s="517"/>
      <c r="BJ26" s="517"/>
      <c r="BK26" s="517"/>
      <c r="BL26" s="517"/>
      <c r="BM26" s="517"/>
      <c r="BN26" s="517"/>
      <c r="BO26" s="517"/>
      <c r="BP26" s="517"/>
      <c r="BQ26" s="517"/>
      <c r="BR26" s="517"/>
      <c r="BS26" s="517"/>
      <c r="BT26" s="517"/>
      <c r="BU26" s="517"/>
      <c r="BV26" s="517"/>
      <c r="BW26" s="517"/>
      <c r="BX26" s="517"/>
      <c r="BY26" s="517"/>
      <c r="BZ26" s="517"/>
      <c r="CA26" s="517"/>
      <c r="CB26" s="517"/>
      <c r="CC26" s="517"/>
      <c r="CD26" s="517"/>
      <c r="CE26" s="517"/>
      <c r="CF26" s="517"/>
      <c r="CG26" s="517"/>
      <c r="CH26" s="517"/>
      <c r="CI26" s="517"/>
      <c r="CJ26" s="517"/>
      <c r="CK26" s="517"/>
      <c r="CL26" s="517"/>
      <c r="CM26" s="517"/>
      <c r="CN26" s="517"/>
      <c r="CO26" s="517"/>
      <c r="CP26" s="517"/>
    </row>
    <row r="27" spans="1:94" s="518" customFormat="1" ht="15.95" customHeight="1" x14ac:dyDescent="0.2">
      <c r="A27" s="522" t="s">
        <v>1086</v>
      </c>
      <c r="B27" s="544">
        <v>14063032</v>
      </c>
      <c r="C27" s="544">
        <v>9743592</v>
      </c>
      <c r="D27" s="544">
        <v>4376000</v>
      </c>
      <c r="E27" s="545">
        <f t="shared" si="0"/>
        <v>28182624</v>
      </c>
      <c r="F27" s="517"/>
      <c r="G27" s="550"/>
      <c r="H27" s="550"/>
      <c r="I27" s="550"/>
      <c r="J27" s="550"/>
      <c r="K27" s="550"/>
      <c r="L27" s="517"/>
      <c r="M27" s="517"/>
      <c r="N27" s="517"/>
      <c r="O27" s="517"/>
      <c r="P27" s="517"/>
      <c r="Q27" s="517"/>
      <c r="R27" s="517"/>
      <c r="S27" s="517"/>
      <c r="T27" s="517"/>
      <c r="U27" s="517"/>
      <c r="V27" s="517"/>
      <c r="W27" s="517"/>
      <c r="X27" s="517"/>
      <c r="Y27" s="517"/>
      <c r="Z27" s="517"/>
      <c r="AA27" s="517"/>
      <c r="AB27" s="517"/>
      <c r="AC27" s="517"/>
      <c r="AD27" s="517"/>
      <c r="AE27" s="517"/>
      <c r="AF27" s="517"/>
      <c r="AG27" s="517"/>
      <c r="AH27" s="517"/>
      <c r="AI27" s="517"/>
      <c r="AJ27" s="517"/>
      <c r="AK27" s="517"/>
      <c r="AL27" s="517"/>
      <c r="AM27" s="517"/>
      <c r="AN27" s="517"/>
      <c r="AO27" s="517"/>
      <c r="AP27" s="517"/>
      <c r="AQ27" s="517"/>
      <c r="AR27" s="517"/>
      <c r="AS27" s="517"/>
      <c r="AT27" s="517"/>
      <c r="AU27" s="517"/>
      <c r="AV27" s="517"/>
      <c r="AW27" s="517"/>
      <c r="AX27" s="517"/>
      <c r="AY27" s="517"/>
      <c r="AZ27" s="517"/>
      <c r="BA27" s="517"/>
      <c r="BB27" s="517"/>
      <c r="BC27" s="517"/>
      <c r="BD27" s="517"/>
      <c r="BE27" s="517"/>
      <c r="BF27" s="517"/>
      <c r="BG27" s="517"/>
      <c r="BH27" s="517"/>
      <c r="BI27" s="517"/>
      <c r="BJ27" s="517"/>
      <c r="BK27" s="517"/>
      <c r="BL27" s="517"/>
      <c r="BM27" s="517"/>
      <c r="BN27" s="517"/>
      <c r="BO27" s="517"/>
      <c r="BP27" s="517"/>
      <c r="BQ27" s="517"/>
      <c r="BR27" s="517"/>
      <c r="BS27" s="517"/>
      <c r="BT27" s="517"/>
      <c r="BU27" s="517"/>
      <c r="BV27" s="517"/>
      <c r="BW27" s="517"/>
      <c r="BX27" s="517"/>
      <c r="BY27" s="517"/>
      <c r="BZ27" s="517"/>
      <c r="CA27" s="517"/>
      <c r="CB27" s="517"/>
      <c r="CC27" s="517"/>
      <c r="CD27" s="517"/>
      <c r="CE27" s="517"/>
      <c r="CF27" s="517"/>
      <c r="CG27" s="517"/>
      <c r="CH27" s="517"/>
      <c r="CI27" s="517"/>
      <c r="CJ27" s="517"/>
      <c r="CK27" s="517"/>
      <c r="CL27" s="517"/>
      <c r="CM27" s="517"/>
      <c r="CN27" s="517"/>
      <c r="CO27" s="517"/>
      <c r="CP27" s="517"/>
    </row>
    <row r="28" spans="1:94" s="518" customFormat="1" ht="15.95" customHeight="1" x14ac:dyDescent="0.2">
      <c r="A28" s="522" t="s">
        <v>1087</v>
      </c>
      <c r="B28" s="544">
        <v>14063032</v>
      </c>
      <c r="C28" s="544">
        <v>9743592</v>
      </c>
      <c r="D28" s="544">
        <v>4376000</v>
      </c>
      <c r="E28" s="545">
        <f t="shared" si="0"/>
        <v>28182624</v>
      </c>
      <c r="F28" s="517"/>
      <c r="G28" s="550"/>
      <c r="H28" s="550"/>
      <c r="I28" s="550"/>
      <c r="J28" s="550"/>
      <c r="K28" s="550"/>
      <c r="L28" s="517"/>
      <c r="M28" s="517"/>
      <c r="N28" s="517"/>
      <c r="O28" s="517"/>
      <c r="P28" s="517"/>
      <c r="Q28" s="517"/>
      <c r="R28" s="517"/>
      <c r="S28" s="517"/>
      <c r="T28" s="517"/>
      <c r="U28" s="517"/>
      <c r="V28" s="517"/>
      <c r="W28" s="517"/>
      <c r="X28" s="517"/>
      <c r="Y28" s="517"/>
      <c r="Z28" s="517"/>
      <c r="AA28" s="517"/>
      <c r="AB28" s="517"/>
      <c r="AC28" s="517"/>
      <c r="AD28" s="517"/>
      <c r="AE28" s="517"/>
      <c r="AF28" s="517"/>
      <c r="AG28" s="517"/>
      <c r="AH28" s="517"/>
      <c r="AI28" s="517"/>
      <c r="AJ28" s="517"/>
      <c r="AK28" s="517"/>
      <c r="AL28" s="517"/>
      <c r="AM28" s="517"/>
      <c r="AN28" s="517"/>
      <c r="AO28" s="517"/>
      <c r="AP28" s="517"/>
      <c r="AQ28" s="517"/>
      <c r="AR28" s="517"/>
      <c r="AS28" s="517"/>
      <c r="AT28" s="517"/>
      <c r="AU28" s="517"/>
      <c r="AV28" s="517"/>
      <c r="AW28" s="517"/>
      <c r="AX28" s="517"/>
      <c r="AY28" s="517"/>
      <c r="AZ28" s="517"/>
      <c r="BA28" s="517"/>
      <c r="BB28" s="517"/>
      <c r="BC28" s="517"/>
      <c r="BD28" s="517"/>
      <c r="BE28" s="517"/>
      <c r="BF28" s="517"/>
      <c r="BG28" s="517"/>
      <c r="BH28" s="517"/>
      <c r="BI28" s="517"/>
      <c r="BJ28" s="517"/>
      <c r="BK28" s="517"/>
      <c r="BL28" s="517"/>
      <c r="BM28" s="517"/>
      <c r="BN28" s="517"/>
      <c r="BO28" s="517"/>
      <c r="BP28" s="517"/>
      <c r="BQ28" s="517"/>
      <c r="BR28" s="517"/>
      <c r="BS28" s="517"/>
      <c r="BT28" s="517"/>
      <c r="BU28" s="517"/>
      <c r="BV28" s="517"/>
      <c r="BW28" s="517"/>
      <c r="BX28" s="517"/>
      <c r="BY28" s="517"/>
      <c r="BZ28" s="517"/>
      <c r="CA28" s="517"/>
      <c r="CB28" s="517"/>
      <c r="CC28" s="517"/>
      <c r="CD28" s="517"/>
      <c r="CE28" s="517"/>
      <c r="CF28" s="517"/>
      <c r="CG28" s="517"/>
      <c r="CH28" s="517"/>
      <c r="CI28" s="517"/>
      <c r="CJ28" s="517"/>
      <c r="CK28" s="517"/>
      <c r="CL28" s="517"/>
      <c r="CM28" s="517"/>
      <c r="CN28" s="517"/>
      <c r="CO28" s="517"/>
      <c r="CP28" s="517"/>
    </row>
    <row r="29" spans="1:94" s="518" customFormat="1" ht="15.95" customHeight="1" x14ac:dyDescent="0.2">
      <c r="A29" s="522" t="s">
        <v>1088</v>
      </c>
      <c r="B29" s="544">
        <v>14063032</v>
      </c>
      <c r="C29" s="544">
        <v>9743592</v>
      </c>
      <c r="D29" s="544">
        <v>4376000</v>
      </c>
      <c r="E29" s="545">
        <f t="shared" si="0"/>
        <v>28182624</v>
      </c>
      <c r="F29" s="517"/>
      <c r="G29" s="550"/>
      <c r="H29" s="550"/>
      <c r="I29" s="550"/>
      <c r="J29" s="550"/>
      <c r="K29" s="550"/>
      <c r="L29" s="517"/>
      <c r="M29" s="517"/>
      <c r="N29" s="517"/>
      <c r="O29" s="517"/>
      <c r="P29" s="517"/>
      <c r="Q29" s="517"/>
      <c r="R29" s="517"/>
      <c r="S29" s="517"/>
      <c r="T29" s="517"/>
      <c r="U29" s="517"/>
      <c r="V29" s="517"/>
      <c r="W29" s="517"/>
      <c r="X29" s="517"/>
      <c r="Y29" s="517"/>
      <c r="Z29" s="517"/>
      <c r="AA29" s="517"/>
      <c r="AB29" s="517"/>
      <c r="AC29" s="517"/>
      <c r="AD29" s="517"/>
      <c r="AE29" s="517"/>
      <c r="AF29" s="517"/>
      <c r="AG29" s="517"/>
      <c r="AH29" s="517"/>
      <c r="AI29" s="517"/>
      <c r="AJ29" s="517"/>
      <c r="AK29" s="517"/>
      <c r="AL29" s="517"/>
      <c r="AM29" s="517"/>
      <c r="AN29" s="517"/>
      <c r="AO29" s="517"/>
      <c r="AP29" s="517"/>
      <c r="AQ29" s="517"/>
      <c r="AR29" s="517"/>
      <c r="AS29" s="517"/>
      <c r="AT29" s="517"/>
      <c r="AU29" s="517"/>
      <c r="AV29" s="517"/>
      <c r="AW29" s="517"/>
      <c r="AX29" s="517"/>
      <c r="AY29" s="517"/>
      <c r="AZ29" s="517"/>
      <c r="BA29" s="517"/>
      <c r="BB29" s="517"/>
      <c r="BC29" s="517"/>
      <c r="BD29" s="517"/>
      <c r="BE29" s="517"/>
      <c r="BF29" s="517"/>
      <c r="BG29" s="517"/>
      <c r="BH29" s="517"/>
      <c r="BI29" s="517"/>
      <c r="BJ29" s="517"/>
      <c r="BK29" s="517"/>
      <c r="BL29" s="517"/>
      <c r="BM29" s="517"/>
      <c r="BN29" s="517"/>
      <c r="BO29" s="517"/>
      <c r="BP29" s="517"/>
      <c r="BQ29" s="517"/>
      <c r="BR29" s="517"/>
      <c r="BS29" s="517"/>
      <c r="BT29" s="517"/>
      <c r="BU29" s="517"/>
      <c r="BV29" s="517"/>
      <c r="BW29" s="517"/>
      <c r="BX29" s="517"/>
      <c r="BY29" s="517"/>
      <c r="BZ29" s="517"/>
      <c r="CA29" s="517"/>
      <c r="CB29" s="517"/>
      <c r="CC29" s="517"/>
      <c r="CD29" s="517"/>
      <c r="CE29" s="517"/>
      <c r="CF29" s="517"/>
      <c r="CG29" s="517"/>
      <c r="CH29" s="517"/>
      <c r="CI29" s="517"/>
      <c r="CJ29" s="517"/>
      <c r="CK29" s="517"/>
      <c r="CL29" s="517"/>
      <c r="CM29" s="517"/>
      <c r="CN29" s="517"/>
      <c r="CO29" s="517"/>
      <c r="CP29" s="517"/>
    </row>
    <row r="30" spans="1:94" s="518" customFormat="1" ht="15.95" customHeight="1" x14ac:dyDescent="0.2">
      <c r="A30" s="522" t="s">
        <v>1089</v>
      </c>
      <c r="B30" s="544">
        <v>14063032</v>
      </c>
      <c r="C30" s="544">
        <v>9743592</v>
      </c>
      <c r="D30" s="544">
        <v>4376000</v>
      </c>
      <c r="E30" s="545">
        <f t="shared" si="0"/>
        <v>28182624</v>
      </c>
      <c r="F30" s="517"/>
      <c r="G30" s="550"/>
      <c r="H30" s="550"/>
      <c r="I30" s="550"/>
      <c r="J30" s="550"/>
      <c r="K30" s="550"/>
      <c r="L30" s="517"/>
      <c r="M30" s="517"/>
      <c r="N30" s="517"/>
      <c r="O30" s="517"/>
      <c r="P30" s="517"/>
      <c r="Q30" s="517"/>
      <c r="R30" s="517"/>
      <c r="S30" s="517"/>
      <c r="T30" s="517"/>
      <c r="U30" s="517"/>
      <c r="V30" s="517"/>
      <c r="W30" s="517"/>
      <c r="X30" s="517"/>
      <c r="Y30" s="517"/>
      <c r="Z30" s="517"/>
      <c r="AA30" s="517"/>
      <c r="AB30" s="517"/>
      <c r="AC30" s="517"/>
      <c r="AD30" s="517"/>
      <c r="AE30" s="517"/>
      <c r="AF30" s="517"/>
      <c r="AG30" s="517"/>
      <c r="AH30" s="517"/>
      <c r="AI30" s="517"/>
      <c r="AJ30" s="517"/>
      <c r="AK30" s="517"/>
      <c r="AL30" s="517"/>
      <c r="AM30" s="517"/>
      <c r="AN30" s="517"/>
      <c r="AO30" s="517"/>
      <c r="AP30" s="517"/>
      <c r="AQ30" s="517"/>
      <c r="AR30" s="517"/>
      <c r="AS30" s="517"/>
      <c r="AT30" s="517"/>
      <c r="AU30" s="517"/>
      <c r="AV30" s="517"/>
      <c r="AW30" s="517"/>
      <c r="AX30" s="517"/>
      <c r="AY30" s="517"/>
      <c r="AZ30" s="517"/>
      <c r="BA30" s="517"/>
      <c r="BB30" s="517"/>
      <c r="BC30" s="517"/>
      <c r="BD30" s="517"/>
      <c r="BE30" s="517"/>
      <c r="BF30" s="517"/>
      <c r="BG30" s="517"/>
      <c r="BH30" s="517"/>
      <c r="BI30" s="517"/>
      <c r="BJ30" s="517"/>
      <c r="BK30" s="517"/>
      <c r="BL30" s="517"/>
      <c r="BM30" s="517"/>
      <c r="BN30" s="517"/>
      <c r="BO30" s="517"/>
      <c r="BP30" s="517"/>
      <c r="BQ30" s="517"/>
      <c r="BR30" s="517"/>
      <c r="BS30" s="517"/>
      <c r="BT30" s="517"/>
      <c r="BU30" s="517"/>
      <c r="BV30" s="517"/>
      <c r="BW30" s="517"/>
      <c r="BX30" s="517"/>
      <c r="BY30" s="517"/>
      <c r="BZ30" s="517"/>
      <c r="CA30" s="517"/>
      <c r="CB30" s="517"/>
      <c r="CC30" s="517"/>
      <c r="CD30" s="517"/>
      <c r="CE30" s="517"/>
      <c r="CF30" s="517"/>
      <c r="CG30" s="517"/>
      <c r="CH30" s="517"/>
      <c r="CI30" s="517"/>
      <c r="CJ30" s="517"/>
      <c r="CK30" s="517"/>
      <c r="CL30" s="517"/>
      <c r="CM30" s="517"/>
      <c r="CN30" s="517"/>
      <c r="CO30" s="517"/>
      <c r="CP30" s="517"/>
    </row>
    <row r="31" spans="1:94" s="518" customFormat="1" ht="15.95" customHeight="1" x14ac:dyDescent="0.2">
      <c r="A31" s="522" t="s">
        <v>1090</v>
      </c>
      <c r="B31" s="544">
        <v>14063032</v>
      </c>
      <c r="C31" s="544">
        <v>9743592</v>
      </c>
      <c r="D31" s="544">
        <v>4376000</v>
      </c>
      <c r="E31" s="545">
        <f t="shared" si="0"/>
        <v>28182624</v>
      </c>
      <c r="F31" s="517"/>
      <c r="G31" s="550"/>
      <c r="H31" s="550"/>
      <c r="I31" s="550"/>
      <c r="J31" s="550"/>
      <c r="K31" s="550"/>
      <c r="L31" s="517"/>
      <c r="M31" s="517"/>
      <c r="N31" s="517"/>
      <c r="O31" s="517"/>
      <c r="P31" s="517"/>
      <c r="Q31" s="517"/>
      <c r="R31" s="517"/>
      <c r="S31" s="517"/>
      <c r="T31" s="517"/>
      <c r="U31" s="517"/>
      <c r="V31" s="517"/>
      <c r="W31" s="517"/>
      <c r="X31" s="517"/>
      <c r="Y31" s="517"/>
      <c r="Z31" s="517"/>
      <c r="AA31" s="517"/>
      <c r="AB31" s="517"/>
      <c r="AC31" s="517"/>
      <c r="AD31" s="517"/>
      <c r="AE31" s="517"/>
      <c r="AF31" s="517"/>
      <c r="AG31" s="517"/>
      <c r="AH31" s="517"/>
      <c r="AI31" s="517"/>
      <c r="AJ31" s="517"/>
      <c r="AK31" s="517"/>
      <c r="AL31" s="517"/>
      <c r="AM31" s="517"/>
      <c r="AN31" s="517"/>
      <c r="AO31" s="517"/>
      <c r="AP31" s="517"/>
      <c r="AQ31" s="517"/>
      <c r="AR31" s="517"/>
      <c r="AS31" s="517"/>
      <c r="AT31" s="517"/>
      <c r="AU31" s="517"/>
      <c r="AV31" s="517"/>
      <c r="AW31" s="517"/>
      <c r="AX31" s="517"/>
      <c r="AY31" s="517"/>
      <c r="AZ31" s="517"/>
      <c r="BA31" s="517"/>
      <c r="BB31" s="517"/>
      <c r="BC31" s="517"/>
      <c r="BD31" s="517"/>
      <c r="BE31" s="517"/>
      <c r="BF31" s="517"/>
      <c r="BG31" s="517"/>
      <c r="BH31" s="517"/>
      <c r="BI31" s="517"/>
      <c r="BJ31" s="517"/>
      <c r="BK31" s="517"/>
      <c r="BL31" s="517"/>
      <c r="BM31" s="517"/>
      <c r="BN31" s="517"/>
      <c r="BO31" s="517"/>
      <c r="BP31" s="517"/>
      <c r="BQ31" s="517"/>
      <c r="BR31" s="517"/>
      <c r="BS31" s="517"/>
      <c r="BT31" s="517"/>
      <c r="BU31" s="517"/>
      <c r="BV31" s="517"/>
      <c r="BW31" s="517"/>
      <c r="BX31" s="517"/>
      <c r="BY31" s="517"/>
      <c r="BZ31" s="517"/>
      <c r="CA31" s="517"/>
      <c r="CB31" s="517"/>
      <c r="CC31" s="517"/>
      <c r="CD31" s="517"/>
      <c r="CE31" s="517"/>
      <c r="CF31" s="517"/>
      <c r="CG31" s="517"/>
      <c r="CH31" s="517"/>
      <c r="CI31" s="517"/>
      <c r="CJ31" s="517"/>
      <c r="CK31" s="517"/>
      <c r="CL31" s="517"/>
      <c r="CM31" s="517"/>
      <c r="CN31" s="517"/>
      <c r="CO31" s="517"/>
      <c r="CP31" s="517"/>
    </row>
    <row r="32" spans="1:94" s="518" customFormat="1" ht="15.95" customHeight="1" x14ac:dyDescent="0.2">
      <c r="A32" s="522" t="s">
        <v>1091</v>
      </c>
      <c r="B32" s="544">
        <v>14063032</v>
      </c>
      <c r="C32" s="544">
        <v>9743592</v>
      </c>
      <c r="D32" s="544">
        <v>4376000</v>
      </c>
      <c r="E32" s="545">
        <f t="shared" si="0"/>
        <v>28182624</v>
      </c>
      <c r="F32" s="517"/>
      <c r="G32" s="550"/>
      <c r="H32" s="550"/>
      <c r="I32" s="550"/>
      <c r="J32" s="550"/>
      <c r="K32" s="550"/>
      <c r="L32" s="517"/>
      <c r="M32" s="517"/>
      <c r="N32" s="517"/>
      <c r="O32" s="517"/>
      <c r="P32" s="517"/>
      <c r="Q32" s="517"/>
      <c r="R32" s="517"/>
      <c r="S32" s="517"/>
      <c r="T32" s="517"/>
      <c r="U32" s="517"/>
      <c r="V32" s="517"/>
      <c r="W32" s="517"/>
      <c r="X32" s="517"/>
      <c r="Y32" s="517"/>
      <c r="Z32" s="517"/>
      <c r="AA32" s="517"/>
      <c r="AB32" s="517"/>
      <c r="AC32" s="517"/>
      <c r="AD32" s="517"/>
      <c r="AE32" s="517"/>
      <c r="AF32" s="517"/>
      <c r="AG32" s="517"/>
      <c r="AH32" s="517"/>
      <c r="AI32" s="517"/>
      <c r="AJ32" s="517"/>
      <c r="AK32" s="517"/>
      <c r="AL32" s="517"/>
      <c r="AM32" s="517"/>
      <c r="AN32" s="517"/>
      <c r="AO32" s="517"/>
      <c r="AP32" s="517"/>
      <c r="AQ32" s="517"/>
      <c r="AR32" s="517"/>
      <c r="AS32" s="517"/>
      <c r="AT32" s="517"/>
      <c r="AU32" s="517"/>
      <c r="AV32" s="517"/>
      <c r="AW32" s="517"/>
      <c r="AX32" s="517"/>
      <c r="AY32" s="517"/>
      <c r="AZ32" s="517"/>
      <c r="BA32" s="517"/>
      <c r="BB32" s="517"/>
      <c r="BC32" s="517"/>
      <c r="BD32" s="517"/>
      <c r="BE32" s="517"/>
      <c r="BF32" s="517"/>
      <c r="BG32" s="517"/>
      <c r="BH32" s="517"/>
      <c r="BI32" s="517"/>
      <c r="BJ32" s="517"/>
      <c r="BK32" s="517"/>
      <c r="BL32" s="517"/>
      <c r="BM32" s="517"/>
      <c r="BN32" s="517"/>
      <c r="BO32" s="517"/>
      <c r="BP32" s="517"/>
      <c r="BQ32" s="517"/>
      <c r="BR32" s="517"/>
      <c r="BS32" s="517"/>
      <c r="BT32" s="517"/>
      <c r="BU32" s="517"/>
      <c r="BV32" s="517"/>
      <c r="BW32" s="517"/>
      <c r="BX32" s="517"/>
      <c r="BY32" s="517"/>
      <c r="BZ32" s="517"/>
      <c r="CA32" s="517"/>
      <c r="CB32" s="517"/>
      <c r="CC32" s="517"/>
      <c r="CD32" s="517"/>
      <c r="CE32" s="517"/>
      <c r="CF32" s="517"/>
      <c r="CG32" s="517"/>
      <c r="CH32" s="517"/>
      <c r="CI32" s="517"/>
      <c r="CJ32" s="517"/>
      <c r="CK32" s="517"/>
      <c r="CL32" s="517"/>
      <c r="CM32" s="517"/>
      <c r="CN32" s="517"/>
      <c r="CO32" s="517"/>
      <c r="CP32" s="517"/>
    </row>
    <row r="33" spans="1:94" s="518" customFormat="1" ht="15.95" customHeight="1" x14ac:dyDescent="0.2">
      <c r="A33" s="522" t="s">
        <v>1092</v>
      </c>
      <c r="B33" s="544">
        <v>14063032</v>
      </c>
      <c r="C33" s="544">
        <v>9743592</v>
      </c>
      <c r="D33" s="544">
        <v>4376000</v>
      </c>
      <c r="E33" s="545">
        <f t="shared" si="0"/>
        <v>28182624</v>
      </c>
      <c r="F33" s="517"/>
      <c r="G33" s="550"/>
      <c r="H33" s="550"/>
      <c r="I33" s="550"/>
      <c r="J33" s="550"/>
      <c r="K33" s="550"/>
      <c r="L33" s="517"/>
      <c r="M33" s="517"/>
      <c r="N33" s="517"/>
      <c r="O33" s="517"/>
      <c r="P33" s="517"/>
      <c r="Q33" s="517"/>
      <c r="R33" s="517"/>
      <c r="S33" s="517"/>
      <c r="T33" s="517"/>
      <c r="U33" s="517"/>
      <c r="V33" s="517"/>
      <c r="W33" s="517"/>
      <c r="X33" s="517"/>
      <c r="Y33" s="517"/>
      <c r="Z33" s="517"/>
      <c r="AA33" s="517"/>
      <c r="AB33" s="517"/>
      <c r="AC33" s="517"/>
      <c r="AD33" s="517"/>
      <c r="AE33" s="517"/>
      <c r="AF33" s="517"/>
      <c r="AG33" s="517"/>
      <c r="AH33" s="517"/>
      <c r="AI33" s="517"/>
      <c r="AJ33" s="517"/>
      <c r="AK33" s="517"/>
      <c r="AL33" s="517"/>
      <c r="AM33" s="517"/>
      <c r="AN33" s="517"/>
      <c r="AO33" s="517"/>
      <c r="AP33" s="517"/>
      <c r="AQ33" s="517"/>
      <c r="AR33" s="517"/>
      <c r="AS33" s="517"/>
      <c r="AT33" s="517"/>
      <c r="AU33" s="517"/>
      <c r="AV33" s="517"/>
      <c r="AW33" s="517"/>
      <c r="AX33" s="517"/>
      <c r="AY33" s="517"/>
      <c r="AZ33" s="517"/>
      <c r="BA33" s="517"/>
      <c r="BB33" s="517"/>
      <c r="BC33" s="517"/>
      <c r="BD33" s="517"/>
      <c r="BE33" s="517"/>
      <c r="BF33" s="517"/>
      <c r="BG33" s="517"/>
      <c r="BH33" s="517"/>
      <c r="BI33" s="517"/>
      <c r="BJ33" s="517"/>
      <c r="BK33" s="517"/>
      <c r="BL33" s="517"/>
      <c r="BM33" s="517"/>
      <c r="BN33" s="517"/>
      <c r="BO33" s="517"/>
      <c r="BP33" s="517"/>
      <c r="BQ33" s="517"/>
      <c r="BR33" s="517"/>
      <c r="BS33" s="517"/>
      <c r="BT33" s="517"/>
      <c r="BU33" s="517"/>
      <c r="BV33" s="517"/>
      <c r="BW33" s="517"/>
      <c r="BX33" s="517"/>
      <c r="BY33" s="517"/>
      <c r="BZ33" s="517"/>
      <c r="CA33" s="517"/>
      <c r="CB33" s="517"/>
      <c r="CC33" s="517"/>
      <c r="CD33" s="517"/>
      <c r="CE33" s="517"/>
      <c r="CF33" s="517"/>
      <c r="CG33" s="517"/>
      <c r="CH33" s="517"/>
      <c r="CI33" s="517"/>
      <c r="CJ33" s="517"/>
      <c r="CK33" s="517"/>
      <c r="CL33" s="517"/>
      <c r="CM33" s="517"/>
      <c r="CN33" s="517"/>
      <c r="CO33" s="517"/>
      <c r="CP33" s="517"/>
    </row>
    <row r="34" spans="1:94" s="518" customFormat="1" ht="15.95" customHeight="1" x14ac:dyDescent="0.2">
      <c r="A34" s="522" t="s">
        <v>1093</v>
      </c>
      <c r="B34" s="544">
        <v>14063032</v>
      </c>
      <c r="C34" s="544">
        <v>9743592</v>
      </c>
      <c r="D34" s="544">
        <v>4376000</v>
      </c>
      <c r="E34" s="545">
        <f t="shared" si="0"/>
        <v>28182624</v>
      </c>
      <c r="F34" s="517"/>
      <c r="G34" s="550"/>
      <c r="H34" s="550"/>
      <c r="I34" s="550"/>
      <c r="J34" s="550"/>
      <c r="K34" s="550"/>
      <c r="L34" s="517"/>
      <c r="M34" s="517"/>
      <c r="N34" s="517"/>
      <c r="O34" s="517"/>
      <c r="P34" s="517"/>
      <c r="Q34" s="517"/>
      <c r="R34" s="517"/>
      <c r="S34" s="517"/>
      <c r="T34" s="517"/>
      <c r="U34" s="517"/>
      <c r="V34" s="517"/>
      <c r="W34" s="517"/>
      <c r="X34" s="517"/>
      <c r="Y34" s="517"/>
      <c r="Z34" s="517"/>
      <c r="AA34" s="517"/>
      <c r="AB34" s="517"/>
      <c r="AC34" s="517"/>
      <c r="AD34" s="517"/>
      <c r="AE34" s="517"/>
      <c r="AF34" s="517"/>
      <c r="AG34" s="517"/>
      <c r="AH34" s="517"/>
      <c r="AI34" s="517"/>
      <c r="AJ34" s="517"/>
      <c r="AK34" s="517"/>
      <c r="AL34" s="517"/>
      <c r="AM34" s="517"/>
      <c r="AN34" s="517"/>
      <c r="AO34" s="517"/>
      <c r="AP34" s="517"/>
      <c r="AQ34" s="517"/>
      <c r="AR34" s="517"/>
      <c r="AS34" s="517"/>
      <c r="AT34" s="517"/>
      <c r="AU34" s="517"/>
      <c r="AV34" s="517"/>
      <c r="AW34" s="517"/>
      <c r="AX34" s="517"/>
      <c r="AY34" s="517"/>
      <c r="AZ34" s="517"/>
      <c r="BA34" s="517"/>
      <c r="BB34" s="517"/>
      <c r="BC34" s="517"/>
      <c r="BD34" s="517"/>
      <c r="BE34" s="517"/>
      <c r="BF34" s="517"/>
      <c r="BG34" s="517"/>
      <c r="BH34" s="517"/>
      <c r="BI34" s="517"/>
      <c r="BJ34" s="517"/>
      <c r="BK34" s="517"/>
      <c r="BL34" s="517"/>
      <c r="BM34" s="517"/>
      <c r="BN34" s="517"/>
      <c r="BO34" s="517"/>
      <c r="BP34" s="517"/>
      <c r="BQ34" s="517"/>
      <c r="BR34" s="517"/>
      <c r="BS34" s="517"/>
      <c r="BT34" s="517"/>
      <c r="BU34" s="517"/>
      <c r="BV34" s="517"/>
      <c r="BW34" s="517"/>
      <c r="BX34" s="517"/>
      <c r="BY34" s="517"/>
      <c r="BZ34" s="517"/>
      <c r="CA34" s="517"/>
      <c r="CB34" s="517"/>
      <c r="CC34" s="517"/>
      <c r="CD34" s="517"/>
      <c r="CE34" s="517"/>
      <c r="CF34" s="517"/>
      <c r="CG34" s="517"/>
      <c r="CH34" s="517"/>
      <c r="CI34" s="517"/>
      <c r="CJ34" s="517"/>
      <c r="CK34" s="517"/>
      <c r="CL34" s="517"/>
      <c r="CM34" s="517"/>
      <c r="CN34" s="517"/>
      <c r="CO34" s="517"/>
      <c r="CP34" s="517"/>
    </row>
    <row r="35" spans="1:94" s="518" customFormat="1" ht="15.95" customHeight="1" x14ac:dyDescent="0.2">
      <c r="A35" s="522" t="s">
        <v>1094</v>
      </c>
      <c r="B35" s="544">
        <v>14063032</v>
      </c>
      <c r="C35" s="544">
        <v>9743592</v>
      </c>
      <c r="D35" s="544">
        <v>4376000</v>
      </c>
      <c r="E35" s="545">
        <f t="shared" si="0"/>
        <v>28182624</v>
      </c>
      <c r="F35" s="517"/>
      <c r="G35" s="550"/>
      <c r="H35" s="550"/>
      <c r="I35" s="550"/>
      <c r="J35" s="550"/>
      <c r="K35" s="550"/>
      <c r="L35" s="517"/>
      <c r="M35" s="517"/>
      <c r="N35" s="517"/>
      <c r="O35" s="517"/>
      <c r="P35" s="517"/>
      <c r="Q35" s="517"/>
      <c r="R35" s="517"/>
      <c r="S35" s="517"/>
      <c r="T35" s="517"/>
      <c r="U35" s="517"/>
      <c r="V35" s="517"/>
      <c r="W35" s="517"/>
      <c r="X35" s="517"/>
      <c r="Y35" s="517"/>
      <c r="Z35" s="517"/>
      <c r="AA35" s="517"/>
      <c r="AB35" s="517"/>
      <c r="AC35" s="517"/>
      <c r="AD35" s="517"/>
      <c r="AE35" s="517"/>
      <c r="AF35" s="517"/>
      <c r="AG35" s="517"/>
      <c r="AH35" s="517"/>
      <c r="AI35" s="517"/>
      <c r="AJ35" s="517"/>
      <c r="AK35" s="517"/>
      <c r="AL35" s="517"/>
      <c r="AM35" s="517"/>
      <c r="AN35" s="517"/>
      <c r="AO35" s="517"/>
      <c r="AP35" s="517"/>
      <c r="AQ35" s="517"/>
      <c r="AR35" s="517"/>
      <c r="AS35" s="517"/>
      <c r="AT35" s="517"/>
      <c r="AU35" s="517"/>
      <c r="AV35" s="517"/>
      <c r="AW35" s="517"/>
      <c r="AX35" s="517"/>
      <c r="AY35" s="517"/>
      <c r="AZ35" s="517"/>
      <c r="BA35" s="517"/>
      <c r="BB35" s="517"/>
      <c r="BC35" s="517"/>
      <c r="BD35" s="517"/>
      <c r="BE35" s="517"/>
      <c r="BF35" s="517"/>
      <c r="BG35" s="517"/>
      <c r="BH35" s="517"/>
      <c r="BI35" s="517"/>
      <c r="BJ35" s="517"/>
      <c r="BK35" s="517"/>
      <c r="BL35" s="517"/>
      <c r="BM35" s="517"/>
      <c r="BN35" s="517"/>
      <c r="BO35" s="517"/>
      <c r="BP35" s="517"/>
      <c r="BQ35" s="517"/>
      <c r="BR35" s="517"/>
      <c r="BS35" s="517"/>
      <c r="BT35" s="517"/>
      <c r="BU35" s="517"/>
      <c r="BV35" s="517"/>
      <c r="BW35" s="517"/>
      <c r="BX35" s="517"/>
      <c r="BY35" s="517"/>
      <c r="BZ35" s="517"/>
      <c r="CA35" s="517"/>
      <c r="CB35" s="517"/>
      <c r="CC35" s="517"/>
      <c r="CD35" s="517"/>
      <c r="CE35" s="517"/>
      <c r="CF35" s="517"/>
      <c r="CG35" s="517"/>
      <c r="CH35" s="517"/>
      <c r="CI35" s="517"/>
      <c r="CJ35" s="517"/>
      <c r="CK35" s="517"/>
      <c r="CL35" s="517"/>
      <c r="CM35" s="517"/>
      <c r="CN35" s="517"/>
      <c r="CO35" s="517"/>
      <c r="CP35" s="517"/>
    </row>
    <row r="36" spans="1:94" s="518" customFormat="1" ht="15.95" customHeight="1" x14ac:dyDescent="0.2">
      <c r="A36" s="522" t="s">
        <v>1095</v>
      </c>
      <c r="B36" s="544">
        <v>14063032</v>
      </c>
      <c r="C36" s="544">
        <v>9743592</v>
      </c>
      <c r="D36" s="544">
        <v>4376000</v>
      </c>
      <c r="E36" s="545">
        <f t="shared" si="0"/>
        <v>28182624</v>
      </c>
      <c r="F36" s="517"/>
      <c r="G36" s="550"/>
      <c r="H36" s="550"/>
      <c r="I36" s="550"/>
      <c r="J36" s="550"/>
      <c r="K36" s="550"/>
      <c r="L36" s="517"/>
      <c r="M36" s="517"/>
      <c r="N36" s="517"/>
      <c r="O36" s="517"/>
      <c r="P36" s="517"/>
      <c r="Q36" s="517"/>
      <c r="R36" s="517"/>
      <c r="S36" s="517"/>
      <c r="T36" s="517"/>
      <c r="U36" s="517"/>
      <c r="V36" s="517"/>
      <c r="W36" s="517"/>
      <c r="X36" s="517"/>
      <c r="Y36" s="517"/>
      <c r="Z36" s="517"/>
      <c r="AA36" s="517"/>
      <c r="AB36" s="517"/>
      <c r="AC36" s="517"/>
      <c r="AD36" s="517"/>
      <c r="AE36" s="517"/>
      <c r="AF36" s="517"/>
      <c r="AG36" s="517"/>
      <c r="AH36" s="517"/>
      <c r="AI36" s="517"/>
      <c r="AJ36" s="517"/>
      <c r="AK36" s="517"/>
      <c r="AL36" s="517"/>
      <c r="AM36" s="517"/>
      <c r="AN36" s="517"/>
      <c r="AO36" s="517"/>
      <c r="AP36" s="517"/>
      <c r="AQ36" s="517"/>
      <c r="AR36" s="517"/>
      <c r="AS36" s="517"/>
      <c r="AT36" s="517"/>
      <c r="AU36" s="517"/>
      <c r="AV36" s="517"/>
      <c r="AW36" s="517"/>
      <c r="AX36" s="517"/>
      <c r="AY36" s="517"/>
      <c r="AZ36" s="517"/>
      <c r="BA36" s="517"/>
      <c r="BB36" s="517"/>
      <c r="BC36" s="517"/>
      <c r="BD36" s="517"/>
      <c r="BE36" s="517"/>
      <c r="BF36" s="517"/>
      <c r="BG36" s="517"/>
      <c r="BH36" s="517"/>
      <c r="BI36" s="517"/>
      <c r="BJ36" s="517"/>
      <c r="BK36" s="517"/>
      <c r="BL36" s="517"/>
      <c r="BM36" s="517"/>
      <c r="BN36" s="517"/>
      <c r="BO36" s="517"/>
      <c r="BP36" s="517"/>
      <c r="BQ36" s="517"/>
      <c r="BR36" s="517"/>
      <c r="BS36" s="517"/>
      <c r="BT36" s="517"/>
      <c r="BU36" s="517"/>
      <c r="BV36" s="517"/>
      <c r="BW36" s="517"/>
      <c r="BX36" s="517"/>
      <c r="BY36" s="517"/>
      <c r="BZ36" s="517"/>
      <c r="CA36" s="517"/>
      <c r="CB36" s="517"/>
      <c r="CC36" s="517"/>
      <c r="CD36" s="517"/>
      <c r="CE36" s="517"/>
      <c r="CF36" s="517"/>
      <c r="CG36" s="517"/>
      <c r="CH36" s="517"/>
      <c r="CI36" s="517"/>
      <c r="CJ36" s="517"/>
      <c r="CK36" s="517"/>
      <c r="CL36" s="517"/>
      <c r="CM36" s="517"/>
      <c r="CN36" s="517"/>
      <c r="CO36" s="517"/>
      <c r="CP36" s="517"/>
    </row>
    <row r="37" spans="1:94" s="518" customFormat="1" ht="15.95" customHeight="1" x14ac:dyDescent="0.2">
      <c r="A37" s="522" t="s">
        <v>1096</v>
      </c>
      <c r="B37" s="544">
        <v>14063032</v>
      </c>
      <c r="C37" s="544">
        <v>9743592</v>
      </c>
      <c r="D37" s="544">
        <v>4376000</v>
      </c>
      <c r="E37" s="545">
        <f t="shared" si="0"/>
        <v>28182624</v>
      </c>
      <c r="F37" s="517"/>
      <c r="G37" s="550"/>
      <c r="H37" s="550"/>
      <c r="I37" s="550"/>
      <c r="J37" s="550"/>
      <c r="K37" s="550"/>
      <c r="L37" s="517"/>
      <c r="M37" s="517"/>
      <c r="N37" s="517"/>
      <c r="O37" s="517"/>
      <c r="P37" s="517"/>
      <c r="Q37" s="517"/>
      <c r="R37" s="517"/>
      <c r="S37" s="517"/>
      <c r="T37" s="517"/>
      <c r="U37" s="517"/>
      <c r="V37" s="517"/>
      <c r="W37" s="517"/>
      <c r="X37" s="517"/>
      <c r="Y37" s="517"/>
      <c r="Z37" s="517"/>
      <c r="AA37" s="517"/>
      <c r="AB37" s="517"/>
      <c r="AC37" s="517"/>
      <c r="AD37" s="517"/>
      <c r="AE37" s="517"/>
      <c r="AF37" s="517"/>
      <c r="AG37" s="517"/>
      <c r="AH37" s="517"/>
      <c r="AI37" s="517"/>
      <c r="AJ37" s="517"/>
      <c r="AK37" s="517"/>
      <c r="AL37" s="517"/>
      <c r="AM37" s="517"/>
      <c r="AN37" s="517"/>
      <c r="AO37" s="517"/>
      <c r="AP37" s="517"/>
      <c r="AQ37" s="517"/>
      <c r="AR37" s="517"/>
      <c r="AS37" s="517"/>
      <c r="AT37" s="517"/>
      <c r="AU37" s="517"/>
      <c r="AV37" s="517"/>
      <c r="AW37" s="517"/>
      <c r="AX37" s="517"/>
      <c r="AY37" s="517"/>
      <c r="AZ37" s="517"/>
      <c r="BA37" s="517"/>
      <c r="BB37" s="517"/>
      <c r="BC37" s="517"/>
      <c r="BD37" s="517"/>
      <c r="BE37" s="517"/>
      <c r="BF37" s="517"/>
      <c r="BG37" s="517"/>
      <c r="BH37" s="517"/>
      <c r="BI37" s="517"/>
      <c r="BJ37" s="517"/>
      <c r="BK37" s="517"/>
      <c r="BL37" s="517"/>
      <c r="BM37" s="517"/>
      <c r="BN37" s="517"/>
      <c r="BO37" s="517"/>
      <c r="BP37" s="517"/>
      <c r="BQ37" s="517"/>
      <c r="BR37" s="517"/>
      <c r="BS37" s="517"/>
      <c r="BT37" s="517"/>
      <c r="BU37" s="517"/>
      <c r="BV37" s="517"/>
      <c r="BW37" s="517"/>
      <c r="BX37" s="517"/>
      <c r="BY37" s="517"/>
      <c r="BZ37" s="517"/>
      <c r="CA37" s="517"/>
      <c r="CB37" s="517"/>
      <c r="CC37" s="517"/>
      <c r="CD37" s="517"/>
      <c r="CE37" s="517"/>
      <c r="CF37" s="517"/>
      <c r="CG37" s="517"/>
      <c r="CH37" s="517"/>
      <c r="CI37" s="517"/>
      <c r="CJ37" s="517"/>
      <c r="CK37" s="517"/>
      <c r="CL37" s="517"/>
      <c r="CM37" s="517"/>
      <c r="CN37" s="517"/>
      <c r="CO37" s="517"/>
      <c r="CP37" s="517"/>
    </row>
    <row r="38" spans="1:94" s="518" customFormat="1" ht="15.95" customHeight="1" x14ac:dyDescent="0.2">
      <c r="A38" s="522" t="s">
        <v>1097</v>
      </c>
      <c r="B38" s="544">
        <v>14063032</v>
      </c>
      <c r="C38" s="544">
        <v>9743592</v>
      </c>
      <c r="D38" s="544">
        <v>4376000</v>
      </c>
      <c r="E38" s="545">
        <f t="shared" si="0"/>
        <v>28182624</v>
      </c>
      <c r="F38" s="517"/>
      <c r="G38" s="550"/>
      <c r="H38" s="550"/>
      <c r="I38" s="550"/>
      <c r="J38" s="550"/>
      <c r="K38" s="550"/>
      <c r="L38" s="517"/>
      <c r="M38" s="517"/>
      <c r="N38" s="517"/>
      <c r="O38" s="517"/>
      <c r="P38" s="517"/>
      <c r="Q38" s="517"/>
      <c r="R38" s="517"/>
      <c r="S38" s="517"/>
      <c r="T38" s="517"/>
      <c r="U38" s="517"/>
      <c r="V38" s="517"/>
      <c r="W38" s="517"/>
      <c r="X38" s="517"/>
      <c r="Y38" s="517"/>
      <c r="Z38" s="517"/>
      <c r="AA38" s="517"/>
      <c r="AB38" s="517"/>
      <c r="AC38" s="517"/>
      <c r="AD38" s="517"/>
      <c r="AE38" s="517"/>
      <c r="AF38" s="517"/>
      <c r="AG38" s="517"/>
      <c r="AH38" s="517"/>
      <c r="AI38" s="517"/>
      <c r="AJ38" s="517"/>
      <c r="AK38" s="517"/>
      <c r="AL38" s="517"/>
      <c r="AM38" s="517"/>
      <c r="AN38" s="517"/>
      <c r="AO38" s="517"/>
      <c r="AP38" s="517"/>
      <c r="AQ38" s="517"/>
      <c r="AR38" s="517"/>
      <c r="AS38" s="517"/>
      <c r="AT38" s="517"/>
      <c r="AU38" s="517"/>
      <c r="AV38" s="517"/>
      <c r="AW38" s="517"/>
      <c r="AX38" s="517"/>
      <c r="AY38" s="517"/>
      <c r="AZ38" s="517"/>
      <c r="BA38" s="517"/>
      <c r="BB38" s="517"/>
      <c r="BC38" s="517"/>
      <c r="BD38" s="517"/>
      <c r="BE38" s="517"/>
      <c r="BF38" s="517"/>
      <c r="BG38" s="517"/>
      <c r="BH38" s="517"/>
      <c r="BI38" s="517"/>
      <c r="BJ38" s="517"/>
      <c r="BK38" s="517"/>
      <c r="BL38" s="517"/>
      <c r="BM38" s="517"/>
      <c r="BN38" s="517"/>
      <c r="BO38" s="517"/>
      <c r="BP38" s="517"/>
      <c r="BQ38" s="517"/>
      <c r="BR38" s="517"/>
      <c r="BS38" s="517"/>
      <c r="BT38" s="517"/>
      <c r="BU38" s="517"/>
      <c r="BV38" s="517"/>
      <c r="BW38" s="517"/>
      <c r="BX38" s="517"/>
      <c r="BY38" s="517"/>
      <c r="BZ38" s="517"/>
      <c r="CA38" s="517"/>
      <c r="CB38" s="517"/>
      <c r="CC38" s="517"/>
      <c r="CD38" s="517"/>
      <c r="CE38" s="517"/>
      <c r="CF38" s="517"/>
      <c r="CG38" s="517"/>
      <c r="CH38" s="517"/>
      <c r="CI38" s="517"/>
      <c r="CJ38" s="517"/>
      <c r="CK38" s="517"/>
      <c r="CL38" s="517"/>
      <c r="CM38" s="517"/>
      <c r="CN38" s="517"/>
      <c r="CO38" s="517"/>
      <c r="CP38" s="517"/>
    </row>
    <row r="39" spans="1:94" s="518" customFormat="1" ht="15.95" customHeight="1" x14ac:dyDescent="0.2">
      <c r="A39" s="522" t="s">
        <v>1098</v>
      </c>
      <c r="B39" s="544">
        <v>14063032</v>
      </c>
      <c r="C39" s="544">
        <v>9743592</v>
      </c>
      <c r="D39" s="544">
        <v>4376000</v>
      </c>
      <c r="E39" s="545">
        <f t="shared" si="0"/>
        <v>28182624</v>
      </c>
      <c r="F39" s="517"/>
      <c r="G39" s="550"/>
      <c r="H39" s="550"/>
      <c r="I39" s="550"/>
      <c r="J39" s="550"/>
      <c r="K39" s="550"/>
      <c r="L39" s="517"/>
      <c r="M39" s="517"/>
      <c r="N39" s="517"/>
      <c r="O39" s="517"/>
      <c r="P39" s="517"/>
      <c r="Q39" s="517"/>
      <c r="R39" s="517"/>
      <c r="S39" s="517"/>
      <c r="T39" s="517"/>
      <c r="U39" s="517"/>
      <c r="V39" s="517"/>
      <c r="W39" s="517"/>
      <c r="X39" s="517"/>
      <c r="Y39" s="517"/>
      <c r="Z39" s="517"/>
      <c r="AA39" s="517"/>
      <c r="AB39" s="517"/>
      <c r="AC39" s="517"/>
      <c r="AD39" s="517"/>
      <c r="AE39" s="517"/>
      <c r="AF39" s="517"/>
      <c r="AG39" s="517"/>
      <c r="AH39" s="517"/>
      <c r="AI39" s="517"/>
      <c r="AJ39" s="517"/>
      <c r="AK39" s="517"/>
      <c r="AL39" s="517"/>
      <c r="AM39" s="517"/>
      <c r="AN39" s="517"/>
      <c r="AO39" s="517"/>
      <c r="AP39" s="517"/>
      <c r="AQ39" s="517"/>
      <c r="AR39" s="517"/>
      <c r="AS39" s="517"/>
      <c r="AT39" s="517"/>
      <c r="AU39" s="517"/>
      <c r="AV39" s="517"/>
      <c r="AW39" s="517"/>
      <c r="AX39" s="517"/>
      <c r="AY39" s="517"/>
      <c r="AZ39" s="517"/>
      <c r="BA39" s="517"/>
      <c r="BB39" s="517"/>
      <c r="BC39" s="517"/>
      <c r="BD39" s="517"/>
      <c r="BE39" s="517"/>
      <c r="BF39" s="517"/>
      <c r="BG39" s="517"/>
      <c r="BH39" s="517"/>
      <c r="BI39" s="517"/>
      <c r="BJ39" s="517"/>
      <c r="BK39" s="517"/>
      <c r="BL39" s="517"/>
      <c r="BM39" s="517"/>
      <c r="BN39" s="517"/>
      <c r="BO39" s="517"/>
      <c r="BP39" s="517"/>
      <c r="BQ39" s="517"/>
      <c r="BR39" s="517"/>
      <c r="BS39" s="517"/>
      <c r="BT39" s="517"/>
      <c r="BU39" s="517"/>
      <c r="BV39" s="517"/>
      <c r="BW39" s="517"/>
      <c r="BX39" s="517"/>
      <c r="BY39" s="517"/>
      <c r="BZ39" s="517"/>
      <c r="CA39" s="517"/>
      <c r="CB39" s="517"/>
      <c r="CC39" s="517"/>
      <c r="CD39" s="517"/>
      <c r="CE39" s="517"/>
      <c r="CF39" s="517"/>
      <c r="CG39" s="517"/>
      <c r="CH39" s="517"/>
      <c r="CI39" s="517"/>
      <c r="CJ39" s="517"/>
      <c r="CK39" s="517"/>
      <c r="CL39" s="517"/>
      <c r="CM39" s="517"/>
      <c r="CN39" s="517"/>
      <c r="CO39" s="517"/>
      <c r="CP39" s="517"/>
    </row>
    <row r="40" spans="1:94" s="518" customFormat="1" ht="15.95" customHeight="1" x14ac:dyDescent="0.2">
      <c r="A40" s="522" t="s">
        <v>1099</v>
      </c>
      <c r="B40" s="544">
        <v>14063032</v>
      </c>
      <c r="C40" s="544">
        <v>9743592</v>
      </c>
      <c r="D40" s="544">
        <v>4376000</v>
      </c>
      <c r="E40" s="545">
        <f t="shared" si="0"/>
        <v>28182624</v>
      </c>
      <c r="F40" s="517"/>
      <c r="G40" s="550"/>
      <c r="H40" s="550"/>
      <c r="I40" s="550"/>
      <c r="J40" s="550"/>
      <c r="K40" s="550"/>
      <c r="L40" s="517"/>
      <c r="M40" s="517"/>
      <c r="N40" s="517"/>
      <c r="O40" s="517"/>
      <c r="P40" s="517"/>
      <c r="Q40" s="517"/>
      <c r="R40" s="517"/>
      <c r="S40" s="517"/>
      <c r="T40" s="517"/>
      <c r="U40" s="517"/>
      <c r="V40" s="517"/>
      <c r="W40" s="517"/>
      <c r="X40" s="517"/>
      <c r="Y40" s="517"/>
      <c r="Z40" s="517"/>
      <c r="AA40" s="517"/>
      <c r="AB40" s="517"/>
      <c r="AC40" s="517"/>
      <c r="AD40" s="517"/>
      <c r="AE40" s="517"/>
      <c r="AF40" s="517"/>
      <c r="AG40" s="517"/>
      <c r="AH40" s="517"/>
      <c r="AI40" s="517"/>
      <c r="AJ40" s="517"/>
      <c r="AK40" s="517"/>
      <c r="AL40" s="517"/>
      <c r="AM40" s="517"/>
      <c r="AN40" s="517"/>
      <c r="AO40" s="517"/>
      <c r="AP40" s="517"/>
      <c r="AQ40" s="517"/>
      <c r="AR40" s="517"/>
      <c r="AS40" s="517"/>
      <c r="AT40" s="517"/>
      <c r="AU40" s="517"/>
      <c r="AV40" s="517"/>
      <c r="AW40" s="517"/>
      <c r="AX40" s="517"/>
      <c r="AY40" s="517"/>
      <c r="AZ40" s="517"/>
      <c r="BA40" s="517"/>
      <c r="BB40" s="517"/>
      <c r="BC40" s="517"/>
      <c r="BD40" s="517"/>
      <c r="BE40" s="517"/>
      <c r="BF40" s="517"/>
      <c r="BG40" s="517"/>
      <c r="BH40" s="517"/>
      <c r="BI40" s="517"/>
      <c r="BJ40" s="517"/>
      <c r="BK40" s="517"/>
      <c r="BL40" s="517"/>
      <c r="BM40" s="517"/>
      <c r="BN40" s="517"/>
      <c r="BO40" s="517"/>
      <c r="BP40" s="517"/>
      <c r="BQ40" s="517"/>
      <c r="BR40" s="517"/>
      <c r="BS40" s="517"/>
      <c r="BT40" s="517"/>
      <c r="BU40" s="517"/>
      <c r="BV40" s="517"/>
      <c r="BW40" s="517"/>
      <c r="BX40" s="517"/>
      <c r="BY40" s="517"/>
      <c r="BZ40" s="517"/>
      <c r="CA40" s="517"/>
      <c r="CB40" s="517"/>
      <c r="CC40" s="517"/>
      <c r="CD40" s="517"/>
      <c r="CE40" s="517"/>
      <c r="CF40" s="517"/>
      <c r="CG40" s="517"/>
      <c r="CH40" s="517"/>
      <c r="CI40" s="517"/>
      <c r="CJ40" s="517"/>
      <c r="CK40" s="517"/>
      <c r="CL40" s="517"/>
      <c r="CM40" s="517"/>
      <c r="CN40" s="517"/>
      <c r="CO40" s="517"/>
      <c r="CP40" s="517"/>
    </row>
    <row r="41" spans="1:94" s="518" customFormat="1" ht="15.95" customHeight="1" x14ac:dyDescent="0.2">
      <c r="A41" s="522" t="s">
        <v>1100</v>
      </c>
      <c r="B41" s="544">
        <v>7031547</v>
      </c>
      <c r="C41" s="544">
        <v>9743629</v>
      </c>
      <c r="D41" s="544">
        <v>4334633</v>
      </c>
      <c r="E41" s="545">
        <f t="shared" si="0"/>
        <v>21109809</v>
      </c>
      <c r="F41" s="517"/>
      <c r="G41" s="550"/>
      <c r="H41" s="550"/>
      <c r="I41" s="550"/>
      <c r="J41" s="550"/>
      <c r="K41" s="550"/>
      <c r="L41" s="517"/>
      <c r="M41" s="517"/>
      <c r="N41" s="517"/>
      <c r="O41" s="517"/>
      <c r="P41" s="517"/>
      <c r="Q41" s="517"/>
      <c r="R41" s="517"/>
      <c r="S41" s="517"/>
      <c r="T41" s="517"/>
      <c r="U41" s="517"/>
      <c r="V41" s="517"/>
      <c r="W41" s="517"/>
      <c r="X41" s="517"/>
      <c r="Y41" s="517"/>
      <c r="Z41" s="517"/>
      <c r="AA41" s="517"/>
      <c r="AB41" s="517"/>
      <c r="AC41" s="517"/>
      <c r="AD41" s="517"/>
      <c r="AE41" s="517"/>
      <c r="AF41" s="517"/>
      <c r="AG41" s="517"/>
      <c r="AH41" s="517"/>
      <c r="AI41" s="517"/>
      <c r="AJ41" s="517"/>
      <c r="AK41" s="517"/>
      <c r="AL41" s="517"/>
      <c r="AM41" s="517"/>
      <c r="AN41" s="517"/>
      <c r="AO41" s="517"/>
      <c r="AP41" s="517"/>
      <c r="AQ41" s="517"/>
      <c r="AR41" s="517"/>
      <c r="AS41" s="517"/>
      <c r="AT41" s="517"/>
      <c r="AU41" s="517"/>
      <c r="AV41" s="517"/>
      <c r="AW41" s="517"/>
      <c r="AX41" s="517"/>
      <c r="AY41" s="517"/>
      <c r="AZ41" s="517"/>
      <c r="BA41" s="517"/>
      <c r="BB41" s="517"/>
      <c r="BC41" s="517"/>
      <c r="BD41" s="517"/>
      <c r="BE41" s="517"/>
      <c r="BF41" s="517"/>
      <c r="BG41" s="517"/>
      <c r="BH41" s="517"/>
      <c r="BI41" s="517"/>
      <c r="BJ41" s="517"/>
      <c r="BK41" s="517"/>
      <c r="BL41" s="517"/>
      <c r="BM41" s="517"/>
      <c r="BN41" s="517"/>
      <c r="BO41" s="517"/>
      <c r="BP41" s="517"/>
      <c r="BQ41" s="517"/>
      <c r="BR41" s="517"/>
      <c r="BS41" s="517"/>
      <c r="BT41" s="517"/>
      <c r="BU41" s="517"/>
      <c r="BV41" s="517"/>
      <c r="BW41" s="517"/>
      <c r="BX41" s="517"/>
      <c r="BY41" s="517"/>
      <c r="BZ41" s="517"/>
      <c r="CA41" s="517"/>
      <c r="CB41" s="517"/>
      <c r="CC41" s="517"/>
      <c r="CD41" s="517"/>
      <c r="CE41" s="517"/>
      <c r="CF41" s="517"/>
      <c r="CG41" s="517"/>
      <c r="CH41" s="517"/>
      <c r="CI41" s="517"/>
      <c r="CJ41" s="517"/>
      <c r="CK41" s="517"/>
      <c r="CL41" s="517"/>
      <c r="CM41" s="517"/>
      <c r="CN41" s="517"/>
      <c r="CO41" s="517"/>
      <c r="CP41" s="517"/>
    </row>
    <row r="42" spans="1:94" s="518" customFormat="1" ht="21" customHeight="1" thickBot="1" x14ac:dyDescent="0.25">
      <c r="A42" s="551" t="s">
        <v>1257</v>
      </c>
      <c r="B42" s="552">
        <f>SUM(B24:B41)</f>
        <v>246103091</v>
      </c>
      <c r="C42" s="552">
        <f>SUM(C24:C41)</f>
        <v>175384693</v>
      </c>
      <c r="D42" s="552">
        <f>SUM(D24:D41)</f>
        <v>78726633</v>
      </c>
      <c r="E42" s="552">
        <f>SUM(E24:E41)</f>
        <v>500214417</v>
      </c>
      <c r="F42" s="517"/>
      <c r="G42" s="550"/>
      <c r="H42" s="550"/>
      <c r="I42" s="550"/>
      <c r="J42" s="550"/>
      <c r="K42" s="550"/>
      <c r="L42" s="517"/>
      <c r="M42" s="517"/>
      <c r="N42" s="517"/>
      <c r="O42" s="517"/>
      <c r="P42" s="517"/>
      <c r="Q42" s="517"/>
      <c r="R42" s="517"/>
      <c r="S42" s="517"/>
      <c r="T42" s="517"/>
      <c r="U42" s="517"/>
      <c r="V42" s="517"/>
      <c r="W42" s="517"/>
      <c r="X42" s="517"/>
      <c r="Y42" s="517"/>
      <c r="Z42" s="517"/>
      <c r="AA42" s="517"/>
      <c r="AB42" s="517"/>
      <c r="AC42" s="517"/>
      <c r="AD42" s="517"/>
      <c r="AE42" s="517"/>
      <c r="AF42" s="517"/>
      <c r="AG42" s="517"/>
      <c r="AH42" s="517"/>
      <c r="AI42" s="517"/>
      <c r="AJ42" s="517"/>
      <c r="AK42" s="517"/>
      <c r="AL42" s="517"/>
      <c r="AM42" s="517"/>
      <c r="AN42" s="517"/>
      <c r="AO42" s="517"/>
      <c r="AP42" s="517"/>
      <c r="AQ42" s="517"/>
      <c r="AR42" s="517"/>
      <c r="AS42" s="517"/>
      <c r="AT42" s="517"/>
      <c r="AU42" s="517"/>
      <c r="AV42" s="517"/>
      <c r="AW42" s="517"/>
      <c r="AX42" s="517"/>
      <c r="AY42" s="517"/>
      <c r="AZ42" s="517"/>
      <c r="BA42" s="517"/>
      <c r="BB42" s="517"/>
      <c r="BC42" s="517"/>
      <c r="BD42" s="517"/>
      <c r="BE42" s="517"/>
      <c r="BF42" s="517"/>
      <c r="BG42" s="517"/>
      <c r="BH42" s="517"/>
      <c r="BI42" s="517"/>
      <c r="BJ42" s="517"/>
      <c r="BK42" s="517"/>
      <c r="BL42" s="517"/>
      <c r="BM42" s="517"/>
      <c r="BN42" s="517"/>
      <c r="BO42" s="517"/>
      <c r="BP42" s="517"/>
      <c r="BQ42" s="517"/>
      <c r="BR42" s="517"/>
      <c r="BS42" s="517"/>
      <c r="BT42" s="517"/>
      <c r="BU42" s="517"/>
      <c r="BV42" s="517"/>
      <c r="BW42" s="517"/>
      <c r="BX42" s="517"/>
      <c r="BY42" s="517"/>
      <c r="BZ42" s="517"/>
      <c r="CA42" s="517"/>
      <c r="CB42" s="517"/>
      <c r="CC42" s="517"/>
      <c r="CD42" s="517"/>
      <c r="CE42" s="517"/>
      <c r="CF42" s="517"/>
      <c r="CG42" s="517"/>
      <c r="CH42" s="517"/>
      <c r="CI42" s="517"/>
      <c r="CJ42" s="517"/>
      <c r="CK42" s="517"/>
      <c r="CL42" s="517"/>
      <c r="CM42" s="517"/>
      <c r="CN42" s="517"/>
      <c r="CO42" s="517"/>
      <c r="CP42" s="517"/>
    </row>
    <row r="43" spans="1:94" s="518" customFormat="1" ht="15.95" customHeight="1" thickTop="1" thickBot="1" x14ac:dyDescent="0.25">
      <c r="A43" s="553" t="s">
        <v>1258</v>
      </c>
      <c r="B43" s="554">
        <f>+B42</f>
        <v>246103091</v>
      </c>
      <c r="C43" s="554">
        <f>+C42</f>
        <v>175384693</v>
      </c>
      <c r="D43" s="554">
        <f>+D42</f>
        <v>78726633</v>
      </c>
      <c r="E43" s="554">
        <f>SUM(B43:D43)</f>
        <v>500214417</v>
      </c>
      <c r="F43" s="517"/>
      <c r="G43" s="550"/>
      <c r="H43" s="550"/>
      <c r="I43" s="550"/>
      <c r="J43" s="550"/>
      <c r="K43" s="550"/>
      <c r="L43" s="517"/>
      <c r="M43" s="517"/>
      <c r="N43" s="517"/>
      <c r="O43" s="517"/>
      <c r="P43" s="517"/>
      <c r="Q43" s="517"/>
      <c r="R43" s="517"/>
      <c r="S43" s="517"/>
      <c r="T43" s="517"/>
      <c r="U43" s="517"/>
      <c r="V43" s="517"/>
      <c r="W43" s="517"/>
      <c r="X43" s="517"/>
      <c r="Y43" s="517"/>
      <c r="Z43" s="517"/>
      <c r="AA43" s="517"/>
      <c r="AB43" s="517"/>
      <c r="AC43" s="517"/>
      <c r="AD43" s="517"/>
      <c r="AE43" s="517"/>
      <c r="AF43" s="517"/>
      <c r="AG43" s="517"/>
      <c r="AH43" s="517"/>
      <c r="AI43" s="517"/>
      <c r="AJ43" s="517"/>
      <c r="AK43" s="517"/>
      <c r="AL43" s="517"/>
      <c r="AM43" s="517"/>
      <c r="AN43" s="517"/>
      <c r="AO43" s="517"/>
      <c r="AP43" s="517"/>
      <c r="AQ43" s="517"/>
      <c r="AR43" s="517"/>
      <c r="AS43" s="517"/>
      <c r="AT43" s="517"/>
      <c r="AU43" s="517"/>
      <c r="AV43" s="517"/>
      <c r="AW43" s="517"/>
      <c r="AX43" s="517"/>
      <c r="AY43" s="517"/>
      <c r="AZ43" s="517"/>
      <c r="BA43" s="517"/>
      <c r="BB43" s="517"/>
      <c r="BC43" s="517"/>
      <c r="BD43" s="517"/>
      <c r="BE43" s="517"/>
      <c r="BF43" s="517"/>
      <c r="BG43" s="517"/>
      <c r="BH43" s="517"/>
      <c r="BI43" s="517"/>
      <c r="BJ43" s="517"/>
      <c r="BK43" s="517"/>
      <c r="BL43" s="517"/>
      <c r="BM43" s="517"/>
      <c r="BN43" s="517"/>
      <c r="BO43" s="517"/>
      <c r="BP43" s="517"/>
      <c r="BQ43" s="517"/>
      <c r="BR43" s="517"/>
      <c r="BS43" s="517"/>
      <c r="BT43" s="517"/>
      <c r="BU43" s="517"/>
      <c r="BV43" s="517"/>
      <c r="BW43" s="517"/>
      <c r="BX43" s="517"/>
      <c r="BY43" s="517"/>
      <c r="BZ43" s="517"/>
      <c r="CA43" s="517"/>
      <c r="CB43" s="517"/>
      <c r="CC43" s="517"/>
      <c r="CD43" s="517"/>
      <c r="CE43" s="517"/>
      <c r="CF43" s="517"/>
      <c r="CG43" s="517"/>
      <c r="CH43" s="517"/>
      <c r="CI43" s="517"/>
      <c r="CJ43" s="517"/>
      <c r="CK43" s="517"/>
      <c r="CL43" s="517"/>
      <c r="CM43" s="517"/>
      <c r="CN43" s="517"/>
      <c r="CO43" s="517"/>
      <c r="CP43" s="517"/>
    </row>
    <row r="44" spans="1:94" s="517" customFormat="1" ht="11.25" customHeight="1" thickTop="1" x14ac:dyDescent="0.2">
      <c r="A44" s="555"/>
      <c r="B44" s="556"/>
      <c r="C44" s="556"/>
      <c r="D44" s="556"/>
      <c r="E44" s="556"/>
      <c r="F44" s="557"/>
    </row>
    <row r="45" spans="1:94" s="558" customFormat="1" ht="16.5" customHeight="1" x14ac:dyDescent="0.15">
      <c r="A45" s="558" t="s">
        <v>1101</v>
      </c>
      <c r="C45" s="559"/>
      <c r="D45" s="559"/>
      <c r="F45" s="560"/>
      <c r="G45" s="560"/>
    </row>
    <row r="46" spans="1:94" s="558" customFormat="1" ht="21" customHeight="1" x14ac:dyDescent="0.2">
      <c r="A46" s="2018" t="s">
        <v>1102</v>
      </c>
      <c r="B46" s="2018"/>
      <c r="C46" s="517"/>
      <c r="D46" s="517"/>
      <c r="E46" s="517"/>
      <c r="F46" s="560"/>
      <c r="G46" s="560"/>
    </row>
    <row r="47" spans="1:94" s="517" customFormat="1" x14ac:dyDescent="0.2">
      <c r="A47" s="561"/>
      <c r="F47" s="562"/>
      <c r="H47" s="562"/>
    </row>
    <row r="48" spans="1:94" s="517" customFormat="1" x14ac:dyDescent="0.2">
      <c r="A48" s="561"/>
      <c r="B48" s="562"/>
      <c r="F48" s="562"/>
    </row>
    <row r="49" spans="1:94" s="517" customFormat="1" x14ac:dyDescent="0.2"/>
    <row r="50" spans="1:94" s="517" customFormat="1" x14ac:dyDescent="0.2"/>
    <row r="51" spans="1:94" s="517" customFormat="1" x14ac:dyDescent="0.2">
      <c r="B51" s="557"/>
    </row>
    <row r="52" spans="1:94" s="517" customFormat="1" x14ac:dyDescent="0.2"/>
    <row r="53" spans="1:94" s="517" customFormat="1" x14ac:dyDescent="0.2">
      <c r="B53" s="562"/>
    </row>
    <row r="54" spans="1:94" s="563" customFormat="1" x14ac:dyDescent="0.2">
      <c r="A54" s="517"/>
      <c r="B54" s="517"/>
      <c r="C54" s="517"/>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517"/>
      <c r="AB54" s="517"/>
      <c r="AC54" s="517"/>
      <c r="AD54" s="517"/>
      <c r="AE54" s="517"/>
      <c r="AF54" s="517"/>
      <c r="AG54" s="517"/>
      <c r="AH54" s="517"/>
      <c r="AI54" s="517"/>
      <c r="AJ54" s="517"/>
      <c r="AK54" s="517"/>
      <c r="AL54" s="517"/>
      <c r="AM54" s="517"/>
      <c r="AN54" s="517"/>
      <c r="AO54" s="517"/>
      <c r="AP54" s="517"/>
      <c r="AQ54" s="517"/>
      <c r="AR54" s="517"/>
      <c r="AS54" s="517"/>
      <c r="AT54" s="517"/>
      <c r="AU54" s="517"/>
      <c r="AV54" s="517"/>
      <c r="AW54" s="517"/>
      <c r="AX54" s="517"/>
      <c r="AY54" s="517"/>
      <c r="AZ54" s="517"/>
      <c r="BA54" s="517"/>
      <c r="BB54" s="517"/>
      <c r="BC54" s="517"/>
      <c r="BD54" s="517"/>
      <c r="BE54" s="517"/>
      <c r="BF54" s="517"/>
      <c r="BG54" s="517"/>
      <c r="BH54" s="517"/>
      <c r="BI54" s="517"/>
      <c r="BJ54" s="517"/>
      <c r="BK54" s="517"/>
      <c r="BL54" s="517"/>
      <c r="BM54" s="517"/>
      <c r="BN54" s="517"/>
      <c r="BO54" s="517"/>
      <c r="BP54" s="517"/>
      <c r="BQ54" s="517"/>
      <c r="BR54" s="517"/>
      <c r="BS54" s="517"/>
      <c r="BT54" s="517"/>
      <c r="BU54" s="517"/>
      <c r="BV54" s="517"/>
      <c r="BW54" s="517"/>
      <c r="BX54" s="517"/>
      <c r="BY54" s="517"/>
      <c r="BZ54" s="517"/>
      <c r="CA54" s="517"/>
      <c r="CB54" s="517"/>
      <c r="CC54" s="517"/>
      <c r="CD54" s="517"/>
      <c r="CE54" s="517"/>
      <c r="CF54" s="517"/>
      <c r="CG54" s="517"/>
      <c r="CH54" s="517"/>
      <c r="CI54" s="517"/>
      <c r="CJ54" s="517"/>
      <c r="CK54" s="517"/>
      <c r="CL54" s="517"/>
      <c r="CM54" s="517"/>
      <c r="CN54" s="517"/>
      <c r="CO54" s="517"/>
      <c r="CP54" s="517"/>
    </row>
    <row r="55" spans="1:94" x14ac:dyDescent="0.2">
      <c r="A55" s="517"/>
      <c r="B55" s="517"/>
      <c r="C55" s="517"/>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c r="AE55" s="517"/>
      <c r="AF55" s="517"/>
      <c r="AG55" s="517"/>
      <c r="AH55" s="517"/>
      <c r="AI55" s="517"/>
      <c r="AJ55" s="517"/>
      <c r="AK55" s="517"/>
      <c r="AL55" s="517"/>
      <c r="AM55" s="517"/>
      <c r="AN55" s="517"/>
      <c r="AO55" s="517"/>
      <c r="AP55" s="517"/>
      <c r="AQ55" s="517"/>
      <c r="AR55" s="517"/>
      <c r="AS55" s="517"/>
      <c r="AT55" s="517"/>
      <c r="AU55" s="517"/>
      <c r="AV55" s="517"/>
      <c r="AW55" s="517"/>
      <c r="AX55" s="517"/>
      <c r="AY55" s="517"/>
      <c r="AZ55" s="517"/>
      <c r="BA55" s="517"/>
      <c r="BB55" s="517"/>
      <c r="BC55" s="517"/>
      <c r="BD55" s="517"/>
      <c r="BE55" s="517"/>
      <c r="BF55" s="517"/>
      <c r="BG55" s="517"/>
      <c r="BH55" s="517"/>
      <c r="BI55" s="517"/>
      <c r="BJ55" s="517"/>
      <c r="BK55" s="517"/>
      <c r="BL55" s="517"/>
      <c r="BM55" s="517"/>
      <c r="BN55" s="517"/>
      <c r="BO55" s="517"/>
      <c r="BP55" s="517"/>
      <c r="BQ55" s="517"/>
      <c r="BR55" s="517"/>
      <c r="BS55" s="517"/>
      <c r="BT55" s="517"/>
      <c r="BU55" s="517"/>
      <c r="BV55" s="517"/>
      <c r="BW55" s="517"/>
      <c r="BX55" s="517"/>
      <c r="BY55" s="517"/>
      <c r="BZ55" s="517"/>
      <c r="CA55" s="517"/>
      <c r="CB55" s="517"/>
      <c r="CC55" s="517"/>
      <c r="CD55" s="517"/>
      <c r="CE55" s="517"/>
      <c r="CF55" s="517"/>
      <c r="CG55" s="517"/>
      <c r="CH55" s="517"/>
      <c r="CI55" s="517"/>
      <c r="CJ55" s="517"/>
      <c r="CK55" s="517"/>
      <c r="CL55" s="517"/>
      <c r="CM55" s="517"/>
      <c r="CN55" s="517"/>
      <c r="CO55" s="517"/>
      <c r="CP55" s="517"/>
    </row>
    <row r="56" spans="1:94" x14ac:dyDescent="0.2">
      <c r="A56" s="517"/>
      <c r="B56" s="517"/>
      <c r="C56" s="517"/>
      <c r="D56" s="517"/>
      <c r="E56" s="517"/>
      <c r="F56" s="517"/>
      <c r="G56" s="517"/>
      <c r="H56" s="517"/>
      <c r="I56" s="517"/>
      <c r="J56" s="517"/>
      <c r="K56" s="517"/>
      <c r="L56" s="517"/>
      <c r="M56" s="517"/>
      <c r="N56" s="517"/>
      <c r="O56" s="517"/>
      <c r="P56" s="517"/>
      <c r="Q56" s="517"/>
      <c r="R56" s="517"/>
      <c r="S56" s="517"/>
      <c r="T56" s="517"/>
      <c r="U56" s="517"/>
      <c r="V56" s="517"/>
      <c r="W56" s="517"/>
      <c r="X56" s="517"/>
      <c r="Y56" s="517"/>
      <c r="Z56" s="517"/>
      <c r="AA56" s="517"/>
      <c r="AB56" s="517"/>
      <c r="AC56" s="517"/>
      <c r="AD56" s="517"/>
      <c r="AE56" s="517"/>
      <c r="AF56" s="517"/>
      <c r="AG56" s="517"/>
      <c r="AH56" s="517"/>
      <c r="AI56" s="517"/>
      <c r="AJ56" s="517"/>
      <c r="AK56" s="517"/>
      <c r="AL56" s="517"/>
      <c r="AM56" s="517"/>
      <c r="AN56" s="517"/>
      <c r="AO56" s="517"/>
      <c r="AP56" s="517"/>
      <c r="AQ56" s="517"/>
      <c r="AR56" s="517"/>
      <c r="AS56" s="517"/>
      <c r="AT56" s="517"/>
      <c r="AU56" s="517"/>
      <c r="AV56" s="517"/>
      <c r="AW56" s="517"/>
      <c r="AX56" s="517"/>
      <c r="AY56" s="517"/>
      <c r="AZ56" s="517"/>
      <c r="BA56" s="517"/>
      <c r="BB56" s="517"/>
      <c r="BC56" s="517"/>
      <c r="BD56" s="517"/>
      <c r="BE56" s="517"/>
      <c r="BF56" s="517"/>
      <c r="BG56" s="517"/>
      <c r="BH56" s="517"/>
      <c r="BI56" s="517"/>
      <c r="BJ56" s="517"/>
      <c r="BK56" s="517"/>
      <c r="BL56" s="517"/>
      <c r="BM56" s="517"/>
      <c r="BN56" s="517"/>
      <c r="BO56" s="517"/>
      <c r="BP56" s="517"/>
      <c r="BQ56" s="517"/>
      <c r="BR56" s="517"/>
      <c r="BS56" s="517"/>
      <c r="BT56" s="517"/>
      <c r="BU56" s="517"/>
      <c r="BV56" s="517"/>
      <c r="BW56" s="517"/>
      <c r="BX56" s="517"/>
      <c r="BY56" s="517"/>
      <c r="BZ56" s="517"/>
      <c r="CA56" s="517"/>
      <c r="CB56" s="517"/>
      <c r="CC56" s="517"/>
      <c r="CD56" s="517"/>
      <c r="CE56" s="517"/>
      <c r="CF56" s="517"/>
      <c r="CG56" s="517"/>
      <c r="CH56" s="517"/>
      <c r="CI56" s="517"/>
      <c r="CJ56" s="517"/>
      <c r="CK56" s="517"/>
      <c r="CL56" s="517"/>
      <c r="CM56" s="517"/>
      <c r="CN56" s="517"/>
      <c r="CO56" s="517"/>
      <c r="CP56" s="517"/>
    </row>
    <row r="57" spans="1:94" x14ac:dyDescent="0.2">
      <c r="A57" s="517"/>
      <c r="B57" s="517"/>
      <c r="C57" s="517"/>
      <c r="D57" s="517"/>
      <c r="E57" s="517"/>
      <c r="F57" s="517"/>
      <c r="G57" s="517"/>
      <c r="H57" s="517"/>
      <c r="I57" s="517"/>
      <c r="J57" s="517"/>
      <c r="K57" s="517"/>
      <c r="L57" s="517"/>
      <c r="M57" s="517"/>
      <c r="N57" s="517"/>
      <c r="O57" s="517"/>
      <c r="P57" s="517"/>
      <c r="Q57" s="517"/>
      <c r="R57" s="517"/>
      <c r="S57" s="517"/>
      <c r="T57" s="517"/>
      <c r="U57" s="517"/>
      <c r="V57" s="517"/>
      <c r="W57" s="517"/>
      <c r="X57" s="517"/>
      <c r="Y57" s="517"/>
      <c r="Z57" s="517"/>
      <c r="AA57" s="517"/>
      <c r="AB57" s="517"/>
      <c r="AC57" s="517"/>
      <c r="AD57" s="517"/>
      <c r="AE57" s="517"/>
      <c r="AF57" s="517"/>
      <c r="AG57" s="517"/>
      <c r="AH57" s="517"/>
      <c r="AI57" s="517"/>
      <c r="AJ57" s="517"/>
      <c r="AK57" s="517"/>
      <c r="AL57" s="517"/>
      <c r="AM57" s="517"/>
      <c r="AN57" s="517"/>
      <c r="AO57" s="517"/>
      <c r="AP57" s="517"/>
      <c r="AQ57" s="517"/>
      <c r="AR57" s="517"/>
      <c r="AS57" s="517"/>
      <c r="AT57" s="517"/>
      <c r="AU57" s="517"/>
      <c r="AV57" s="517"/>
      <c r="AW57" s="517"/>
      <c r="AX57" s="517"/>
      <c r="AY57" s="517"/>
      <c r="AZ57" s="517"/>
      <c r="BA57" s="517"/>
      <c r="BB57" s="517"/>
      <c r="BC57" s="517"/>
      <c r="BD57" s="517"/>
      <c r="BE57" s="517"/>
      <c r="BF57" s="517"/>
      <c r="BG57" s="517"/>
      <c r="BH57" s="517"/>
      <c r="BI57" s="517"/>
      <c r="BJ57" s="517"/>
      <c r="BK57" s="517"/>
      <c r="BL57" s="517"/>
      <c r="BM57" s="517"/>
      <c r="BN57" s="517"/>
      <c r="BO57" s="517"/>
      <c r="BP57" s="517"/>
      <c r="BQ57" s="517"/>
      <c r="BR57" s="517"/>
      <c r="BS57" s="517"/>
      <c r="BT57" s="517"/>
      <c r="BU57" s="517"/>
      <c r="BV57" s="517"/>
      <c r="BW57" s="517"/>
      <c r="BX57" s="517"/>
      <c r="BY57" s="517"/>
      <c r="BZ57" s="517"/>
      <c r="CA57" s="517"/>
      <c r="CB57" s="517"/>
      <c r="CC57" s="517"/>
      <c r="CD57" s="517"/>
      <c r="CE57" s="517"/>
      <c r="CF57" s="517"/>
      <c r="CG57" s="517"/>
      <c r="CH57" s="517"/>
      <c r="CI57" s="517"/>
      <c r="CJ57" s="517"/>
      <c r="CK57" s="517"/>
      <c r="CL57" s="517"/>
      <c r="CM57" s="517"/>
      <c r="CN57" s="517"/>
      <c r="CO57" s="517"/>
      <c r="CP57" s="517"/>
    </row>
    <row r="58" spans="1:94" x14ac:dyDescent="0.2">
      <c r="A58" s="517"/>
      <c r="B58" s="517"/>
      <c r="C58" s="517"/>
      <c r="D58" s="517"/>
      <c r="E58" s="517"/>
      <c r="F58" s="517"/>
      <c r="G58" s="517"/>
      <c r="H58" s="517"/>
      <c r="I58" s="517"/>
      <c r="J58" s="517"/>
      <c r="K58" s="517"/>
      <c r="L58" s="517"/>
      <c r="M58" s="517"/>
      <c r="N58" s="517"/>
      <c r="O58" s="517"/>
      <c r="P58" s="517"/>
      <c r="Q58" s="517"/>
      <c r="R58" s="517"/>
      <c r="S58" s="517"/>
      <c r="T58" s="517"/>
      <c r="U58" s="517"/>
      <c r="V58" s="517"/>
      <c r="W58" s="517"/>
      <c r="X58" s="517"/>
      <c r="Y58" s="517"/>
      <c r="Z58" s="517"/>
      <c r="AA58" s="517"/>
      <c r="AB58" s="517"/>
      <c r="AC58" s="517"/>
      <c r="AD58" s="517"/>
      <c r="AE58" s="517"/>
      <c r="AF58" s="517"/>
      <c r="AG58" s="517"/>
      <c r="AH58" s="517"/>
      <c r="AI58" s="517"/>
      <c r="AJ58" s="517"/>
      <c r="AK58" s="517"/>
      <c r="AL58" s="517"/>
      <c r="AM58" s="517"/>
      <c r="AN58" s="517"/>
      <c r="AO58" s="517"/>
      <c r="AP58" s="517"/>
      <c r="AQ58" s="517"/>
      <c r="AR58" s="517"/>
      <c r="AS58" s="517"/>
      <c r="AT58" s="517"/>
      <c r="AU58" s="517"/>
      <c r="AV58" s="517"/>
      <c r="AW58" s="517"/>
      <c r="AX58" s="517"/>
      <c r="AY58" s="517"/>
      <c r="AZ58" s="517"/>
      <c r="BA58" s="517"/>
      <c r="BB58" s="517"/>
      <c r="BC58" s="517"/>
      <c r="BD58" s="517"/>
      <c r="BE58" s="517"/>
      <c r="BF58" s="517"/>
      <c r="BG58" s="517"/>
      <c r="BH58" s="517"/>
      <c r="BI58" s="517"/>
      <c r="BJ58" s="517"/>
      <c r="BK58" s="517"/>
      <c r="BL58" s="517"/>
      <c r="BM58" s="517"/>
      <c r="BN58" s="517"/>
      <c r="BO58" s="517"/>
      <c r="BP58" s="517"/>
      <c r="BQ58" s="517"/>
      <c r="BR58" s="517"/>
      <c r="BS58" s="517"/>
      <c r="BT58" s="517"/>
      <c r="BU58" s="517"/>
      <c r="BV58" s="517"/>
      <c r="BW58" s="517"/>
      <c r="BX58" s="517"/>
      <c r="BY58" s="517"/>
      <c r="BZ58" s="517"/>
      <c r="CA58" s="517"/>
      <c r="CB58" s="517"/>
      <c r="CC58" s="517"/>
      <c r="CD58" s="517"/>
      <c r="CE58" s="517"/>
      <c r="CF58" s="517"/>
      <c r="CG58" s="517"/>
      <c r="CH58" s="517"/>
      <c r="CI58" s="517"/>
      <c r="CJ58" s="517"/>
      <c r="CK58" s="517"/>
      <c r="CL58" s="517"/>
      <c r="CM58" s="517"/>
      <c r="CN58" s="517"/>
      <c r="CO58" s="517"/>
      <c r="CP58" s="517"/>
    </row>
    <row r="59" spans="1:94" x14ac:dyDescent="0.2">
      <c r="A59" s="517"/>
      <c r="B59" s="517"/>
      <c r="C59" s="517"/>
      <c r="D59" s="517"/>
      <c r="E59" s="517"/>
      <c r="F59" s="517"/>
      <c r="G59" s="517"/>
      <c r="H59" s="517"/>
      <c r="I59" s="517"/>
      <c r="J59" s="517"/>
      <c r="K59" s="517"/>
      <c r="L59" s="517"/>
      <c r="M59" s="517"/>
      <c r="N59" s="517"/>
      <c r="O59" s="517"/>
      <c r="P59" s="517"/>
      <c r="Q59" s="517"/>
      <c r="R59" s="517"/>
      <c r="S59" s="517"/>
      <c r="T59" s="517"/>
      <c r="U59" s="517"/>
      <c r="V59" s="517"/>
      <c r="W59" s="517"/>
      <c r="X59" s="517"/>
      <c r="Y59" s="517"/>
      <c r="Z59" s="517"/>
      <c r="AA59" s="517"/>
      <c r="AB59" s="517"/>
      <c r="AC59" s="517"/>
      <c r="AD59" s="517"/>
      <c r="AE59" s="517"/>
      <c r="AF59" s="517"/>
      <c r="AG59" s="517"/>
      <c r="AH59" s="517"/>
      <c r="AI59" s="517"/>
      <c r="AJ59" s="517"/>
      <c r="AK59" s="517"/>
      <c r="AL59" s="517"/>
      <c r="AM59" s="517"/>
      <c r="AN59" s="517"/>
      <c r="AO59" s="517"/>
      <c r="AP59" s="517"/>
      <c r="AQ59" s="517"/>
      <c r="AR59" s="517"/>
      <c r="AS59" s="517"/>
      <c r="AT59" s="517"/>
      <c r="AU59" s="517"/>
      <c r="AV59" s="517"/>
      <c r="AW59" s="517"/>
      <c r="AX59" s="517"/>
      <c r="AY59" s="517"/>
      <c r="AZ59" s="517"/>
      <c r="BA59" s="517"/>
      <c r="BB59" s="517"/>
      <c r="BC59" s="517"/>
      <c r="BD59" s="517"/>
      <c r="BE59" s="517"/>
      <c r="BF59" s="517"/>
      <c r="BG59" s="517"/>
      <c r="BH59" s="517"/>
      <c r="BI59" s="517"/>
      <c r="BJ59" s="517"/>
      <c r="BK59" s="517"/>
      <c r="BL59" s="517"/>
      <c r="BM59" s="517"/>
      <c r="BN59" s="517"/>
      <c r="BO59" s="517"/>
      <c r="BP59" s="517"/>
      <c r="BQ59" s="517"/>
      <c r="BR59" s="517"/>
      <c r="BS59" s="517"/>
      <c r="BT59" s="517"/>
      <c r="BU59" s="517"/>
      <c r="BV59" s="517"/>
      <c r="BW59" s="517"/>
      <c r="BX59" s="517"/>
      <c r="BY59" s="517"/>
      <c r="BZ59" s="517"/>
      <c r="CA59" s="517"/>
      <c r="CB59" s="517"/>
      <c r="CC59" s="517"/>
      <c r="CD59" s="517"/>
      <c r="CE59" s="517"/>
      <c r="CF59" s="517"/>
      <c r="CG59" s="517"/>
      <c r="CH59" s="517"/>
      <c r="CI59" s="517"/>
      <c r="CJ59" s="517"/>
      <c r="CK59" s="517"/>
      <c r="CL59" s="517"/>
      <c r="CM59" s="517"/>
      <c r="CN59" s="517"/>
      <c r="CO59" s="517"/>
      <c r="CP59" s="517"/>
    </row>
    <row r="60" spans="1:94" x14ac:dyDescent="0.2">
      <c r="A60" s="517"/>
      <c r="B60" s="517"/>
      <c r="C60" s="517"/>
      <c r="D60" s="517"/>
      <c r="E60" s="517"/>
      <c r="F60" s="517"/>
      <c r="G60" s="517"/>
      <c r="H60" s="517"/>
      <c r="I60" s="517"/>
      <c r="J60" s="517"/>
      <c r="K60" s="517"/>
      <c r="L60" s="517"/>
      <c r="M60" s="517"/>
      <c r="N60" s="517"/>
      <c r="O60" s="517"/>
      <c r="P60" s="517"/>
      <c r="Q60" s="517"/>
      <c r="R60" s="517"/>
      <c r="S60" s="517"/>
      <c r="T60" s="517"/>
      <c r="U60" s="517"/>
      <c r="V60" s="517"/>
      <c r="W60" s="517"/>
      <c r="X60" s="517"/>
      <c r="Y60" s="517"/>
      <c r="Z60" s="517"/>
      <c r="AA60" s="517"/>
      <c r="AB60" s="517"/>
      <c r="AC60" s="517"/>
      <c r="AD60" s="517"/>
      <c r="AE60" s="517"/>
      <c r="AF60" s="517"/>
      <c r="AG60" s="517"/>
      <c r="AH60" s="517"/>
      <c r="AI60" s="517"/>
      <c r="AJ60" s="517"/>
      <c r="AK60" s="517"/>
      <c r="AL60" s="517"/>
      <c r="AM60" s="517"/>
      <c r="AN60" s="517"/>
      <c r="AO60" s="517"/>
      <c r="AP60" s="517"/>
      <c r="AQ60" s="517"/>
      <c r="AR60" s="517"/>
      <c r="AS60" s="517"/>
      <c r="AT60" s="517"/>
      <c r="AU60" s="517"/>
      <c r="AV60" s="517"/>
      <c r="AW60" s="517"/>
      <c r="AX60" s="517"/>
      <c r="AY60" s="517"/>
      <c r="AZ60" s="517"/>
      <c r="BA60" s="517"/>
      <c r="BB60" s="517"/>
      <c r="BC60" s="517"/>
      <c r="BD60" s="517"/>
      <c r="BE60" s="517"/>
      <c r="BF60" s="517"/>
      <c r="BG60" s="517"/>
      <c r="BH60" s="517"/>
      <c r="BI60" s="517"/>
      <c r="BJ60" s="517"/>
      <c r="BK60" s="517"/>
      <c r="BL60" s="517"/>
      <c r="BM60" s="517"/>
      <c r="BN60" s="517"/>
      <c r="BO60" s="517"/>
      <c r="BP60" s="517"/>
      <c r="BQ60" s="517"/>
      <c r="BR60" s="517"/>
      <c r="BS60" s="517"/>
      <c r="BT60" s="517"/>
      <c r="BU60" s="517"/>
      <c r="BV60" s="517"/>
      <c r="BW60" s="517"/>
      <c r="BX60" s="517"/>
      <c r="BY60" s="517"/>
      <c r="BZ60" s="517"/>
      <c r="CA60" s="517"/>
      <c r="CB60" s="517"/>
      <c r="CC60" s="517"/>
      <c r="CD60" s="517"/>
      <c r="CE60" s="517"/>
      <c r="CF60" s="517"/>
      <c r="CG60" s="517"/>
      <c r="CH60" s="517"/>
      <c r="CI60" s="517"/>
      <c r="CJ60" s="517"/>
      <c r="CK60" s="517"/>
      <c r="CL60" s="517"/>
      <c r="CM60" s="517"/>
      <c r="CN60" s="517"/>
      <c r="CO60" s="517"/>
      <c r="CP60" s="517"/>
    </row>
    <row r="61" spans="1:94" x14ac:dyDescent="0.2">
      <c r="A61" s="517"/>
      <c r="B61" s="517"/>
      <c r="C61" s="517"/>
      <c r="D61" s="517"/>
      <c r="E61" s="517"/>
      <c r="F61" s="517"/>
      <c r="G61" s="517"/>
      <c r="H61" s="517"/>
      <c r="I61" s="517"/>
      <c r="J61" s="517"/>
      <c r="K61" s="517"/>
      <c r="L61" s="517"/>
      <c r="M61" s="517"/>
      <c r="N61" s="517"/>
      <c r="O61" s="517"/>
      <c r="P61" s="517"/>
      <c r="Q61" s="517"/>
      <c r="R61" s="517"/>
      <c r="S61" s="517"/>
      <c r="T61" s="517"/>
      <c r="U61" s="517"/>
      <c r="V61" s="517"/>
      <c r="W61" s="517"/>
      <c r="X61" s="517"/>
      <c r="Y61" s="517"/>
      <c r="Z61" s="517"/>
      <c r="AA61" s="517"/>
      <c r="AB61" s="517"/>
      <c r="AC61" s="517"/>
      <c r="AD61" s="517"/>
      <c r="AE61" s="517"/>
      <c r="AF61" s="517"/>
      <c r="AG61" s="517"/>
      <c r="AH61" s="517"/>
      <c r="AI61" s="517"/>
      <c r="AJ61" s="517"/>
      <c r="AK61" s="517"/>
      <c r="AL61" s="517"/>
      <c r="AM61" s="517"/>
      <c r="AN61" s="517"/>
      <c r="AO61" s="517"/>
      <c r="AP61" s="517"/>
      <c r="AQ61" s="517"/>
      <c r="AR61" s="517"/>
      <c r="AS61" s="517"/>
      <c r="AT61" s="517"/>
      <c r="AU61" s="517"/>
      <c r="AV61" s="517"/>
      <c r="AW61" s="517"/>
      <c r="AX61" s="517"/>
      <c r="AY61" s="517"/>
      <c r="AZ61" s="517"/>
      <c r="BA61" s="517"/>
      <c r="BB61" s="517"/>
      <c r="BC61" s="517"/>
      <c r="BD61" s="517"/>
      <c r="BE61" s="517"/>
      <c r="BF61" s="517"/>
      <c r="BG61" s="517"/>
      <c r="BH61" s="517"/>
      <c r="BI61" s="517"/>
      <c r="BJ61" s="517"/>
      <c r="BK61" s="517"/>
      <c r="BL61" s="517"/>
      <c r="BM61" s="517"/>
      <c r="BN61" s="517"/>
      <c r="BO61" s="517"/>
      <c r="BP61" s="517"/>
      <c r="BQ61" s="517"/>
      <c r="BR61" s="517"/>
      <c r="BS61" s="517"/>
      <c r="BT61" s="517"/>
      <c r="BU61" s="517"/>
      <c r="BV61" s="517"/>
      <c r="BW61" s="517"/>
      <c r="BX61" s="517"/>
      <c r="BY61" s="517"/>
      <c r="BZ61" s="517"/>
      <c r="CA61" s="517"/>
      <c r="CB61" s="517"/>
      <c r="CC61" s="517"/>
      <c r="CD61" s="517"/>
      <c r="CE61" s="517"/>
      <c r="CF61" s="517"/>
      <c r="CG61" s="517"/>
      <c r="CH61" s="517"/>
      <c r="CI61" s="517"/>
      <c r="CJ61" s="517"/>
      <c r="CK61" s="517"/>
      <c r="CL61" s="517"/>
      <c r="CM61" s="517"/>
      <c r="CN61" s="517"/>
      <c r="CO61" s="517"/>
      <c r="CP61" s="517"/>
    </row>
    <row r="62" spans="1:94" x14ac:dyDescent="0.2">
      <c r="A62" s="517"/>
      <c r="B62" s="517"/>
      <c r="C62" s="517"/>
      <c r="D62" s="517"/>
      <c r="E62" s="517"/>
      <c r="F62" s="517"/>
      <c r="G62" s="517"/>
      <c r="H62" s="517"/>
      <c r="I62" s="517"/>
      <c r="J62" s="517"/>
      <c r="K62" s="517"/>
      <c r="L62" s="517"/>
      <c r="M62" s="517"/>
      <c r="N62" s="517"/>
      <c r="O62" s="517"/>
      <c r="P62" s="517"/>
      <c r="Q62" s="517"/>
      <c r="R62" s="517"/>
      <c r="S62" s="517"/>
      <c r="T62" s="517"/>
      <c r="U62" s="517"/>
      <c r="V62" s="517"/>
      <c r="W62" s="517"/>
      <c r="X62" s="517"/>
      <c r="Y62" s="517"/>
      <c r="Z62" s="517"/>
      <c r="AA62" s="517"/>
      <c r="AB62" s="517"/>
      <c r="AC62" s="517"/>
      <c r="AD62" s="517"/>
      <c r="AE62" s="517"/>
      <c r="AF62" s="517"/>
      <c r="AG62" s="517"/>
      <c r="AH62" s="517"/>
      <c r="AI62" s="517"/>
      <c r="AJ62" s="517"/>
      <c r="AK62" s="517"/>
      <c r="AL62" s="517"/>
      <c r="AM62" s="517"/>
      <c r="AN62" s="517"/>
      <c r="AO62" s="517"/>
      <c r="AP62" s="517"/>
      <c r="AQ62" s="517"/>
      <c r="AR62" s="517"/>
      <c r="AS62" s="517"/>
      <c r="AT62" s="517"/>
      <c r="AU62" s="517"/>
      <c r="AV62" s="517"/>
      <c r="AW62" s="517"/>
      <c r="AX62" s="517"/>
      <c r="AY62" s="517"/>
      <c r="AZ62" s="517"/>
      <c r="BA62" s="517"/>
      <c r="BB62" s="517"/>
      <c r="BC62" s="517"/>
      <c r="BD62" s="517"/>
      <c r="BE62" s="517"/>
      <c r="BF62" s="517"/>
      <c r="BG62" s="517"/>
      <c r="BH62" s="517"/>
      <c r="BI62" s="517"/>
      <c r="BJ62" s="517"/>
      <c r="BK62" s="517"/>
      <c r="BL62" s="517"/>
      <c r="BM62" s="517"/>
      <c r="BN62" s="517"/>
      <c r="BO62" s="517"/>
      <c r="BP62" s="517"/>
      <c r="BQ62" s="517"/>
      <c r="BR62" s="517"/>
      <c r="BS62" s="517"/>
      <c r="BT62" s="517"/>
      <c r="BU62" s="517"/>
      <c r="BV62" s="517"/>
      <c r="BW62" s="517"/>
      <c r="BX62" s="517"/>
      <c r="BY62" s="517"/>
      <c r="BZ62" s="517"/>
      <c r="CA62" s="517"/>
      <c r="CB62" s="517"/>
      <c r="CC62" s="517"/>
      <c r="CD62" s="517"/>
      <c r="CE62" s="517"/>
      <c r="CF62" s="517"/>
      <c r="CG62" s="517"/>
      <c r="CH62" s="517"/>
      <c r="CI62" s="517"/>
      <c r="CJ62" s="517"/>
      <c r="CK62" s="517"/>
      <c r="CL62" s="517"/>
      <c r="CM62" s="517"/>
      <c r="CN62" s="517"/>
      <c r="CO62" s="517"/>
      <c r="CP62" s="517"/>
    </row>
    <row r="63" spans="1:94" x14ac:dyDescent="0.2">
      <c r="A63" s="517"/>
      <c r="B63" s="517"/>
      <c r="C63" s="517"/>
      <c r="D63" s="517"/>
      <c r="E63" s="517"/>
      <c r="F63" s="517"/>
      <c r="G63" s="517"/>
      <c r="H63" s="517"/>
      <c r="I63" s="517"/>
      <c r="J63" s="517"/>
      <c r="K63" s="517"/>
      <c r="L63" s="517"/>
      <c r="M63" s="517"/>
      <c r="N63" s="517"/>
      <c r="O63" s="517"/>
      <c r="P63" s="517"/>
      <c r="Q63" s="517"/>
      <c r="R63" s="517"/>
      <c r="S63" s="517"/>
      <c r="T63" s="517"/>
      <c r="U63" s="517"/>
      <c r="V63" s="517"/>
      <c r="W63" s="517"/>
      <c r="X63" s="517"/>
      <c r="Y63" s="517"/>
      <c r="Z63" s="517"/>
      <c r="AA63" s="517"/>
      <c r="AB63" s="517"/>
      <c r="AC63" s="517"/>
      <c r="AD63" s="517"/>
      <c r="AE63" s="517"/>
      <c r="AF63" s="517"/>
      <c r="AG63" s="517"/>
      <c r="AH63" s="517"/>
      <c r="AI63" s="517"/>
      <c r="AJ63" s="517"/>
      <c r="AK63" s="517"/>
      <c r="AL63" s="517"/>
      <c r="AM63" s="517"/>
      <c r="AN63" s="517"/>
      <c r="AO63" s="517"/>
      <c r="AP63" s="517"/>
      <c r="AQ63" s="517"/>
      <c r="AR63" s="517"/>
      <c r="AS63" s="517"/>
      <c r="AT63" s="517"/>
      <c r="AU63" s="517"/>
      <c r="AV63" s="517"/>
      <c r="AW63" s="517"/>
      <c r="AX63" s="517"/>
      <c r="AY63" s="517"/>
      <c r="AZ63" s="517"/>
      <c r="BA63" s="517"/>
      <c r="BB63" s="517"/>
      <c r="BC63" s="517"/>
      <c r="BD63" s="517"/>
      <c r="BE63" s="517"/>
      <c r="BF63" s="517"/>
      <c r="BG63" s="517"/>
      <c r="BH63" s="517"/>
      <c r="BI63" s="517"/>
      <c r="BJ63" s="517"/>
      <c r="BK63" s="517"/>
      <c r="BL63" s="517"/>
      <c r="BM63" s="517"/>
      <c r="BN63" s="517"/>
      <c r="BO63" s="517"/>
      <c r="BP63" s="517"/>
      <c r="BQ63" s="517"/>
      <c r="BR63" s="517"/>
      <c r="BS63" s="517"/>
      <c r="BT63" s="517"/>
      <c r="BU63" s="517"/>
      <c r="BV63" s="517"/>
      <c r="BW63" s="517"/>
      <c r="BX63" s="517"/>
      <c r="BY63" s="517"/>
      <c r="BZ63" s="517"/>
      <c r="CA63" s="517"/>
      <c r="CB63" s="517"/>
      <c r="CC63" s="517"/>
      <c r="CD63" s="517"/>
      <c r="CE63" s="517"/>
      <c r="CF63" s="517"/>
      <c r="CG63" s="517"/>
      <c r="CH63" s="517"/>
      <c r="CI63" s="517"/>
      <c r="CJ63" s="517"/>
      <c r="CK63" s="517"/>
      <c r="CL63" s="517"/>
      <c r="CM63" s="517"/>
      <c r="CN63" s="517"/>
      <c r="CO63" s="517"/>
      <c r="CP63" s="517"/>
    </row>
    <row r="64" spans="1:94" x14ac:dyDescent="0.2">
      <c r="A64" s="517"/>
      <c r="B64" s="517"/>
      <c r="C64" s="517"/>
      <c r="D64" s="517"/>
      <c r="E64" s="517"/>
      <c r="F64" s="517"/>
      <c r="G64" s="517"/>
      <c r="H64" s="517"/>
      <c r="I64" s="517"/>
      <c r="J64" s="517"/>
      <c r="K64" s="517"/>
      <c r="L64" s="517"/>
      <c r="M64" s="517"/>
      <c r="N64" s="517"/>
      <c r="O64" s="517"/>
      <c r="P64" s="517"/>
      <c r="Q64" s="517"/>
      <c r="R64" s="517"/>
      <c r="S64" s="517"/>
      <c r="T64" s="517"/>
      <c r="U64" s="517"/>
      <c r="V64" s="517"/>
      <c r="W64" s="517"/>
      <c r="X64" s="517"/>
      <c r="Y64" s="517"/>
      <c r="Z64" s="517"/>
      <c r="AA64" s="517"/>
      <c r="AB64" s="517"/>
      <c r="AC64" s="517"/>
      <c r="AD64" s="517"/>
      <c r="AE64" s="517"/>
      <c r="AF64" s="517"/>
      <c r="AG64" s="517"/>
      <c r="AH64" s="517"/>
      <c r="AI64" s="517"/>
      <c r="AJ64" s="517"/>
      <c r="AK64" s="517"/>
      <c r="AL64" s="517"/>
      <c r="AM64" s="517"/>
      <c r="AN64" s="517"/>
      <c r="AO64" s="517"/>
      <c r="AP64" s="517"/>
      <c r="AQ64" s="517"/>
      <c r="AR64" s="517"/>
      <c r="AS64" s="517"/>
      <c r="AT64" s="517"/>
      <c r="AU64" s="517"/>
      <c r="AV64" s="517"/>
      <c r="AW64" s="517"/>
      <c r="AX64" s="517"/>
      <c r="AY64" s="517"/>
      <c r="AZ64" s="517"/>
      <c r="BA64" s="517"/>
      <c r="BB64" s="517"/>
      <c r="BC64" s="517"/>
      <c r="BD64" s="517"/>
      <c r="BE64" s="517"/>
      <c r="BF64" s="517"/>
      <c r="BG64" s="517"/>
      <c r="BH64" s="517"/>
      <c r="BI64" s="517"/>
      <c r="BJ64" s="517"/>
      <c r="BK64" s="517"/>
      <c r="BL64" s="517"/>
      <c r="BM64" s="517"/>
      <c r="BN64" s="517"/>
      <c r="BO64" s="517"/>
      <c r="BP64" s="517"/>
      <c r="BQ64" s="517"/>
      <c r="BR64" s="517"/>
      <c r="BS64" s="517"/>
      <c r="BT64" s="517"/>
      <c r="BU64" s="517"/>
      <c r="BV64" s="517"/>
      <c r="BW64" s="517"/>
      <c r="BX64" s="517"/>
      <c r="BY64" s="517"/>
      <c r="BZ64" s="517"/>
      <c r="CA64" s="517"/>
      <c r="CB64" s="517"/>
      <c r="CC64" s="517"/>
      <c r="CD64" s="517"/>
      <c r="CE64" s="517"/>
      <c r="CF64" s="517"/>
      <c r="CG64" s="517"/>
      <c r="CH64" s="517"/>
      <c r="CI64" s="517"/>
      <c r="CJ64" s="517"/>
      <c r="CK64" s="517"/>
      <c r="CL64" s="517"/>
      <c r="CM64" s="517"/>
      <c r="CN64" s="517"/>
      <c r="CO64" s="517"/>
      <c r="CP64" s="517"/>
    </row>
    <row r="65" spans="1:94" x14ac:dyDescent="0.2">
      <c r="A65" s="517"/>
      <c r="B65" s="517"/>
      <c r="C65" s="517"/>
      <c r="D65" s="517"/>
      <c r="E65" s="517"/>
      <c r="F65" s="517"/>
      <c r="G65" s="517"/>
      <c r="H65" s="517"/>
      <c r="I65" s="517"/>
      <c r="J65" s="517"/>
      <c r="K65" s="517"/>
      <c r="L65" s="517"/>
      <c r="M65" s="517"/>
      <c r="N65" s="517"/>
      <c r="O65" s="517"/>
      <c r="P65" s="517"/>
      <c r="Q65" s="517"/>
      <c r="R65" s="517"/>
      <c r="S65" s="517"/>
      <c r="T65" s="517"/>
      <c r="U65" s="517"/>
      <c r="V65" s="517"/>
      <c r="W65" s="517"/>
      <c r="X65" s="517"/>
      <c r="Y65" s="517"/>
      <c r="Z65" s="517"/>
      <c r="AA65" s="517"/>
      <c r="AB65" s="517"/>
      <c r="AC65" s="517"/>
      <c r="AD65" s="517"/>
      <c r="AE65" s="517"/>
      <c r="AF65" s="517"/>
      <c r="AG65" s="517"/>
      <c r="AH65" s="517"/>
      <c r="AI65" s="517"/>
      <c r="AJ65" s="517"/>
      <c r="AK65" s="517"/>
      <c r="AL65" s="517"/>
      <c r="AM65" s="517"/>
      <c r="AN65" s="517"/>
      <c r="AO65" s="517"/>
      <c r="AP65" s="517"/>
      <c r="AQ65" s="517"/>
      <c r="AR65" s="517"/>
      <c r="AS65" s="517"/>
      <c r="AT65" s="517"/>
      <c r="AU65" s="517"/>
      <c r="AV65" s="517"/>
      <c r="AW65" s="517"/>
      <c r="AX65" s="517"/>
      <c r="AY65" s="517"/>
      <c r="AZ65" s="517"/>
      <c r="BA65" s="517"/>
      <c r="BB65" s="517"/>
      <c r="BC65" s="517"/>
      <c r="BD65" s="517"/>
      <c r="BE65" s="517"/>
      <c r="BF65" s="517"/>
      <c r="BG65" s="517"/>
      <c r="BH65" s="517"/>
      <c r="BI65" s="517"/>
      <c r="BJ65" s="517"/>
      <c r="BK65" s="517"/>
      <c r="BL65" s="517"/>
      <c r="BM65" s="517"/>
      <c r="BN65" s="517"/>
      <c r="BO65" s="517"/>
      <c r="BP65" s="517"/>
      <c r="BQ65" s="517"/>
      <c r="BR65" s="517"/>
      <c r="BS65" s="517"/>
      <c r="BT65" s="517"/>
      <c r="BU65" s="517"/>
      <c r="BV65" s="517"/>
      <c r="BW65" s="517"/>
      <c r="BX65" s="517"/>
      <c r="BY65" s="517"/>
      <c r="BZ65" s="517"/>
      <c r="CA65" s="517"/>
      <c r="CB65" s="517"/>
      <c r="CC65" s="517"/>
      <c r="CD65" s="517"/>
      <c r="CE65" s="517"/>
      <c r="CF65" s="517"/>
      <c r="CG65" s="517"/>
      <c r="CH65" s="517"/>
      <c r="CI65" s="517"/>
      <c r="CJ65" s="517"/>
      <c r="CK65" s="517"/>
      <c r="CL65" s="517"/>
      <c r="CM65" s="517"/>
      <c r="CN65" s="517"/>
      <c r="CO65" s="517"/>
      <c r="CP65" s="517"/>
    </row>
    <row r="66" spans="1:94" x14ac:dyDescent="0.2">
      <c r="A66" s="517"/>
      <c r="B66" s="517"/>
      <c r="C66" s="517"/>
      <c r="D66" s="517"/>
      <c r="E66" s="517"/>
      <c r="F66" s="517"/>
      <c r="G66" s="517"/>
      <c r="H66" s="517"/>
      <c r="I66" s="517"/>
      <c r="J66" s="517"/>
      <c r="K66" s="517"/>
      <c r="L66" s="517"/>
      <c r="M66" s="517"/>
      <c r="N66" s="517"/>
      <c r="O66" s="517"/>
      <c r="P66" s="517"/>
      <c r="Q66" s="517"/>
      <c r="R66" s="517"/>
      <c r="S66" s="517"/>
      <c r="T66" s="517"/>
      <c r="U66" s="517"/>
      <c r="V66" s="517"/>
      <c r="W66" s="517"/>
      <c r="X66" s="517"/>
      <c r="Y66" s="517"/>
      <c r="Z66" s="517"/>
      <c r="AA66" s="517"/>
      <c r="AB66" s="517"/>
      <c r="AC66" s="517"/>
      <c r="AD66" s="517"/>
      <c r="AE66" s="517"/>
      <c r="AF66" s="517"/>
      <c r="AG66" s="517"/>
      <c r="AH66" s="517"/>
      <c r="AI66" s="517"/>
      <c r="AJ66" s="517"/>
      <c r="AK66" s="517"/>
      <c r="AL66" s="517"/>
      <c r="AM66" s="517"/>
      <c r="AN66" s="517"/>
      <c r="AO66" s="517"/>
      <c r="AP66" s="517"/>
      <c r="AQ66" s="517"/>
      <c r="AR66" s="517"/>
      <c r="AS66" s="517"/>
      <c r="AT66" s="517"/>
      <c r="AU66" s="517"/>
      <c r="AV66" s="517"/>
      <c r="AW66" s="517"/>
      <c r="AX66" s="517"/>
      <c r="AY66" s="517"/>
      <c r="AZ66" s="517"/>
      <c r="BA66" s="517"/>
      <c r="BB66" s="517"/>
      <c r="BC66" s="517"/>
      <c r="BD66" s="517"/>
      <c r="BE66" s="517"/>
      <c r="BF66" s="517"/>
      <c r="BG66" s="517"/>
      <c r="BH66" s="517"/>
      <c r="BI66" s="517"/>
      <c r="BJ66" s="517"/>
      <c r="BK66" s="517"/>
      <c r="BL66" s="517"/>
      <c r="BM66" s="517"/>
      <c r="BN66" s="517"/>
      <c r="BO66" s="517"/>
      <c r="BP66" s="517"/>
      <c r="BQ66" s="517"/>
      <c r="BR66" s="517"/>
      <c r="BS66" s="517"/>
      <c r="BT66" s="517"/>
      <c r="BU66" s="517"/>
      <c r="BV66" s="517"/>
      <c r="BW66" s="517"/>
      <c r="BX66" s="517"/>
      <c r="BY66" s="517"/>
      <c r="BZ66" s="517"/>
      <c r="CA66" s="517"/>
      <c r="CB66" s="517"/>
      <c r="CC66" s="517"/>
      <c r="CD66" s="517"/>
      <c r="CE66" s="517"/>
      <c r="CF66" s="517"/>
      <c r="CG66" s="517"/>
      <c r="CH66" s="517"/>
      <c r="CI66" s="517"/>
      <c r="CJ66" s="517"/>
      <c r="CK66" s="517"/>
      <c r="CL66" s="517"/>
      <c r="CM66" s="517"/>
      <c r="CN66" s="517"/>
      <c r="CO66" s="517"/>
      <c r="CP66" s="517"/>
    </row>
    <row r="67" spans="1:94" x14ac:dyDescent="0.2">
      <c r="A67" s="517"/>
      <c r="B67" s="517"/>
      <c r="C67" s="517"/>
      <c r="D67" s="517"/>
      <c r="E67" s="517"/>
      <c r="F67" s="517"/>
      <c r="G67" s="517"/>
      <c r="H67" s="517"/>
      <c r="I67" s="517"/>
      <c r="J67" s="517"/>
      <c r="K67" s="517"/>
      <c r="L67" s="517"/>
      <c r="M67" s="517"/>
      <c r="N67" s="517"/>
      <c r="O67" s="517"/>
      <c r="P67" s="517"/>
      <c r="Q67" s="517"/>
      <c r="R67" s="517"/>
      <c r="S67" s="517"/>
      <c r="T67" s="517"/>
      <c r="U67" s="517"/>
      <c r="V67" s="517"/>
      <c r="W67" s="517"/>
      <c r="X67" s="517"/>
      <c r="Y67" s="517"/>
      <c r="Z67" s="517"/>
      <c r="AA67" s="517"/>
      <c r="AB67" s="517"/>
      <c r="AC67" s="517"/>
      <c r="AD67" s="517"/>
      <c r="AE67" s="517"/>
      <c r="AF67" s="517"/>
      <c r="AG67" s="517"/>
      <c r="AH67" s="517"/>
      <c r="AI67" s="517"/>
      <c r="AJ67" s="517"/>
      <c r="AK67" s="517"/>
      <c r="AL67" s="517"/>
      <c r="AM67" s="517"/>
      <c r="AN67" s="517"/>
      <c r="AO67" s="517"/>
      <c r="AP67" s="517"/>
      <c r="AQ67" s="517"/>
      <c r="AR67" s="517"/>
      <c r="AS67" s="517"/>
      <c r="AT67" s="517"/>
      <c r="AU67" s="517"/>
      <c r="AV67" s="517"/>
      <c r="AW67" s="517"/>
      <c r="AX67" s="517"/>
      <c r="AY67" s="517"/>
      <c r="AZ67" s="517"/>
      <c r="BA67" s="517"/>
      <c r="BB67" s="517"/>
      <c r="BC67" s="517"/>
      <c r="BD67" s="517"/>
      <c r="BE67" s="517"/>
      <c r="BF67" s="517"/>
      <c r="BG67" s="517"/>
      <c r="BH67" s="517"/>
      <c r="BI67" s="517"/>
      <c r="BJ67" s="517"/>
      <c r="BK67" s="517"/>
      <c r="BL67" s="517"/>
      <c r="BM67" s="517"/>
      <c r="BN67" s="517"/>
      <c r="BO67" s="517"/>
      <c r="BP67" s="517"/>
      <c r="BQ67" s="517"/>
      <c r="BR67" s="517"/>
      <c r="BS67" s="517"/>
      <c r="BT67" s="517"/>
      <c r="BU67" s="517"/>
      <c r="BV67" s="517"/>
      <c r="BW67" s="517"/>
      <c r="BX67" s="517"/>
      <c r="BY67" s="517"/>
      <c r="BZ67" s="517"/>
      <c r="CA67" s="517"/>
      <c r="CB67" s="517"/>
      <c r="CC67" s="517"/>
      <c r="CD67" s="517"/>
      <c r="CE67" s="517"/>
      <c r="CF67" s="517"/>
      <c r="CG67" s="517"/>
      <c r="CH67" s="517"/>
      <c r="CI67" s="517"/>
      <c r="CJ67" s="517"/>
      <c r="CK67" s="517"/>
      <c r="CL67" s="517"/>
      <c r="CM67" s="517"/>
      <c r="CN67" s="517"/>
      <c r="CO67" s="517"/>
      <c r="CP67" s="517"/>
    </row>
    <row r="68" spans="1:94" x14ac:dyDescent="0.2">
      <c r="A68" s="517"/>
      <c r="B68" s="517"/>
      <c r="C68" s="517"/>
      <c r="D68" s="517"/>
      <c r="E68" s="517"/>
      <c r="F68" s="517"/>
      <c r="G68" s="517"/>
      <c r="H68" s="517"/>
      <c r="I68" s="517"/>
      <c r="J68" s="517"/>
      <c r="K68" s="517"/>
      <c r="L68" s="517"/>
      <c r="M68" s="517"/>
      <c r="N68" s="517"/>
      <c r="O68" s="517"/>
      <c r="P68" s="517"/>
      <c r="Q68" s="517"/>
      <c r="R68" s="517"/>
      <c r="S68" s="517"/>
      <c r="T68" s="517"/>
      <c r="U68" s="517"/>
      <c r="V68" s="517"/>
      <c r="W68" s="517"/>
      <c r="X68" s="517"/>
      <c r="Y68" s="517"/>
      <c r="Z68" s="517"/>
      <c r="AA68" s="517"/>
      <c r="AB68" s="517"/>
      <c r="AC68" s="517"/>
      <c r="AD68" s="517"/>
      <c r="AE68" s="517"/>
      <c r="AF68" s="517"/>
      <c r="AG68" s="517"/>
      <c r="AH68" s="517"/>
      <c r="AI68" s="517"/>
      <c r="AJ68" s="517"/>
      <c r="AK68" s="517"/>
      <c r="AL68" s="517"/>
      <c r="AM68" s="517"/>
      <c r="AN68" s="517"/>
      <c r="AO68" s="517"/>
      <c r="AP68" s="517"/>
      <c r="AQ68" s="517"/>
      <c r="AR68" s="517"/>
      <c r="AS68" s="517"/>
      <c r="AT68" s="517"/>
      <c r="AU68" s="517"/>
      <c r="AV68" s="517"/>
      <c r="AW68" s="517"/>
      <c r="AX68" s="517"/>
      <c r="AY68" s="517"/>
      <c r="AZ68" s="517"/>
      <c r="BA68" s="517"/>
      <c r="BB68" s="517"/>
      <c r="BC68" s="517"/>
      <c r="BD68" s="517"/>
      <c r="BE68" s="517"/>
      <c r="BF68" s="517"/>
      <c r="BG68" s="517"/>
      <c r="BH68" s="517"/>
      <c r="BI68" s="517"/>
      <c r="BJ68" s="517"/>
      <c r="BK68" s="517"/>
      <c r="BL68" s="517"/>
      <c r="BM68" s="517"/>
      <c r="BN68" s="517"/>
      <c r="BO68" s="517"/>
      <c r="BP68" s="517"/>
      <c r="BQ68" s="517"/>
      <c r="BR68" s="517"/>
      <c r="BS68" s="517"/>
      <c r="BT68" s="517"/>
      <c r="BU68" s="517"/>
      <c r="BV68" s="517"/>
      <c r="BW68" s="517"/>
      <c r="BX68" s="517"/>
      <c r="BY68" s="517"/>
      <c r="BZ68" s="517"/>
      <c r="CA68" s="517"/>
      <c r="CB68" s="517"/>
      <c r="CC68" s="517"/>
      <c r="CD68" s="517"/>
      <c r="CE68" s="517"/>
      <c r="CF68" s="517"/>
      <c r="CG68" s="517"/>
      <c r="CH68" s="517"/>
      <c r="CI68" s="517"/>
      <c r="CJ68" s="517"/>
      <c r="CK68" s="517"/>
      <c r="CL68" s="517"/>
      <c r="CM68" s="517"/>
      <c r="CN68" s="517"/>
      <c r="CO68" s="517"/>
      <c r="CP68" s="517"/>
    </row>
    <row r="69" spans="1:94" x14ac:dyDescent="0.2">
      <c r="A69" s="517"/>
      <c r="B69" s="517"/>
      <c r="C69" s="517"/>
      <c r="D69" s="517"/>
      <c r="E69" s="517"/>
      <c r="F69" s="517"/>
      <c r="G69" s="517"/>
      <c r="H69" s="517"/>
      <c r="I69" s="517"/>
      <c r="J69" s="517"/>
      <c r="K69" s="517"/>
      <c r="L69" s="517"/>
      <c r="M69" s="517"/>
      <c r="N69" s="517"/>
      <c r="O69" s="517"/>
      <c r="P69" s="517"/>
      <c r="Q69" s="517"/>
      <c r="R69" s="517"/>
      <c r="S69" s="517"/>
      <c r="T69" s="517"/>
      <c r="U69" s="517"/>
      <c r="V69" s="517"/>
      <c r="W69" s="517"/>
      <c r="X69" s="517"/>
      <c r="Y69" s="517"/>
      <c r="Z69" s="517"/>
      <c r="AA69" s="517"/>
      <c r="AB69" s="517"/>
      <c r="AC69" s="517"/>
      <c r="AD69" s="517"/>
      <c r="AE69" s="517"/>
      <c r="AF69" s="517"/>
      <c r="AG69" s="517"/>
      <c r="AH69" s="517"/>
      <c r="AI69" s="517"/>
      <c r="AJ69" s="517"/>
      <c r="AK69" s="517"/>
      <c r="AL69" s="517"/>
      <c r="AM69" s="517"/>
      <c r="AN69" s="517"/>
      <c r="AO69" s="517"/>
      <c r="AP69" s="517"/>
      <c r="AQ69" s="517"/>
      <c r="AR69" s="517"/>
      <c r="AS69" s="517"/>
      <c r="AT69" s="517"/>
      <c r="AU69" s="517"/>
      <c r="AV69" s="517"/>
      <c r="AW69" s="517"/>
      <c r="AX69" s="517"/>
      <c r="AY69" s="517"/>
      <c r="AZ69" s="517"/>
      <c r="BA69" s="517"/>
      <c r="BB69" s="517"/>
      <c r="BC69" s="517"/>
      <c r="BD69" s="517"/>
      <c r="BE69" s="517"/>
      <c r="BF69" s="517"/>
      <c r="BG69" s="517"/>
      <c r="BH69" s="517"/>
      <c r="BI69" s="517"/>
      <c r="BJ69" s="517"/>
      <c r="BK69" s="517"/>
      <c r="BL69" s="517"/>
      <c r="BM69" s="517"/>
      <c r="BN69" s="517"/>
      <c r="BO69" s="517"/>
      <c r="BP69" s="517"/>
      <c r="BQ69" s="517"/>
      <c r="BR69" s="517"/>
      <c r="BS69" s="517"/>
      <c r="BT69" s="517"/>
      <c r="BU69" s="517"/>
      <c r="BV69" s="517"/>
      <c r="BW69" s="517"/>
      <c r="BX69" s="517"/>
      <c r="BY69" s="517"/>
      <c r="BZ69" s="517"/>
      <c r="CA69" s="517"/>
      <c r="CB69" s="517"/>
      <c r="CC69" s="517"/>
      <c r="CD69" s="517"/>
      <c r="CE69" s="517"/>
      <c r="CF69" s="517"/>
      <c r="CG69" s="517"/>
      <c r="CH69" s="517"/>
      <c r="CI69" s="517"/>
      <c r="CJ69" s="517"/>
      <c r="CK69" s="517"/>
      <c r="CL69" s="517"/>
      <c r="CM69" s="517"/>
      <c r="CN69" s="517"/>
      <c r="CO69" s="517"/>
      <c r="CP69" s="517"/>
    </row>
    <row r="70" spans="1:94" x14ac:dyDescent="0.2">
      <c r="A70" s="517"/>
      <c r="B70" s="517"/>
      <c r="C70" s="517"/>
      <c r="D70" s="517"/>
      <c r="E70" s="517"/>
      <c r="F70" s="517"/>
      <c r="G70" s="517"/>
      <c r="H70" s="517"/>
      <c r="I70" s="517"/>
      <c r="J70" s="517"/>
      <c r="K70" s="517"/>
      <c r="L70" s="517"/>
      <c r="M70" s="517"/>
      <c r="N70" s="517"/>
      <c r="O70" s="517"/>
      <c r="P70" s="517"/>
      <c r="Q70" s="517"/>
      <c r="R70" s="517"/>
      <c r="S70" s="517"/>
      <c r="T70" s="517"/>
      <c r="U70" s="517"/>
      <c r="V70" s="517"/>
      <c r="W70" s="517"/>
      <c r="X70" s="517"/>
      <c r="Y70" s="517"/>
      <c r="Z70" s="517"/>
      <c r="AA70" s="517"/>
      <c r="AB70" s="517"/>
      <c r="AC70" s="517"/>
      <c r="AD70" s="517"/>
      <c r="AE70" s="517"/>
      <c r="AF70" s="517"/>
      <c r="AG70" s="517"/>
      <c r="AH70" s="517"/>
      <c r="AI70" s="517"/>
      <c r="AJ70" s="517"/>
      <c r="AK70" s="517"/>
      <c r="AL70" s="517"/>
      <c r="AM70" s="517"/>
      <c r="AN70" s="517"/>
      <c r="AO70" s="517"/>
      <c r="AP70" s="517"/>
      <c r="AQ70" s="517"/>
      <c r="AR70" s="517"/>
      <c r="AS70" s="517"/>
      <c r="AT70" s="517"/>
      <c r="AU70" s="517"/>
      <c r="AV70" s="517"/>
      <c r="AW70" s="517"/>
      <c r="AX70" s="517"/>
      <c r="AY70" s="517"/>
      <c r="AZ70" s="517"/>
      <c r="BA70" s="517"/>
      <c r="BB70" s="517"/>
      <c r="BC70" s="517"/>
      <c r="BD70" s="517"/>
      <c r="BE70" s="517"/>
      <c r="BF70" s="517"/>
      <c r="BG70" s="517"/>
      <c r="BH70" s="517"/>
      <c r="BI70" s="517"/>
      <c r="BJ70" s="517"/>
      <c r="BK70" s="517"/>
      <c r="BL70" s="517"/>
      <c r="BM70" s="517"/>
      <c r="BN70" s="517"/>
      <c r="BO70" s="517"/>
      <c r="BP70" s="517"/>
      <c r="BQ70" s="517"/>
      <c r="BR70" s="517"/>
      <c r="BS70" s="517"/>
      <c r="BT70" s="517"/>
      <c r="BU70" s="517"/>
      <c r="BV70" s="517"/>
      <c r="BW70" s="517"/>
      <c r="BX70" s="517"/>
      <c r="BY70" s="517"/>
      <c r="BZ70" s="517"/>
      <c r="CA70" s="517"/>
      <c r="CB70" s="517"/>
      <c r="CC70" s="517"/>
      <c r="CD70" s="517"/>
      <c r="CE70" s="517"/>
      <c r="CF70" s="517"/>
      <c r="CG70" s="517"/>
      <c r="CH70" s="517"/>
      <c r="CI70" s="517"/>
      <c r="CJ70" s="517"/>
      <c r="CK70" s="517"/>
      <c r="CL70" s="517"/>
      <c r="CM70" s="517"/>
      <c r="CN70" s="517"/>
      <c r="CO70" s="517"/>
      <c r="CP70" s="517"/>
    </row>
    <row r="71" spans="1:94" x14ac:dyDescent="0.2">
      <c r="A71" s="517"/>
      <c r="B71" s="517"/>
      <c r="C71" s="517"/>
      <c r="D71" s="517"/>
      <c r="E71" s="517"/>
      <c r="F71" s="517"/>
      <c r="G71" s="517"/>
      <c r="H71" s="517"/>
      <c r="I71" s="517"/>
      <c r="J71" s="517"/>
      <c r="K71" s="517"/>
      <c r="L71" s="517"/>
      <c r="M71" s="517"/>
      <c r="N71" s="517"/>
      <c r="O71" s="517"/>
      <c r="P71" s="517"/>
      <c r="Q71" s="517"/>
      <c r="R71" s="517"/>
      <c r="S71" s="517"/>
      <c r="T71" s="517"/>
      <c r="U71" s="517"/>
      <c r="V71" s="517"/>
      <c r="W71" s="517"/>
      <c r="X71" s="517"/>
      <c r="Y71" s="517"/>
      <c r="Z71" s="517"/>
      <c r="AA71" s="517"/>
      <c r="AB71" s="517"/>
      <c r="AC71" s="517"/>
      <c r="AD71" s="517"/>
      <c r="AE71" s="517"/>
      <c r="AF71" s="517"/>
      <c r="AG71" s="517"/>
      <c r="AH71" s="517"/>
      <c r="AI71" s="517"/>
      <c r="AJ71" s="517"/>
      <c r="AK71" s="517"/>
      <c r="AL71" s="517"/>
      <c r="AM71" s="517"/>
      <c r="AN71" s="517"/>
      <c r="AO71" s="517"/>
      <c r="AP71" s="517"/>
      <c r="AQ71" s="517"/>
      <c r="AR71" s="517"/>
      <c r="AS71" s="517"/>
      <c r="AT71" s="517"/>
      <c r="AU71" s="517"/>
      <c r="AV71" s="517"/>
      <c r="AW71" s="517"/>
      <c r="AX71" s="517"/>
      <c r="AY71" s="517"/>
      <c r="AZ71" s="517"/>
      <c r="BA71" s="517"/>
      <c r="BB71" s="517"/>
      <c r="BC71" s="517"/>
      <c r="BD71" s="517"/>
      <c r="BE71" s="517"/>
      <c r="BF71" s="517"/>
      <c r="BG71" s="517"/>
      <c r="BH71" s="517"/>
      <c r="BI71" s="517"/>
      <c r="BJ71" s="517"/>
      <c r="BK71" s="517"/>
      <c r="BL71" s="517"/>
      <c r="BM71" s="517"/>
      <c r="BN71" s="517"/>
      <c r="BO71" s="517"/>
      <c r="BP71" s="517"/>
      <c r="BQ71" s="517"/>
      <c r="BR71" s="517"/>
      <c r="BS71" s="517"/>
      <c r="BT71" s="517"/>
      <c r="BU71" s="517"/>
      <c r="BV71" s="517"/>
      <c r="BW71" s="517"/>
      <c r="BX71" s="517"/>
      <c r="BY71" s="517"/>
      <c r="BZ71" s="517"/>
      <c r="CA71" s="517"/>
      <c r="CB71" s="517"/>
      <c r="CC71" s="517"/>
      <c r="CD71" s="517"/>
      <c r="CE71" s="517"/>
      <c r="CF71" s="517"/>
      <c r="CG71" s="517"/>
      <c r="CH71" s="517"/>
      <c r="CI71" s="517"/>
      <c r="CJ71" s="517"/>
      <c r="CK71" s="517"/>
      <c r="CL71" s="517"/>
      <c r="CM71" s="517"/>
      <c r="CN71" s="517"/>
      <c r="CO71" s="517"/>
      <c r="CP71" s="517"/>
    </row>
    <row r="72" spans="1:94" x14ac:dyDescent="0.2">
      <c r="A72" s="517"/>
      <c r="B72" s="517"/>
      <c r="C72" s="517"/>
      <c r="D72" s="517"/>
      <c r="E72" s="517"/>
      <c r="F72" s="517"/>
      <c r="G72" s="517"/>
      <c r="H72" s="517"/>
      <c r="I72" s="517"/>
      <c r="J72" s="517"/>
      <c r="K72" s="517"/>
      <c r="L72" s="517"/>
      <c r="M72" s="517"/>
      <c r="N72" s="517"/>
      <c r="O72" s="517"/>
      <c r="P72" s="517"/>
      <c r="Q72" s="517"/>
      <c r="R72" s="517"/>
      <c r="S72" s="517"/>
      <c r="T72" s="517"/>
      <c r="U72" s="517"/>
      <c r="V72" s="517"/>
      <c r="W72" s="517"/>
      <c r="X72" s="517"/>
      <c r="Y72" s="517"/>
      <c r="Z72" s="517"/>
      <c r="AA72" s="517"/>
      <c r="AB72" s="517"/>
      <c r="AC72" s="517"/>
      <c r="AD72" s="517"/>
      <c r="AE72" s="517"/>
      <c r="AF72" s="517"/>
      <c r="AG72" s="517"/>
      <c r="AH72" s="517"/>
      <c r="AI72" s="517"/>
      <c r="AJ72" s="517"/>
      <c r="AK72" s="517"/>
      <c r="AL72" s="517"/>
      <c r="AM72" s="517"/>
      <c r="AN72" s="517"/>
      <c r="AO72" s="517"/>
      <c r="AP72" s="517"/>
      <c r="AQ72" s="517"/>
      <c r="AR72" s="517"/>
      <c r="AS72" s="517"/>
      <c r="AT72" s="517"/>
      <c r="AU72" s="517"/>
      <c r="AV72" s="517"/>
      <c r="AW72" s="517"/>
      <c r="AX72" s="517"/>
      <c r="AY72" s="517"/>
      <c r="AZ72" s="517"/>
      <c r="BA72" s="517"/>
      <c r="BB72" s="517"/>
      <c r="BC72" s="517"/>
      <c r="BD72" s="517"/>
      <c r="BE72" s="517"/>
      <c r="BF72" s="517"/>
      <c r="BG72" s="517"/>
      <c r="BH72" s="517"/>
      <c r="BI72" s="517"/>
      <c r="BJ72" s="517"/>
      <c r="BK72" s="517"/>
      <c r="BL72" s="517"/>
      <c r="BM72" s="517"/>
      <c r="BN72" s="517"/>
      <c r="BO72" s="517"/>
      <c r="BP72" s="517"/>
      <c r="BQ72" s="517"/>
      <c r="BR72" s="517"/>
      <c r="BS72" s="517"/>
      <c r="BT72" s="517"/>
      <c r="BU72" s="517"/>
      <c r="BV72" s="517"/>
      <c r="BW72" s="517"/>
      <c r="BX72" s="517"/>
      <c r="BY72" s="517"/>
      <c r="BZ72" s="517"/>
      <c r="CA72" s="517"/>
      <c r="CB72" s="517"/>
      <c r="CC72" s="517"/>
      <c r="CD72" s="517"/>
      <c r="CE72" s="517"/>
      <c r="CF72" s="517"/>
      <c r="CG72" s="517"/>
      <c r="CH72" s="517"/>
      <c r="CI72" s="517"/>
      <c r="CJ72" s="517"/>
      <c r="CK72" s="517"/>
      <c r="CL72" s="517"/>
      <c r="CM72" s="517"/>
      <c r="CN72" s="517"/>
      <c r="CO72" s="517"/>
      <c r="CP72" s="517"/>
    </row>
    <row r="73" spans="1:94" x14ac:dyDescent="0.2">
      <c r="A73" s="517"/>
      <c r="B73" s="517"/>
      <c r="C73" s="517"/>
      <c r="D73" s="517"/>
      <c r="E73" s="517"/>
      <c r="F73" s="517"/>
      <c r="G73" s="517"/>
      <c r="H73" s="517"/>
      <c r="I73" s="517"/>
      <c r="J73" s="517"/>
      <c r="K73" s="517"/>
      <c r="L73" s="517"/>
      <c r="M73" s="517"/>
      <c r="N73" s="517"/>
      <c r="O73" s="517"/>
      <c r="P73" s="517"/>
      <c r="Q73" s="517"/>
      <c r="R73" s="517"/>
      <c r="S73" s="517"/>
      <c r="T73" s="517"/>
      <c r="U73" s="517"/>
      <c r="V73" s="517"/>
      <c r="W73" s="517"/>
      <c r="X73" s="517"/>
      <c r="Y73" s="517"/>
      <c r="Z73" s="517"/>
      <c r="AA73" s="517"/>
      <c r="AB73" s="517"/>
      <c r="AC73" s="517"/>
      <c r="AD73" s="517"/>
      <c r="AE73" s="517"/>
      <c r="AF73" s="517"/>
      <c r="AG73" s="517"/>
      <c r="AH73" s="517"/>
      <c r="AI73" s="517"/>
      <c r="AJ73" s="517"/>
      <c r="AK73" s="517"/>
      <c r="AL73" s="517"/>
      <c r="AM73" s="517"/>
      <c r="AN73" s="517"/>
      <c r="AO73" s="517"/>
      <c r="AP73" s="517"/>
      <c r="AQ73" s="517"/>
      <c r="AR73" s="517"/>
      <c r="AS73" s="517"/>
      <c r="AT73" s="517"/>
      <c r="AU73" s="517"/>
      <c r="AV73" s="517"/>
      <c r="AW73" s="517"/>
      <c r="AX73" s="517"/>
      <c r="AY73" s="517"/>
      <c r="AZ73" s="517"/>
      <c r="BA73" s="517"/>
      <c r="BB73" s="517"/>
      <c r="BC73" s="517"/>
      <c r="BD73" s="517"/>
      <c r="BE73" s="517"/>
      <c r="BF73" s="517"/>
      <c r="BG73" s="517"/>
      <c r="BH73" s="517"/>
      <c r="BI73" s="517"/>
      <c r="BJ73" s="517"/>
      <c r="BK73" s="517"/>
      <c r="BL73" s="517"/>
      <c r="BM73" s="517"/>
      <c r="BN73" s="517"/>
      <c r="BO73" s="517"/>
      <c r="BP73" s="517"/>
      <c r="BQ73" s="517"/>
      <c r="BR73" s="517"/>
      <c r="BS73" s="517"/>
      <c r="BT73" s="517"/>
      <c r="BU73" s="517"/>
      <c r="BV73" s="517"/>
      <c r="BW73" s="517"/>
      <c r="BX73" s="517"/>
      <c r="BY73" s="517"/>
      <c r="BZ73" s="517"/>
      <c r="CA73" s="517"/>
      <c r="CB73" s="517"/>
      <c r="CC73" s="517"/>
      <c r="CD73" s="517"/>
      <c r="CE73" s="517"/>
      <c r="CF73" s="517"/>
      <c r="CG73" s="517"/>
      <c r="CH73" s="517"/>
      <c r="CI73" s="517"/>
      <c r="CJ73" s="517"/>
      <c r="CK73" s="517"/>
      <c r="CL73" s="517"/>
      <c r="CM73" s="517"/>
      <c r="CN73" s="517"/>
      <c r="CO73" s="517"/>
      <c r="CP73" s="517"/>
    </row>
    <row r="74" spans="1:94" x14ac:dyDescent="0.2">
      <c r="A74" s="517"/>
      <c r="B74" s="517"/>
      <c r="C74" s="517"/>
      <c r="D74" s="517"/>
      <c r="E74" s="517"/>
      <c r="F74" s="517"/>
      <c r="G74" s="517"/>
      <c r="H74" s="517"/>
      <c r="I74" s="517"/>
      <c r="J74" s="517"/>
      <c r="K74" s="517"/>
      <c r="L74" s="517"/>
      <c r="M74" s="517"/>
      <c r="N74" s="517"/>
      <c r="O74" s="517"/>
      <c r="P74" s="517"/>
      <c r="Q74" s="517"/>
      <c r="R74" s="517"/>
      <c r="S74" s="517"/>
      <c r="T74" s="517"/>
      <c r="U74" s="517"/>
      <c r="V74" s="517"/>
      <c r="W74" s="517"/>
      <c r="X74" s="517"/>
      <c r="Y74" s="517"/>
      <c r="Z74" s="517"/>
      <c r="AA74" s="517"/>
      <c r="AB74" s="517"/>
      <c r="AC74" s="517"/>
      <c r="AD74" s="517"/>
      <c r="AE74" s="517"/>
      <c r="AF74" s="517"/>
      <c r="AG74" s="517"/>
      <c r="AH74" s="517"/>
      <c r="AI74" s="517"/>
      <c r="AJ74" s="517"/>
      <c r="AK74" s="517"/>
      <c r="AL74" s="517"/>
      <c r="AM74" s="517"/>
      <c r="AN74" s="517"/>
      <c r="AO74" s="517"/>
      <c r="AP74" s="517"/>
      <c r="AQ74" s="517"/>
      <c r="AR74" s="517"/>
      <c r="AS74" s="517"/>
      <c r="AT74" s="517"/>
      <c r="AU74" s="517"/>
      <c r="AV74" s="517"/>
      <c r="AW74" s="517"/>
      <c r="AX74" s="517"/>
      <c r="AY74" s="517"/>
      <c r="AZ74" s="517"/>
      <c r="BA74" s="517"/>
      <c r="BB74" s="517"/>
      <c r="BC74" s="517"/>
      <c r="BD74" s="517"/>
      <c r="BE74" s="517"/>
      <c r="BF74" s="517"/>
      <c r="BG74" s="517"/>
      <c r="BH74" s="517"/>
      <c r="BI74" s="517"/>
      <c r="BJ74" s="517"/>
      <c r="BK74" s="517"/>
      <c r="BL74" s="517"/>
      <c r="BM74" s="517"/>
      <c r="BN74" s="517"/>
      <c r="BO74" s="517"/>
      <c r="BP74" s="517"/>
      <c r="BQ74" s="517"/>
      <c r="BR74" s="517"/>
      <c r="BS74" s="517"/>
      <c r="BT74" s="517"/>
      <c r="BU74" s="517"/>
      <c r="BV74" s="517"/>
      <c r="BW74" s="517"/>
      <c r="BX74" s="517"/>
      <c r="BY74" s="517"/>
      <c r="BZ74" s="517"/>
      <c r="CA74" s="517"/>
      <c r="CB74" s="517"/>
      <c r="CC74" s="517"/>
      <c r="CD74" s="517"/>
      <c r="CE74" s="517"/>
      <c r="CF74" s="517"/>
      <c r="CG74" s="517"/>
      <c r="CH74" s="517"/>
      <c r="CI74" s="517"/>
      <c r="CJ74" s="517"/>
      <c r="CK74" s="517"/>
      <c r="CL74" s="517"/>
      <c r="CM74" s="517"/>
      <c r="CN74" s="517"/>
      <c r="CO74" s="517"/>
      <c r="CP74" s="517"/>
    </row>
    <row r="75" spans="1:94" x14ac:dyDescent="0.2">
      <c r="A75" s="517"/>
      <c r="B75" s="517"/>
      <c r="C75" s="517"/>
      <c r="D75" s="517"/>
      <c r="E75" s="517"/>
      <c r="F75" s="517"/>
      <c r="G75" s="517"/>
      <c r="H75" s="517"/>
      <c r="I75" s="517"/>
      <c r="J75" s="517"/>
      <c r="K75" s="517"/>
      <c r="L75" s="517"/>
      <c r="M75" s="517"/>
      <c r="N75" s="517"/>
      <c r="O75" s="517"/>
      <c r="P75" s="517"/>
      <c r="Q75" s="517"/>
      <c r="R75" s="517"/>
      <c r="S75" s="517"/>
      <c r="T75" s="517"/>
      <c r="U75" s="517"/>
      <c r="V75" s="517"/>
      <c r="W75" s="517"/>
      <c r="X75" s="517"/>
      <c r="Y75" s="517"/>
      <c r="Z75" s="517"/>
      <c r="AA75" s="517"/>
      <c r="AB75" s="517"/>
      <c r="AC75" s="517"/>
      <c r="AD75" s="517"/>
      <c r="AE75" s="517"/>
      <c r="AF75" s="517"/>
      <c r="AG75" s="517"/>
      <c r="AH75" s="517"/>
      <c r="AI75" s="517"/>
      <c r="AJ75" s="517"/>
      <c r="AK75" s="517"/>
      <c r="AL75" s="517"/>
      <c r="AM75" s="517"/>
      <c r="AN75" s="517"/>
      <c r="AO75" s="517"/>
      <c r="AP75" s="517"/>
      <c r="AQ75" s="517"/>
      <c r="AR75" s="517"/>
      <c r="AS75" s="517"/>
      <c r="AT75" s="517"/>
      <c r="AU75" s="517"/>
      <c r="AV75" s="517"/>
      <c r="AW75" s="517"/>
      <c r="AX75" s="517"/>
      <c r="AY75" s="517"/>
      <c r="AZ75" s="517"/>
      <c r="BA75" s="517"/>
      <c r="BB75" s="517"/>
      <c r="BC75" s="517"/>
      <c r="BD75" s="517"/>
      <c r="BE75" s="517"/>
      <c r="BF75" s="517"/>
      <c r="BG75" s="517"/>
      <c r="BH75" s="517"/>
      <c r="BI75" s="517"/>
      <c r="BJ75" s="517"/>
      <c r="BK75" s="517"/>
      <c r="BL75" s="517"/>
      <c r="BM75" s="517"/>
      <c r="BN75" s="517"/>
      <c r="BO75" s="517"/>
      <c r="BP75" s="517"/>
      <c r="BQ75" s="517"/>
      <c r="BR75" s="517"/>
      <c r="BS75" s="517"/>
      <c r="BT75" s="517"/>
      <c r="BU75" s="517"/>
      <c r="BV75" s="517"/>
      <c r="BW75" s="517"/>
      <c r="BX75" s="517"/>
      <c r="BY75" s="517"/>
      <c r="BZ75" s="517"/>
      <c r="CA75" s="517"/>
      <c r="CB75" s="517"/>
      <c r="CC75" s="517"/>
      <c r="CD75" s="517"/>
      <c r="CE75" s="517"/>
      <c r="CF75" s="517"/>
      <c r="CG75" s="517"/>
      <c r="CH75" s="517"/>
      <c r="CI75" s="517"/>
      <c r="CJ75" s="517"/>
      <c r="CK75" s="517"/>
      <c r="CL75" s="517"/>
      <c r="CM75" s="517"/>
      <c r="CN75" s="517"/>
      <c r="CO75" s="517"/>
      <c r="CP75" s="517"/>
    </row>
    <row r="76" spans="1:94" x14ac:dyDescent="0.2">
      <c r="A76" s="517"/>
      <c r="B76" s="517"/>
      <c r="C76" s="517"/>
      <c r="D76" s="517"/>
      <c r="E76" s="517"/>
      <c r="F76" s="517"/>
      <c r="G76" s="517"/>
      <c r="H76" s="517"/>
      <c r="I76" s="517"/>
      <c r="J76" s="517"/>
      <c r="K76" s="517"/>
      <c r="L76" s="517"/>
      <c r="M76" s="517"/>
      <c r="N76" s="517"/>
      <c r="O76" s="517"/>
      <c r="P76" s="517"/>
      <c r="Q76" s="517"/>
      <c r="R76" s="517"/>
      <c r="S76" s="517"/>
      <c r="T76" s="517"/>
      <c r="U76" s="517"/>
      <c r="V76" s="517"/>
      <c r="W76" s="517"/>
      <c r="X76" s="517"/>
      <c r="Y76" s="517"/>
      <c r="Z76" s="517"/>
      <c r="AA76" s="517"/>
      <c r="AB76" s="517"/>
      <c r="AC76" s="517"/>
      <c r="AD76" s="517"/>
      <c r="AE76" s="517"/>
      <c r="AF76" s="517"/>
      <c r="AG76" s="517"/>
      <c r="AH76" s="517"/>
      <c r="AI76" s="517"/>
      <c r="AJ76" s="517"/>
      <c r="AK76" s="517"/>
      <c r="AL76" s="517"/>
      <c r="AM76" s="517"/>
      <c r="AN76" s="517"/>
      <c r="AO76" s="517"/>
      <c r="AP76" s="517"/>
      <c r="AQ76" s="517"/>
      <c r="AR76" s="517"/>
      <c r="AS76" s="517"/>
      <c r="AT76" s="517"/>
      <c r="AU76" s="517"/>
      <c r="AV76" s="517"/>
      <c r="AW76" s="517"/>
      <c r="AX76" s="517"/>
      <c r="AY76" s="517"/>
      <c r="AZ76" s="517"/>
      <c r="BA76" s="517"/>
      <c r="BB76" s="517"/>
      <c r="BC76" s="517"/>
      <c r="BD76" s="517"/>
      <c r="BE76" s="517"/>
      <c r="BF76" s="517"/>
      <c r="BG76" s="517"/>
      <c r="BH76" s="517"/>
      <c r="BI76" s="517"/>
      <c r="BJ76" s="517"/>
      <c r="BK76" s="517"/>
      <c r="BL76" s="517"/>
      <c r="BM76" s="517"/>
      <c r="BN76" s="517"/>
      <c r="BO76" s="517"/>
      <c r="BP76" s="517"/>
      <c r="BQ76" s="517"/>
      <c r="BR76" s="517"/>
      <c r="BS76" s="517"/>
      <c r="BT76" s="517"/>
      <c r="BU76" s="517"/>
      <c r="BV76" s="517"/>
      <c r="BW76" s="517"/>
      <c r="BX76" s="517"/>
      <c r="BY76" s="517"/>
      <c r="BZ76" s="517"/>
      <c r="CA76" s="517"/>
      <c r="CB76" s="517"/>
      <c r="CC76" s="517"/>
      <c r="CD76" s="517"/>
      <c r="CE76" s="517"/>
      <c r="CF76" s="517"/>
      <c r="CG76" s="517"/>
      <c r="CH76" s="517"/>
      <c r="CI76" s="517"/>
      <c r="CJ76" s="517"/>
      <c r="CK76" s="517"/>
      <c r="CL76" s="517"/>
      <c r="CM76" s="517"/>
      <c r="CN76" s="517"/>
      <c r="CO76" s="517"/>
      <c r="CP76" s="517"/>
    </row>
    <row r="77" spans="1:94" x14ac:dyDescent="0.2">
      <c r="A77" s="517"/>
      <c r="B77" s="517"/>
      <c r="C77" s="517"/>
      <c r="D77" s="517"/>
      <c r="E77" s="517"/>
      <c r="F77" s="517"/>
      <c r="G77" s="517"/>
      <c r="H77" s="517"/>
      <c r="I77" s="517"/>
      <c r="J77" s="517"/>
      <c r="K77" s="517"/>
      <c r="L77" s="517"/>
      <c r="M77" s="517"/>
      <c r="N77" s="517"/>
      <c r="O77" s="517"/>
      <c r="P77" s="517"/>
      <c r="Q77" s="517"/>
      <c r="R77" s="517"/>
      <c r="S77" s="517"/>
      <c r="T77" s="517"/>
      <c r="U77" s="517"/>
      <c r="V77" s="517"/>
      <c r="W77" s="517"/>
      <c r="X77" s="517"/>
      <c r="Y77" s="517"/>
      <c r="Z77" s="517"/>
      <c r="AA77" s="517"/>
      <c r="AB77" s="517"/>
      <c r="AC77" s="517"/>
      <c r="AD77" s="517"/>
      <c r="AE77" s="517"/>
      <c r="AF77" s="517"/>
      <c r="AG77" s="517"/>
      <c r="AH77" s="517"/>
      <c r="AI77" s="517"/>
      <c r="AJ77" s="517"/>
      <c r="AK77" s="517"/>
      <c r="AL77" s="517"/>
      <c r="AM77" s="517"/>
      <c r="AN77" s="517"/>
      <c r="AO77" s="517"/>
      <c r="AP77" s="517"/>
      <c r="AQ77" s="517"/>
      <c r="AR77" s="517"/>
      <c r="AS77" s="517"/>
      <c r="AT77" s="517"/>
      <c r="AU77" s="517"/>
      <c r="AV77" s="517"/>
      <c r="AW77" s="517"/>
      <c r="AX77" s="517"/>
      <c r="AY77" s="517"/>
      <c r="AZ77" s="517"/>
      <c r="BA77" s="517"/>
      <c r="BB77" s="517"/>
      <c r="BC77" s="517"/>
      <c r="BD77" s="517"/>
      <c r="BE77" s="517"/>
      <c r="BF77" s="517"/>
      <c r="BG77" s="517"/>
      <c r="BH77" s="517"/>
      <c r="BI77" s="517"/>
      <c r="BJ77" s="517"/>
      <c r="BK77" s="517"/>
      <c r="BL77" s="517"/>
      <c r="BM77" s="517"/>
      <c r="BN77" s="517"/>
      <c r="BO77" s="517"/>
      <c r="BP77" s="517"/>
      <c r="BQ77" s="517"/>
      <c r="BR77" s="517"/>
      <c r="BS77" s="517"/>
      <c r="BT77" s="517"/>
      <c r="BU77" s="517"/>
      <c r="BV77" s="517"/>
      <c r="BW77" s="517"/>
      <c r="BX77" s="517"/>
      <c r="BY77" s="517"/>
      <c r="BZ77" s="517"/>
      <c r="CA77" s="517"/>
      <c r="CB77" s="517"/>
      <c r="CC77" s="517"/>
      <c r="CD77" s="517"/>
      <c r="CE77" s="517"/>
      <c r="CF77" s="517"/>
      <c r="CG77" s="517"/>
      <c r="CH77" s="517"/>
      <c r="CI77" s="517"/>
      <c r="CJ77" s="517"/>
      <c r="CK77" s="517"/>
      <c r="CL77" s="517"/>
      <c r="CM77" s="517"/>
      <c r="CN77" s="517"/>
      <c r="CO77" s="517"/>
      <c r="CP77" s="517"/>
    </row>
    <row r="78" spans="1:94" x14ac:dyDescent="0.2">
      <c r="A78" s="517"/>
      <c r="B78" s="517"/>
      <c r="C78" s="517"/>
      <c r="D78" s="517"/>
      <c r="E78" s="517"/>
      <c r="F78" s="517"/>
      <c r="G78" s="517"/>
      <c r="H78" s="517"/>
      <c r="I78" s="517"/>
      <c r="J78" s="517"/>
      <c r="K78" s="517"/>
      <c r="L78" s="517"/>
      <c r="M78" s="517"/>
      <c r="N78" s="517"/>
      <c r="O78" s="517"/>
      <c r="P78" s="517"/>
      <c r="Q78" s="517"/>
      <c r="R78" s="517"/>
      <c r="S78" s="517"/>
      <c r="T78" s="517"/>
      <c r="U78" s="517"/>
      <c r="V78" s="517"/>
      <c r="W78" s="517"/>
      <c r="X78" s="517"/>
      <c r="Y78" s="517"/>
      <c r="Z78" s="517"/>
      <c r="AA78" s="517"/>
      <c r="AB78" s="517"/>
      <c r="AC78" s="517"/>
      <c r="AD78" s="517"/>
      <c r="AE78" s="517"/>
      <c r="AF78" s="517"/>
      <c r="AG78" s="517"/>
      <c r="AH78" s="517"/>
      <c r="AI78" s="517"/>
      <c r="AJ78" s="517"/>
      <c r="AK78" s="517"/>
      <c r="AL78" s="517"/>
      <c r="AM78" s="517"/>
      <c r="AN78" s="517"/>
      <c r="AO78" s="517"/>
      <c r="AP78" s="517"/>
      <c r="AQ78" s="517"/>
      <c r="AR78" s="517"/>
      <c r="AS78" s="517"/>
      <c r="AT78" s="517"/>
      <c r="AU78" s="517"/>
      <c r="AV78" s="517"/>
      <c r="AW78" s="517"/>
      <c r="AX78" s="517"/>
      <c r="AY78" s="517"/>
      <c r="AZ78" s="517"/>
      <c r="BA78" s="517"/>
      <c r="BB78" s="517"/>
      <c r="BC78" s="517"/>
      <c r="BD78" s="517"/>
      <c r="BE78" s="517"/>
      <c r="BF78" s="517"/>
      <c r="BG78" s="517"/>
      <c r="BH78" s="517"/>
      <c r="BI78" s="517"/>
      <c r="BJ78" s="517"/>
      <c r="BK78" s="517"/>
      <c r="BL78" s="517"/>
      <c r="BM78" s="517"/>
      <c r="BN78" s="517"/>
      <c r="BO78" s="517"/>
      <c r="BP78" s="517"/>
      <c r="BQ78" s="517"/>
      <c r="BR78" s="517"/>
      <c r="BS78" s="517"/>
      <c r="BT78" s="517"/>
      <c r="BU78" s="517"/>
      <c r="BV78" s="517"/>
      <c r="BW78" s="517"/>
      <c r="BX78" s="517"/>
      <c r="BY78" s="517"/>
      <c r="BZ78" s="517"/>
      <c r="CA78" s="517"/>
      <c r="CB78" s="517"/>
      <c r="CC78" s="517"/>
      <c r="CD78" s="517"/>
      <c r="CE78" s="517"/>
      <c r="CF78" s="517"/>
      <c r="CG78" s="517"/>
      <c r="CH78" s="517"/>
      <c r="CI78" s="517"/>
      <c r="CJ78" s="517"/>
      <c r="CK78" s="517"/>
      <c r="CL78" s="517"/>
      <c r="CM78" s="517"/>
      <c r="CN78" s="517"/>
      <c r="CO78" s="517"/>
      <c r="CP78" s="517"/>
    </row>
    <row r="79" spans="1:94" x14ac:dyDescent="0.2">
      <c r="A79" s="517"/>
      <c r="B79" s="517"/>
      <c r="C79" s="517"/>
      <c r="D79" s="517"/>
      <c r="E79" s="517"/>
      <c r="F79" s="517"/>
      <c r="G79" s="517"/>
      <c r="H79" s="517"/>
      <c r="I79" s="517"/>
      <c r="J79" s="517"/>
      <c r="K79" s="517"/>
      <c r="L79" s="517"/>
      <c r="M79" s="517"/>
      <c r="N79" s="517"/>
      <c r="O79" s="517"/>
      <c r="P79" s="517"/>
      <c r="Q79" s="517"/>
      <c r="R79" s="517"/>
      <c r="S79" s="517"/>
      <c r="T79" s="517"/>
      <c r="U79" s="517"/>
      <c r="V79" s="517"/>
      <c r="W79" s="517"/>
      <c r="X79" s="517"/>
      <c r="Y79" s="517"/>
      <c r="Z79" s="517"/>
      <c r="AA79" s="517"/>
      <c r="AB79" s="517"/>
      <c r="AC79" s="517"/>
      <c r="AD79" s="517"/>
      <c r="AE79" s="517"/>
      <c r="AF79" s="517"/>
      <c r="AG79" s="517"/>
      <c r="AH79" s="517"/>
      <c r="AI79" s="517"/>
      <c r="AJ79" s="517"/>
      <c r="AK79" s="517"/>
      <c r="AL79" s="517"/>
      <c r="AM79" s="517"/>
      <c r="AN79" s="517"/>
      <c r="AO79" s="517"/>
      <c r="AP79" s="517"/>
      <c r="AQ79" s="517"/>
      <c r="AR79" s="517"/>
      <c r="AS79" s="517"/>
      <c r="AT79" s="517"/>
      <c r="AU79" s="517"/>
      <c r="AV79" s="517"/>
      <c r="AW79" s="517"/>
      <c r="AX79" s="517"/>
      <c r="AY79" s="517"/>
      <c r="AZ79" s="517"/>
      <c r="BA79" s="517"/>
      <c r="BB79" s="517"/>
      <c r="BC79" s="517"/>
      <c r="BD79" s="517"/>
      <c r="BE79" s="517"/>
      <c r="BF79" s="517"/>
      <c r="BG79" s="517"/>
      <c r="BH79" s="517"/>
      <c r="BI79" s="517"/>
      <c r="BJ79" s="517"/>
      <c r="BK79" s="517"/>
      <c r="BL79" s="517"/>
      <c r="BM79" s="517"/>
      <c r="BN79" s="517"/>
      <c r="BO79" s="517"/>
      <c r="BP79" s="517"/>
      <c r="BQ79" s="517"/>
      <c r="BR79" s="517"/>
      <c r="BS79" s="517"/>
      <c r="BT79" s="517"/>
      <c r="BU79" s="517"/>
      <c r="BV79" s="517"/>
      <c r="BW79" s="517"/>
      <c r="BX79" s="517"/>
      <c r="BY79" s="517"/>
      <c r="BZ79" s="517"/>
      <c r="CA79" s="517"/>
      <c r="CB79" s="517"/>
      <c r="CC79" s="517"/>
      <c r="CD79" s="517"/>
      <c r="CE79" s="517"/>
      <c r="CF79" s="517"/>
      <c r="CG79" s="517"/>
      <c r="CH79" s="517"/>
      <c r="CI79" s="517"/>
      <c r="CJ79" s="517"/>
      <c r="CK79" s="517"/>
      <c r="CL79" s="517"/>
      <c r="CM79" s="517"/>
      <c r="CN79" s="517"/>
      <c r="CO79" s="517"/>
      <c r="CP79" s="517"/>
    </row>
    <row r="80" spans="1:94" x14ac:dyDescent="0.2">
      <c r="A80" s="517"/>
      <c r="B80" s="517"/>
      <c r="C80" s="517"/>
      <c r="D80" s="517"/>
      <c r="E80" s="517"/>
      <c r="F80" s="517"/>
      <c r="G80" s="517"/>
      <c r="H80" s="517"/>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7"/>
      <c r="AG80" s="517"/>
      <c r="AH80" s="517"/>
      <c r="AI80" s="517"/>
      <c r="AJ80" s="517"/>
      <c r="AK80" s="517"/>
      <c r="AL80" s="517"/>
      <c r="AM80" s="517"/>
      <c r="AN80" s="517"/>
      <c r="AO80" s="517"/>
      <c r="AP80" s="517"/>
      <c r="AQ80" s="517"/>
      <c r="AR80" s="517"/>
      <c r="AS80" s="517"/>
      <c r="AT80" s="517"/>
      <c r="AU80" s="517"/>
      <c r="AV80" s="517"/>
      <c r="AW80" s="517"/>
      <c r="AX80" s="517"/>
      <c r="AY80" s="517"/>
      <c r="AZ80" s="517"/>
      <c r="BA80" s="517"/>
      <c r="BB80" s="517"/>
      <c r="BC80" s="517"/>
      <c r="BD80" s="517"/>
      <c r="BE80" s="517"/>
      <c r="BF80" s="517"/>
      <c r="BG80" s="517"/>
      <c r="BH80" s="517"/>
      <c r="BI80" s="517"/>
      <c r="BJ80" s="517"/>
      <c r="BK80" s="517"/>
      <c r="BL80" s="517"/>
      <c r="BM80" s="517"/>
      <c r="BN80" s="517"/>
      <c r="BO80" s="517"/>
      <c r="BP80" s="517"/>
      <c r="BQ80" s="517"/>
      <c r="BR80" s="517"/>
      <c r="BS80" s="517"/>
      <c r="BT80" s="517"/>
      <c r="BU80" s="517"/>
      <c r="BV80" s="517"/>
      <c r="BW80" s="517"/>
      <c r="BX80" s="517"/>
      <c r="BY80" s="517"/>
      <c r="BZ80" s="517"/>
      <c r="CA80" s="517"/>
      <c r="CB80" s="517"/>
      <c r="CC80" s="517"/>
      <c r="CD80" s="517"/>
      <c r="CE80" s="517"/>
      <c r="CF80" s="517"/>
      <c r="CG80" s="517"/>
      <c r="CH80" s="517"/>
      <c r="CI80" s="517"/>
      <c r="CJ80" s="517"/>
      <c r="CK80" s="517"/>
      <c r="CL80" s="517"/>
      <c r="CM80" s="517"/>
      <c r="CN80" s="517"/>
      <c r="CO80" s="517"/>
      <c r="CP80" s="517"/>
    </row>
    <row r="81" spans="1:94" x14ac:dyDescent="0.2">
      <c r="A81" s="517"/>
      <c r="B81" s="517"/>
      <c r="C81" s="517"/>
      <c r="D81" s="517"/>
      <c r="E81" s="517"/>
      <c r="F81" s="517"/>
      <c r="G81" s="517"/>
      <c r="H81" s="517"/>
      <c r="I81" s="517"/>
      <c r="J81" s="517"/>
      <c r="K81" s="517"/>
      <c r="L81" s="517"/>
      <c r="M81" s="517"/>
      <c r="N81" s="517"/>
      <c r="O81" s="517"/>
      <c r="P81" s="517"/>
      <c r="Q81" s="517"/>
      <c r="R81" s="517"/>
      <c r="S81" s="517"/>
      <c r="T81" s="517"/>
      <c r="U81" s="517"/>
      <c r="V81" s="517"/>
      <c r="W81" s="517"/>
      <c r="X81" s="517"/>
      <c r="Y81" s="517"/>
      <c r="Z81" s="517"/>
      <c r="AA81" s="517"/>
      <c r="AB81" s="517"/>
      <c r="AC81" s="517"/>
      <c r="AD81" s="517"/>
      <c r="AE81" s="517"/>
      <c r="AF81" s="517"/>
      <c r="AG81" s="517"/>
      <c r="AH81" s="517"/>
      <c r="AI81" s="517"/>
      <c r="AJ81" s="517"/>
      <c r="AK81" s="517"/>
      <c r="AL81" s="517"/>
      <c r="AM81" s="517"/>
      <c r="AN81" s="517"/>
      <c r="AO81" s="517"/>
      <c r="AP81" s="517"/>
      <c r="AQ81" s="517"/>
      <c r="AR81" s="517"/>
      <c r="AS81" s="517"/>
      <c r="AT81" s="517"/>
      <c r="AU81" s="517"/>
      <c r="AV81" s="517"/>
      <c r="AW81" s="517"/>
      <c r="AX81" s="517"/>
      <c r="AY81" s="517"/>
      <c r="AZ81" s="517"/>
      <c r="BA81" s="517"/>
      <c r="BB81" s="517"/>
      <c r="BC81" s="517"/>
      <c r="BD81" s="517"/>
      <c r="BE81" s="517"/>
      <c r="BF81" s="517"/>
      <c r="BG81" s="517"/>
      <c r="BH81" s="517"/>
      <c r="BI81" s="517"/>
      <c r="BJ81" s="517"/>
      <c r="BK81" s="517"/>
      <c r="BL81" s="517"/>
      <c r="BM81" s="517"/>
      <c r="BN81" s="517"/>
      <c r="BO81" s="517"/>
      <c r="BP81" s="517"/>
      <c r="BQ81" s="517"/>
      <c r="BR81" s="517"/>
      <c r="BS81" s="517"/>
      <c r="BT81" s="517"/>
      <c r="BU81" s="517"/>
      <c r="BV81" s="517"/>
      <c r="BW81" s="517"/>
      <c r="BX81" s="517"/>
      <c r="BY81" s="517"/>
      <c r="BZ81" s="517"/>
      <c r="CA81" s="517"/>
      <c r="CB81" s="517"/>
      <c r="CC81" s="517"/>
      <c r="CD81" s="517"/>
      <c r="CE81" s="517"/>
      <c r="CF81" s="517"/>
      <c r="CG81" s="517"/>
      <c r="CH81" s="517"/>
      <c r="CI81" s="517"/>
      <c r="CJ81" s="517"/>
      <c r="CK81" s="517"/>
      <c r="CL81" s="517"/>
      <c r="CM81" s="517"/>
      <c r="CN81" s="517"/>
      <c r="CO81" s="517"/>
      <c r="CP81" s="517"/>
    </row>
    <row r="82" spans="1:94" x14ac:dyDescent="0.2">
      <c r="A82" s="517"/>
      <c r="B82" s="517"/>
      <c r="C82" s="517"/>
      <c r="D82" s="517"/>
      <c r="E82" s="517"/>
      <c r="F82" s="517"/>
      <c r="G82" s="517"/>
      <c r="H82" s="517"/>
      <c r="I82" s="517"/>
      <c r="J82" s="517"/>
      <c r="K82" s="517"/>
      <c r="L82" s="517"/>
      <c r="M82" s="517"/>
      <c r="N82" s="517"/>
      <c r="O82" s="517"/>
      <c r="P82" s="517"/>
      <c r="Q82" s="517"/>
      <c r="R82" s="517"/>
      <c r="S82" s="517"/>
      <c r="T82" s="517"/>
      <c r="U82" s="517"/>
      <c r="V82" s="517"/>
      <c r="W82" s="517"/>
      <c r="X82" s="517"/>
      <c r="Y82" s="517"/>
      <c r="Z82" s="517"/>
      <c r="AA82" s="517"/>
      <c r="AB82" s="517"/>
      <c r="AC82" s="517"/>
      <c r="AD82" s="517"/>
      <c r="AE82" s="517"/>
      <c r="AF82" s="517"/>
      <c r="AG82" s="517"/>
      <c r="AH82" s="517"/>
      <c r="AI82" s="517"/>
      <c r="AJ82" s="517"/>
      <c r="AK82" s="517"/>
      <c r="AL82" s="517"/>
      <c r="AM82" s="517"/>
      <c r="AN82" s="517"/>
      <c r="AO82" s="517"/>
      <c r="AP82" s="517"/>
      <c r="AQ82" s="517"/>
      <c r="AR82" s="517"/>
      <c r="AS82" s="517"/>
      <c r="AT82" s="517"/>
      <c r="AU82" s="517"/>
      <c r="AV82" s="517"/>
      <c r="AW82" s="517"/>
      <c r="AX82" s="517"/>
      <c r="AY82" s="517"/>
      <c r="AZ82" s="517"/>
      <c r="BA82" s="517"/>
      <c r="BB82" s="517"/>
      <c r="BC82" s="517"/>
      <c r="BD82" s="517"/>
      <c r="BE82" s="517"/>
      <c r="BF82" s="517"/>
      <c r="BG82" s="517"/>
      <c r="BH82" s="517"/>
      <c r="BI82" s="517"/>
      <c r="BJ82" s="517"/>
      <c r="BK82" s="517"/>
      <c r="BL82" s="517"/>
      <c r="BM82" s="517"/>
      <c r="BN82" s="517"/>
      <c r="BO82" s="517"/>
      <c r="BP82" s="517"/>
      <c r="BQ82" s="517"/>
      <c r="BR82" s="517"/>
      <c r="BS82" s="517"/>
      <c r="BT82" s="517"/>
      <c r="BU82" s="517"/>
      <c r="BV82" s="517"/>
      <c r="BW82" s="517"/>
      <c r="BX82" s="517"/>
      <c r="BY82" s="517"/>
      <c r="BZ82" s="517"/>
      <c r="CA82" s="517"/>
      <c r="CB82" s="517"/>
      <c r="CC82" s="517"/>
      <c r="CD82" s="517"/>
      <c r="CE82" s="517"/>
      <c r="CF82" s="517"/>
      <c r="CG82" s="517"/>
      <c r="CH82" s="517"/>
      <c r="CI82" s="517"/>
      <c r="CJ82" s="517"/>
      <c r="CK82" s="517"/>
      <c r="CL82" s="517"/>
      <c r="CM82" s="517"/>
      <c r="CN82" s="517"/>
      <c r="CO82" s="517"/>
      <c r="CP82" s="517"/>
    </row>
    <row r="83" spans="1:94" x14ac:dyDescent="0.2">
      <c r="A83" s="517"/>
      <c r="B83" s="517"/>
      <c r="C83" s="517"/>
      <c r="D83" s="517"/>
      <c r="E83" s="517"/>
      <c r="F83" s="517"/>
      <c r="G83" s="517"/>
      <c r="H83" s="517"/>
      <c r="I83" s="517"/>
      <c r="J83" s="517"/>
      <c r="K83" s="517"/>
      <c r="L83" s="517"/>
      <c r="M83" s="517"/>
      <c r="N83" s="517"/>
      <c r="O83" s="517"/>
      <c r="P83" s="517"/>
      <c r="Q83" s="517"/>
      <c r="R83" s="517"/>
      <c r="S83" s="517"/>
      <c r="T83" s="517"/>
      <c r="U83" s="517"/>
      <c r="V83" s="517"/>
      <c r="W83" s="517"/>
      <c r="X83" s="517"/>
      <c r="Y83" s="517"/>
      <c r="Z83" s="517"/>
      <c r="AA83" s="517"/>
      <c r="AB83" s="517"/>
      <c r="AC83" s="517"/>
      <c r="AD83" s="517"/>
      <c r="AE83" s="517"/>
      <c r="AF83" s="517"/>
      <c r="AG83" s="517"/>
      <c r="AH83" s="517"/>
      <c r="AI83" s="517"/>
      <c r="AJ83" s="517"/>
      <c r="AK83" s="517"/>
      <c r="AL83" s="517"/>
      <c r="AM83" s="517"/>
      <c r="AN83" s="517"/>
      <c r="AO83" s="517"/>
      <c r="AP83" s="517"/>
      <c r="AQ83" s="517"/>
      <c r="AR83" s="517"/>
      <c r="AS83" s="517"/>
      <c r="AT83" s="517"/>
      <c r="AU83" s="517"/>
      <c r="AV83" s="517"/>
      <c r="AW83" s="517"/>
      <c r="AX83" s="517"/>
      <c r="AY83" s="517"/>
      <c r="AZ83" s="517"/>
      <c r="BA83" s="517"/>
      <c r="BB83" s="517"/>
      <c r="BC83" s="517"/>
      <c r="BD83" s="517"/>
      <c r="BE83" s="517"/>
      <c r="BF83" s="517"/>
      <c r="BG83" s="517"/>
      <c r="BH83" s="517"/>
      <c r="BI83" s="517"/>
      <c r="BJ83" s="517"/>
      <c r="BK83" s="517"/>
      <c r="BL83" s="517"/>
      <c r="BM83" s="517"/>
      <c r="BN83" s="517"/>
      <c r="BO83" s="517"/>
      <c r="BP83" s="517"/>
      <c r="BQ83" s="517"/>
      <c r="BR83" s="517"/>
      <c r="BS83" s="517"/>
      <c r="BT83" s="517"/>
      <c r="BU83" s="517"/>
      <c r="BV83" s="517"/>
      <c r="BW83" s="517"/>
      <c r="BX83" s="517"/>
      <c r="BY83" s="517"/>
      <c r="BZ83" s="517"/>
      <c r="CA83" s="517"/>
      <c r="CB83" s="517"/>
      <c r="CC83" s="517"/>
      <c r="CD83" s="517"/>
      <c r="CE83" s="517"/>
      <c r="CF83" s="517"/>
      <c r="CG83" s="517"/>
      <c r="CH83" s="517"/>
      <c r="CI83" s="517"/>
      <c r="CJ83" s="517"/>
      <c r="CK83" s="517"/>
      <c r="CL83" s="517"/>
      <c r="CM83" s="517"/>
      <c r="CN83" s="517"/>
      <c r="CO83" s="517"/>
      <c r="CP83" s="517"/>
    </row>
    <row r="84" spans="1:94" x14ac:dyDescent="0.2">
      <c r="A84" s="517"/>
      <c r="B84" s="517"/>
      <c r="C84" s="517"/>
      <c r="D84" s="517"/>
      <c r="E84" s="517"/>
      <c r="F84" s="517"/>
      <c r="G84" s="517"/>
      <c r="H84" s="517"/>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7"/>
      <c r="AG84" s="517"/>
      <c r="AH84" s="517"/>
      <c r="AI84" s="517"/>
      <c r="AJ84" s="517"/>
      <c r="AK84" s="517"/>
      <c r="AL84" s="517"/>
      <c r="AM84" s="517"/>
      <c r="AN84" s="517"/>
      <c r="AO84" s="517"/>
      <c r="AP84" s="517"/>
      <c r="AQ84" s="517"/>
      <c r="AR84" s="517"/>
      <c r="AS84" s="517"/>
      <c r="AT84" s="517"/>
      <c r="AU84" s="517"/>
      <c r="AV84" s="517"/>
      <c r="AW84" s="517"/>
      <c r="AX84" s="517"/>
      <c r="AY84" s="517"/>
      <c r="AZ84" s="517"/>
      <c r="BA84" s="517"/>
      <c r="BB84" s="517"/>
      <c r="BC84" s="517"/>
      <c r="BD84" s="517"/>
      <c r="BE84" s="517"/>
      <c r="BF84" s="517"/>
      <c r="BG84" s="517"/>
      <c r="BH84" s="517"/>
      <c r="BI84" s="517"/>
      <c r="BJ84" s="517"/>
      <c r="BK84" s="517"/>
      <c r="BL84" s="517"/>
      <c r="BM84" s="517"/>
      <c r="BN84" s="517"/>
      <c r="BO84" s="517"/>
      <c r="BP84" s="517"/>
      <c r="BQ84" s="517"/>
      <c r="BR84" s="517"/>
      <c r="BS84" s="517"/>
      <c r="BT84" s="517"/>
      <c r="BU84" s="517"/>
      <c r="BV84" s="517"/>
      <c r="BW84" s="517"/>
      <c r="BX84" s="517"/>
      <c r="BY84" s="517"/>
      <c r="BZ84" s="517"/>
      <c r="CA84" s="517"/>
      <c r="CB84" s="517"/>
      <c r="CC84" s="517"/>
      <c r="CD84" s="517"/>
      <c r="CE84" s="517"/>
      <c r="CF84" s="517"/>
      <c r="CG84" s="517"/>
      <c r="CH84" s="517"/>
      <c r="CI84" s="517"/>
      <c r="CJ84" s="517"/>
      <c r="CK84" s="517"/>
      <c r="CL84" s="517"/>
      <c r="CM84" s="517"/>
      <c r="CN84" s="517"/>
      <c r="CO84" s="517"/>
      <c r="CP84" s="517"/>
    </row>
    <row r="85" spans="1:94" x14ac:dyDescent="0.2">
      <c r="A85" s="517"/>
      <c r="B85" s="517"/>
      <c r="C85" s="517"/>
      <c r="D85" s="517"/>
      <c r="E85" s="517"/>
      <c r="F85" s="517"/>
      <c r="G85" s="517"/>
      <c r="H85" s="517"/>
      <c r="I85" s="517"/>
      <c r="J85" s="517"/>
      <c r="K85" s="517"/>
      <c r="L85" s="517"/>
      <c r="M85" s="517"/>
      <c r="N85" s="517"/>
      <c r="O85" s="517"/>
      <c r="P85" s="517"/>
      <c r="Q85" s="517"/>
      <c r="R85" s="517"/>
      <c r="S85" s="517"/>
      <c r="T85" s="517"/>
      <c r="U85" s="517"/>
      <c r="V85" s="517"/>
      <c r="W85" s="517"/>
      <c r="X85" s="517"/>
      <c r="Y85" s="517"/>
      <c r="Z85" s="517"/>
      <c r="AA85" s="517"/>
      <c r="AB85" s="517"/>
      <c r="AC85" s="517"/>
      <c r="AD85" s="517"/>
      <c r="AE85" s="517"/>
      <c r="AF85" s="517"/>
      <c r="AG85" s="517"/>
      <c r="AH85" s="517"/>
      <c r="AI85" s="517"/>
      <c r="AJ85" s="517"/>
      <c r="AK85" s="517"/>
      <c r="AL85" s="517"/>
      <c r="AM85" s="517"/>
      <c r="AN85" s="517"/>
      <c r="AO85" s="517"/>
      <c r="AP85" s="517"/>
      <c r="AQ85" s="517"/>
      <c r="AR85" s="517"/>
      <c r="AS85" s="517"/>
      <c r="AT85" s="517"/>
      <c r="AU85" s="517"/>
      <c r="AV85" s="517"/>
      <c r="AW85" s="517"/>
      <c r="AX85" s="517"/>
      <c r="AY85" s="517"/>
      <c r="AZ85" s="517"/>
      <c r="BA85" s="517"/>
      <c r="BB85" s="517"/>
      <c r="BC85" s="517"/>
      <c r="BD85" s="517"/>
      <c r="BE85" s="517"/>
      <c r="BF85" s="517"/>
      <c r="BG85" s="517"/>
      <c r="BH85" s="517"/>
      <c r="BI85" s="517"/>
      <c r="BJ85" s="517"/>
      <c r="BK85" s="517"/>
      <c r="BL85" s="517"/>
      <c r="BM85" s="517"/>
      <c r="BN85" s="517"/>
      <c r="BO85" s="517"/>
      <c r="BP85" s="517"/>
      <c r="BQ85" s="517"/>
      <c r="BR85" s="517"/>
      <c r="BS85" s="517"/>
      <c r="BT85" s="517"/>
      <c r="BU85" s="517"/>
      <c r="BV85" s="517"/>
      <c r="BW85" s="517"/>
      <c r="BX85" s="517"/>
      <c r="BY85" s="517"/>
      <c r="BZ85" s="517"/>
      <c r="CA85" s="517"/>
      <c r="CB85" s="517"/>
      <c r="CC85" s="517"/>
      <c r="CD85" s="517"/>
      <c r="CE85" s="517"/>
      <c r="CF85" s="517"/>
      <c r="CG85" s="517"/>
      <c r="CH85" s="517"/>
      <c r="CI85" s="517"/>
      <c r="CJ85" s="517"/>
      <c r="CK85" s="517"/>
      <c r="CL85" s="517"/>
      <c r="CM85" s="517"/>
      <c r="CN85" s="517"/>
      <c r="CO85" s="517"/>
      <c r="CP85" s="517"/>
    </row>
    <row r="86" spans="1:94" x14ac:dyDescent="0.2">
      <c r="A86" s="517"/>
      <c r="B86" s="517"/>
      <c r="C86" s="517"/>
      <c r="D86" s="517"/>
      <c r="E86" s="517"/>
      <c r="F86" s="517"/>
      <c r="G86" s="517"/>
      <c r="H86" s="517"/>
      <c r="I86" s="517"/>
      <c r="J86" s="517"/>
      <c r="K86" s="517"/>
      <c r="L86" s="517"/>
      <c r="M86" s="517"/>
      <c r="N86" s="517"/>
      <c r="O86" s="517"/>
      <c r="P86" s="517"/>
      <c r="Q86" s="517"/>
      <c r="R86" s="517"/>
      <c r="S86" s="517"/>
      <c r="T86" s="517"/>
      <c r="U86" s="517"/>
      <c r="V86" s="517"/>
      <c r="W86" s="517"/>
      <c r="X86" s="517"/>
      <c r="Y86" s="517"/>
      <c r="Z86" s="517"/>
      <c r="AA86" s="517"/>
      <c r="AB86" s="517"/>
      <c r="AC86" s="517"/>
      <c r="AD86" s="517"/>
      <c r="AE86" s="517"/>
      <c r="AF86" s="517"/>
      <c r="AG86" s="517"/>
      <c r="AH86" s="517"/>
      <c r="AI86" s="517"/>
      <c r="AJ86" s="517"/>
      <c r="AK86" s="517"/>
      <c r="AL86" s="517"/>
      <c r="AM86" s="517"/>
      <c r="AN86" s="517"/>
      <c r="AO86" s="517"/>
      <c r="AP86" s="517"/>
      <c r="AQ86" s="517"/>
      <c r="AR86" s="517"/>
      <c r="AS86" s="517"/>
      <c r="AT86" s="517"/>
      <c r="AU86" s="517"/>
      <c r="AV86" s="517"/>
      <c r="AW86" s="517"/>
      <c r="AX86" s="517"/>
      <c r="AY86" s="517"/>
      <c r="AZ86" s="517"/>
      <c r="BA86" s="517"/>
      <c r="BB86" s="517"/>
      <c r="BC86" s="517"/>
      <c r="BD86" s="517"/>
      <c r="BE86" s="517"/>
      <c r="BF86" s="517"/>
      <c r="BG86" s="517"/>
      <c r="BH86" s="517"/>
      <c r="BI86" s="517"/>
      <c r="BJ86" s="517"/>
      <c r="BK86" s="517"/>
      <c r="BL86" s="517"/>
      <c r="BM86" s="517"/>
      <c r="BN86" s="517"/>
      <c r="BO86" s="517"/>
      <c r="BP86" s="517"/>
      <c r="BQ86" s="517"/>
      <c r="BR86" s="517"/>
      <c r="BS86" s="517"/>
      <c r="BT86" s="517"/>
      <c r="BU86" s="517"/>
      <c r="BV86" s="517"/>
      <c r="BW86" s="517"/>
      <c r="BX86" s="517"/>
      <c r="BY86" s="517"/>
      <c r="BZ86" s="517"/>
      <c r="CA86" s="517"/>
      <c r="CB86" s="517"/>
      <c r="CC86" s="517"/>
      <c r="CD86" s="517"/>
      <c r="CE86" s="517"/>
      <c r="CF86" s="517"/>
      <c r="CG86" s="517"/>
      <c r="CH86" s="517"/>
      <c r="CI86" s="517"/>
      <c r="CJ86" s="517"/>
      <c r="CK86" s="517"/>
      <c r="CL86" s="517"/>
      <c r="CM86" s="517"/>
      <c r="CN86" s="517"/>
      <c r="CO86" s="517"/>
      <c r="CP86" s="517"/>
    </row>
    <row r="87" spans="1:94" x14ac:dyDescent="0.2">
      <c r="A87" s="517"/>
      <c r="B87" s="517"/>
      <c r="C87" s="517"/>
      <c r="D87" s="517"/>
      <c r="E87" s="517"/>
      <c r="F87" s="517"/>
      <c r="G87" s="517"/>
      <c r="H87" s="517"/>
      <c r="I87" s="517"/>
      <c r="J87" s="517"/>
      <c r="K87" s="517"/>
      <c r="L87" s="517"/>
      <c r="M87" s="517"/>
      <c r="N87" s="517"/>
      <c r="O87" s="517"/>
      <c r="P87" s="517"/>
      <c r="Q87" s="517"/>
      <c r="R87" s="517"/>
      <c r="S87" s="517"/>
      <c r="T87" s="517"/>
      <c r="U87" s="517"/>
      <c r="V87" s="517"/>
      <c r="W87" s="517"/>
      <c r="X87" s="517"/>
      <c r="Y87" s="517"/>
      <c r="Z87" s="517"/>
      <c r="AA87" s="517"/>
      <c r="AB87" s="517"/>
      <c r="AC87" s="517"/>
      <c r="AD87" s="517"/>
      <c r="AE87" s="517"/>
      <c r="AF87" s="517"/>
      <c r="AG87" s="517"/>
      <c r="AH87" s="517"/>
      <c r="AI87" s="517"/>
      <c r="AJ87" s="517"/>
      <c r="AK87" s="517"/>
      <c r="AL87" s="517"/>
      <c r="AM87" s="517"/>
      <c r="AN87" s="517"/>
      <c r="AO87" s="517"/>
      <c r="AP87" s="517"/>
      <c r="AQ87" s="517"/>
      <c r="AR87" s="517"/>
      <c r="AS87" s="517"/>
      <c r="AT87" s="517"/>
      <c r="AU87" s="517"/>
      <c r="AV87" s="517"/>
      <c r="AW87" s="517"/>
      <c r="AX87" s="517"/>
      <c r="AY87" s="517"/>
      <c r="AZ87" s="517"/>
      <c r="BA87" s="517"/>
      <c r="BB87" s="517"/>
      <c r="BC87" s="517"/>
      <c r="BD87" s="517"/>
      <c r="BE87" s="517"/>
      <c r="BF87" s="517"/>
      <c r="BG87" s="517"/>
      <c r="BH87" s="517"/>
      <c r="BI87" s="517"/>
      <c r="BJ87" s="517"/>
      <c r="BK87" s="517"/>
      <c r="BL87" s="517"/>
      <c r="BM87" s="517"/>
      <c r="BN87" s="517"/>
      <c r="BO87" s="517"/>
      <c r="BP87" s="517"/>
      <c r="BQ87" s="517"/>
      <c r="BR87" s="517"/>
      <c r="BS87" s="517"/>
      <c r="BT87" s="517"/>
      <c r="BU87" s="517"/>
      <c r="BV87" s="517"/>
      <c r="BW87" s="517"/>
      <c r="BX87" s="517"/>
      <c r="BY87" s="517"/>
      <c r="BZ87" s="517"/>
      <c r="CA87" s="517"/>
      <c r="CB87" s="517"/>
      <c r="CC87" s="517"/>
      <c r="CD87" s="517"/>
      <c r="CE87" s="517"/>
      <c r="CF87" s="517"/>
      <c r="CG87" s="517"/>
      <c r="CH87" s="517"/>
      <c r="CI87" s="517"/>
      <c r="CJ87" s="517"/>
      <c r="CK87" s="517"/>
      <c r="CL87" s="517"/>
      <c r="CM87" s="517"/>
      <c r="CN87" s="517"/>
      <c r="CO87" s="517"/>
      <c r="CP87" s="517"/>
    </row>
    <row r="88" spans="1:94" x14ac:dyDescent="0.2">
      <c r="A88" s="517"/>
      <c r="B88" s="517"/>
      <c r="C88" s="517"/>
      <c r="D88" s="517"/>
      <c r="E88" s="517"/>
      <c r="F88" s="517"/>
      <c r="G88" s="517"/>
      <c r="H88" s="517"/>
      <c r="I88" s="517"/>
      <c r="J88" s="517"/>
      <c r="K88" s="517"/>
      <c r="L88" s="517"/>
      <c r="M88" s="517"/>
      <c r="N88" s="517"/>
      <c r="O88" s="517"/>
      <c r="P88" s="517"/>
      <c r="Q88" s="517"/>
      <c r="R88" s="517"/>
      <c r="S88" s="517"/>
      <c r="T88" s="517"/>
      <c r="U88" s="517"/>
      <c r="V88" s="517"/>
      <c r="W88" s="517"/>
      <c r="X88" s="517"/>
      <c r="Y88" s="517"/>
      <c r="Z88" s="517"/>
      <c r="AA88" s="517"/>
      <c r="AB88" s="517"/>
      <c r="AC88" s="517"/>
      <c r="AD88" s="517"/>
      <c r="AE88" s="517"/>
      <c r="AF88" s="517"/>
      <c r="AG88" s="517"/>
      <c r="AH88" s="517"/>
      <c r="AI88" s="517"/>
      <c r="AJ88" s="517"/>
      <c r="AK88" s="517"/>
      <c r="AL88" s="517"/>
      <c r="AM88" s="517"/>
      <c r="AN88" s="517"/>
      <c r="AO88" s="517"/>
      <c r="AP88" s="517"/>
      <c r="AQ88" s="517"/>
      <c r="AR88" s="517"/>
      <c r="AS88" s="517"/>
      <c r="AT88" s="517"/>
      <c r="AU88" s="517"/>
      <c r="AV88" s="517"/>
      <c r="AW88" s="517"/>
      <c r="AX88" s="517"/>
      <c r="AY88" s="517"/>
      <c r="AZ88" s="517"/>
      <c r="BA88" s="517"/>
      <c r="BB88" s="517"/>
      <c r="BC88" s="517"/>
      <c r="BD88" s="517"/>
      <c r="BE88" s="517"/>
      <c r="BF88" s="517"/>
      <c r="BG88" s="517"/>
      <c r="BH88" s="517"/>
      <c r="BI88" s="517"/>
      <c r="BJ88" s="517"/>
      <c r="BK88" s="517"/>
      <c r="BL88" s="517"/>
      <c r="BM88" s="517"/>
      <c r="BN88" s="517"/>
      <c r="BO88" s="517"/>
      <c r="BP88" s="517"/>
      <c r="BQ88" s="517"/>
      <c r="BR88" s="517"/>
      <c r="BS88" s="517"/>
      <c r="BT88" s="517"/>
      <c r="BU88" s="517"/>
      <c r="BV88" s="517"/>
      <c r="BW88" s="517"/>
      <c r="BX88" s="517"/>
      <c r="BY88" s="517"/>
      <c r="BZ88" s="517"/>
      <c r="CA88" s="517"/>
      <c r="CB88" s="517"/>
      <c r="CC88" s="517"/>
      <c r="CD88" s="517"/>
      <c r="CE88" s="517"/>
      <c r="CF88" s="517"/>
      <c r="CG88" s="517"/>
      <c r="CH88" s="517"/>
      <c r="CI88" s="517"/>
      <c r="CJ88" s="517"/>
      <c r="CK88" s="517"/>
      <c r="CL88" s="517"/>
      <c r="CM88" s="517"/>
      <c r="CN88" s="517"/>
      <c r="CO88" s="517"/>
      <c r="CP88" s="517"/>
    </row>
    <row r="89" spans="1:94" x14ac:dyDescent="0.2">
      <c r="A89" s="517"/>
      <c r="B89" s="517"/>
      <c r="C89" s="517"/>
      <c r="D89" s="517"/>
      <c r="E89" s="517"/>
      <c r="F89" s="517"/>
      <c r="G89" s="517"/>
      <c r="H89" s="517"/>
      <c r="I89" s="517"/>
      <c r="J89" s="517"/>
      <c r="K89" s="517"/>
      <c r="L89" s="517"/>
      <c r="M89" s="517"/>
      <c r="N89" s="517"/>
      <c r="O89" s="517"/>
      <c r="P89" s="517"/>
      <c r="Q89" s="517"/>
      <c r="R89" s="517"/>
      <c r="S89" s="517"/>
      <c r="T89" s="517"/>
      <c r="U89" s="517"/>
      <c r="V89" s="517"/>
      <c r="W89" s="517"/>
      <c r="X89" s="517"/>
      <c r="Y89" s="517"/>
      <c r="Z89" s="517"/>
      <c r="AA89" s="517"/>
      <c r="AB89" s="517"/>
      <c r="AC89" s="517"/>
      <c r="AD89" s="517"/>
      <c r="AE89" s="517"/>
      <c r="AF89" s="517"/>
      <c r="AG89" s="517"/>
      <c r="AH89" s="517"/>
      <c r="AI89" s="517"/>
      <c r="AJ89" s="517"/>
      <c r="AK89" s="517"/>
      <c r="AL89" s="517"/>
      <c r="AM89" s="517"/>
      <c r="AN89" s="517"/>
      <c r="AO89" s="517"/>
      <c r="AP89" s="517"/>
      <c r="AQ89" s="517"/>
      <c r="AR89" s="517"/>
      <c r="AS89" s="517"/>
      <c r="AT89" s="517"/>
      <c r="AU89" s="517"/>
      <c r="AV89" s="517"/>
      <c r="AW89" s="517"/>
      <c r="AX89" s="517"/>
      <c r="AY89" s="517"/>
      <c r="AZ89" s="517"/>
      <c r="BA89" s="517"/>
      <c r="BB89" s="517"/>
      <c r="BC89" s="517"/>
      <c r="BD89" s="517"/>
      <c r="BE89" s="517"/>
      <c r="BF89" s="517"/>
      <c r="BG89" s="517"/>
      <c r="BH89" s="517"/>
      <c r="BI89" s="517"/>
      <c r="BJ89" s="517"/>
      <c r="BK89" s="517"/>
      <c r="BL89" s="517"/>
      <c r="BM89" s="517"/>
      <c r="BN89" s="517"/>
      <c r="BO89" s="517"/>
      <c r="BP89" s="517"/>
      <c r="BQ89" s="517"/>
      <c r="BR89" s="517"/>
      <c r="BS89" s="517"/>
      <c r="BT89" s="517"/>
      <c r="BU89" s="517"/>
      <c r="BV89" s="517"/>
      <c r="BW89" s="517"/>
      <c r="BX89" s="517"/>
      <c r="BY89" s="517"/>
      <c r="BZ89" s="517"/>
      <c r="CA89" s="517"/>
      <c r="CB89" s="517"/>
      <c r="CC89" s="517"/>
      <c r="CD89" s="517"/>
      <c r="CE89" s="517"/>
      <c r="CF89" s="517"/>
      <c r="CG89" s="517"/>
      <c r="CH89" s="517"/>
      <c r="CI89" s="517"/>
      <c r="CJ89" s="517"/>
      <c r="CK89" s="517"/>
      <c r="CL89" s="517"/>
      <c r="CM89" s="517"/>
      <c r="CN89" s="517"/>
      <c r="CO89" s="517"/>
      <c r="CP89" s="517"/>
    </row>
    <row r="90" spans="1:94" x14ac:dyDescent="0.2">
      <c r="A90" s="517"/>
      <c r="B90" s="517"/>
      <c r="C90" s="517"/>
      <c r="D90" s="517"/>
      <c r="E90" s="517"/>
      <c r="F90" s="517"/>
      <c r="G90" s="517"/>
      <c r="H90" s="517"/>
      <c r="I90" s="517"/>
      <c r="J90" s="517"/>
      <c r="K90" s="517"/>
      <c r="L90" s="517"/>
      <c r="M90" s="517"/>
      <c r="N90" s="517"/>
      <c r="O90" s="517"/>
      <c r="P90" s="517"/>
      <c r="Q90" s="517"/>
      <c r="R90" s="517"/>
      <c r="S90" s="517"/>
      <c r="T90" s="517"/>
      <c r="U90" s="517"/>
      <c r="V90" s="517"/>
      <c r="W90" s="517"/>
      <c r="X90" s="517"/>
      <c r="Y90" s="517"/>
      <c r="Z90" s="517"/>
      <c r="AA90" s="517"/>
      <c r="AB90" s="517"/>
      <c r="AC90" s="517"/>
      <c r="AD90" s="517"/>
      <c r="AE90" s="517"/>
      <c r="AF90" s="517"/>
      <c r="AG90" s="517"/>
      <c r="AH90" s="517"/>
      <c r="AI90" s="517"/>
      <c r="AJ90" s="517"/>
      <c r="AK90" s="517"/>
      <c r="AL90" s="517"/>
      <c r="AM90" s="517"/>
      <c r="AN90" s="517"/>
      <c r="AO90" s="517"/>
      <c r="AP90" s="517"/>
      <c r="AQ90" s="517"/>
      <c r="AR90" s="517"/>
      <c r="AS90" s="517"/>
      <c r="AT90" s="517"/>
      <c r="AU90" s="517"/>
      <c r="AV90" s="517"/>
      <c r="AW90" s="517"/>
      <c r="AX90" s="517"/>
      <c r="AY90" s="517"/>
      <c r="AZ90" s="517"/>
      <c r="BA90" s="517"/>
      <c r="BB90" s="517"/>
      <c r="BC90" s="517"/>
      <c r="BD90" s="517"/>
      <c r="BE90" s="517"/>
      <c r="BF90" s="517"/>
      <c r="BG90" s="517"/>
      <c r="BH90" s="517"/>
      <c r="BI90" s="517"/>
      <c r="BJ90" s="517"/>
      <c r="BK90" s="517"/>
      <c r="BL90" s="517"/>
      <c r="BM90" s="517"/>
      <c r="BN90" s="517"/>
      <c r="BO90" s="517"/>
      <c r="BP90" s="517"/>
      <c r="BQ90" s="517"/>
      <c r="BR90" s="517"/>
      <c r="BS90" s="517"/>
      <c r="BT90" s="517"/>
      <c r="BU90" s="517"/>
      <c r="BV90" s="517"/>
      <c r="BW90" s="517"/>
      <c r="BX90" s="517"/>
      <c r="BY90" s="517"/>
      <c r="BZ90" s="517"/>
      <c r="CA90" s="517"/>
      <c r="CB90" s="517"/>
      <c r="CC90" s="517"/>
      <c r="CD90" s="517"/>
      <c r="CE90" s="517"/>
      <c r="CF90" s="517"/>
      <c r="CG90" s="517"/>
      <c r="CH90" s="517"/>
      <c r="CI90" s="517"/>
      <c r="CJ90" s="517"/>
      <c r="CK90" s="517"/>
      <c r="CL90" s="517"/>
      <c r="CM90" s="517"/>
      <c r="CN90" s="517"/>
      <c r="CO90" s="517"/>
      <c r="CP90" s="517"/>
    </row>
    <row r="91" spans="1:94" x14ac:dyDescent="0.2">
      <c r="A91" s="517"/>
      <c r="B91" s="517"/>
      <c r="C91" s="517"/>
      <c r="D91" s="517"/>
      <c r="E91" s="517"/>
      <c r="F91" s="517"/>
      <c r="G91" s="517"/>
      <c r="H91" s="517"/>
      <c r="I91" s="517"/>
      <c r="J91" s="517"/>
      <c r="K91" s="517"/>
      <c r="L91" s="517"/>
      <c r="M91" s="517"/>
      <c r="N91" s="517"/>
      <c r="O91" s="517"/>
      <c r="P91" s="517"/>
      <c r="Q91" s="517"/>
      <c r="R91" s="517"/>
      <c r="S91" s="517"/>
      <c r="T91" s="517"/>
      <c r="U91" s="517"/>
      <c r="V91" s="517"/>
      <c r="W91" s="517"/>
      <c r="X91" s="517"/>
      <c r="Y91" s="517"/>
      <c r="Z91" s="517"/>
      <c r="AA91" s="517"/>
      <c r="AB91" s="517"/>
      <c r="AC91" s="517"/>
      <c r="AD91" s="517"/>
      <c r="AE91" s="517"/>
      <c r="AF91" s="517"/>
      <c r="AG91" s="517"/>
      <c r="AH91" s="517"/>
      <c r="AI91" s="517"/>
      <c r="AJ91" s="517"/>
      <c r="AK91" s="517"/>
      <c r="AL91" s="517"/>
      <c r="AM91" s="517"/>
      <c r="AN91" s="517"/>
      <c r="AO91" s="517"/>
      <c r="AP91" s="517"/>
      <c r="AQ91" s="517"/>
      <c r="AR91" s="517"/>
      <c r="AS91" s="517"/>
      <c r="AT91" s="517"/>
      <c r="AU91" s="517"/>
      <c r="AV91" s="517"/>
      <c r="AW91" s="517"/>
      <c r="AX91" s="517"/>
      <c r="AY91" s="517"/>
      <c r="AZ91" s="517"/>
      <c r="BA91" s="517"/>
      <c r="BB91" s="517"/>
      <c r="BC91" s="517"/>
      <c r="BD91" s="517"/>
      <c r="BE91" s="517"/>
      <c r="BF91" s="517"/>
      <c r="BG91" s="517"/>
      <c r="BH91" s="517"/>
      <c r="BI91" s="517"/>
      <c r="BJ91" s="517"/>
      <c r="BK91" s="517"/>
      <c r="BL91" s="517"/>
      <c r="BM91" s="517"/>
      <c r="BN91" s="517"/>
      <c r="BO91" s="517"/>
      <c r="BP91" s="517"/>
      <c r="BQ91" s="517"/>
      <c r="BR91" s="517"/>
      <c r="BS91" s="517"/>
      <c r="BT91" s="517"/>
      <c r="BU91" s="517"/>
      <c r="BV91" s="517"/>
      <c r="BW91" s="517"/>
      <c r="BX91" s="517"/>
      <c r="BY91" s="517"/>
      <c r="BZ91" s="517"/>
      <c r="CA91" s="517"/>
      <c r="CB91" s="517"/>
      <c r="CC91" s="517"/>
      <c r="CD91" s="517"/>
      <c r="CE91" s="517"/>
      <c r="CF91" s="517"/>
      <c r="CG91" s="517"/>
      <c r="CH91" s="517"/>
      <c r="CI91" s="517"/>
      <c r="CJ91" s="517"/>
      <c r="CK91" s="517"/>
      <c r="CL91" s="517"/>
      <c r="CM91" s="517"/>
      <c r="CN91" s="517"/>
      <c r="CO91" s="517"/>
      <c r="CP91" s="517"/>
    </row>
    <row r="92" spans="1:94" x14ac:dyDescent="0.2">
      <c r="A92" s="517"/>
      <c r="B92" s="517"/>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7"/>
      <c r="AH92" s="517"/>
      <c r="AI92" s="517"/>
      <c r="AJ92" s="517"/>
      <c r="AK92" s="517"/>
      <c r="AL92" s="517"/>
      <c r="AM92" s="517"/>
      <c r="AN92" s="517"/>
      <c r="AO92" s="517"/>
      <c r="AP92" s="517"/>
      <c r="AQ92" s="517"/>
      <c r="AR92" s="517"/>
      <c r="AS92" s="517"/>
      <c r="AT92" s="517"/>
      <c r="AU92" s="517"/>
      <c r="AV92" s="517"/>
      <c r="AW92" s="517"/>
      <c r="AX92" s="517"/>
      <c r="AY92" s="517"/>
      <c r="AZ92" s="517"/>
      <c r="BA92" s="517"/>
      <c r="BB92" s="517"/>
      <c r="BC92" s="517"/>
      <c r="BD92" s="517"/>
      <c r="BE92" s="517"/>
      <c r="BF92" s="517"/>
      <c r="BG92" s="517"/>
      <c r="BH92" s="517"/>
      <c r="BI92" s="517"/>
      <c r="BJ92" s="517"/>
      <c r="BK92" s="517"/>
      <c r="BL92" s="517"/>
      <c r="BM92" s="517"/>
      <c r="BN92" s="517"/>
      <c r="BO92" s="517"/>
      <c r="BP92" s="517"/>
      <c r="BQ92" s="517"/>
      <c r="BR92" s="517"/>
      <c r="BS92" s="517"/>
      <c r="BT92" s="517"/>
      <c r="BU92" s="517"/>
      <c r="BV92" s="517"/>
      <c r="BW92" s="517"/>
      <c r="BX92" s="517"/>
      <c r="BY92" s="517"/>
      <c r="BZ92" s="517"/>
      <c r="CA92" s="517"/>
      <c r="CB92" s="517"/>
      <c r="CC92" s="517"/>
      <c r="CD92" s="517"/>
      <c r="CE92" s="517"/>
      <c r="CF92" s="517"/>
      <c r="CG92" s="517"/>
      <c r="CH92" s="517"/>
      <c r="CI92" s="517"/>
      <c r="CJ92" s="517"/>
      <c r="CK92" s="517"/>
      <c r="CL92" s="517"/>
      <c r="CM92" s="517"/>
      <c r="CN92" s="517"/>
      <c r="CO92" s="517"/>
      <c r="CP92" s="517"/>
    </row>
    <row r="93" spans="1:94" x14ac:dyDescent="0.2">
      <c r="A93" s="517"/>
      <c r="B93" s="517"/>
      <c r="C93" s="517"/>
      <c r="D93" s="517"/>
      <c r="E93" s="517"/>
      <c r="F93" s="517"/>
      <c r="G93" s="517"/>
      <c r="H93" s="517"/>
      <c r="I93" s="517"/>
      <c r="J93" s="517"/>
      <c r="K93" s="517"/>
      <c r="L93" s="517"/>
      <c r="M93" s="517"/>
      <c r="N93" s="517"/>
      <c r="O93" s="517"/>
      <c r="P93" s="517"/>
      <c r="Q93" s="517"/>
      <c r="R93" s="517"/>
      <c r="S93" s="517"/>
      <c r="T93" s="517"/>
      <c r="U93" s="517"/>
      <c r="V93" s="517"/>
      <c r="W93" s="517"/>
      <c r="X93" s="517"/>
      <c r="Y93" s="517"/>
      <c r="Z93" s="517"/>
      <c r="AA93" s="517"/>
      <c r="AB93" s="517"/>
      <c r="AC93" s="517"/>
      <c r="AD93" s="517"/>
      <c r="AE93" s="517"/>
      <c r="AF93" s="517"/>
      <c r="AG93" s="517"/>
      <c r="AH93" s="517"/>
      <c r="AI93" s="517"/>
      <c r="AJ93" s="517"/>
      <c r="AK93" s="517"/>
      <c r="AL93" s="517"/>
      <c r="AM93" s="517"/>
      <c r="AN93" s="517"/>
      <c r="AO93" s="517"/>
      <c r="AP93" s="517"/>
      <c r="AQ93" s="517"/>
      <c r="AR93" s="517"/>
      <c r="AS93" s="517"/>
      <c r="AT93" s="517"/>
      <c r="AU93" s="517"/>
      <c r="AV93" s="517"/>
      <c r="AW93" s="517"/>
      <c r="AX93" s="517"/>
      <c r="AY93" s="517"/>
      <c r="AZ93" s="517"/>
      <c r="BA93" s="517"/>
      <c r="BB93" s="517"/>
      <c r="BC93" s="517"/>
      <c r="BD93" s="517"/>
      <c r="BE93" s="517"/>
      <c r="BF93" s="517"/>
      <c r="BG93" s="517"/>
      <c r="BH93" s="517"/>
      <c r="BI93" s="517"/>
      <c r="BJ93" s="517"/>
      <c r="BK93" s="517"/>
      <c r="BL93" s="517"/>
      <c r="BM93" s="517"/>
      <c r="BN93" s="517"/>
      <c r="BO93" s="517"/>
      <c r="BP93" s="517"/>
      <c r="BQ93" s="517"/>
      <c r="BR93" s="517"/>
      <c r="BS93" s="517"/>
      <c r="BT93" s="517"/>
      <c r="BU93" s="517"/>
      <c r="BV93" s="517"/>
      <c r="BW93" s="517"/>
      <c r="BX93" s="517"/>
      <c r="BY93" s="517"/>
      <c r="BZ93" s="517"/>
      <c r="CA93" s="517"/>
      <c r="CB93" s="517"/>
      <c r="CC93" s="517"/>
      <c r="CD93" s="517"/>
      <c r="CE93" s="517"/>
      <c r="CF93" s="517"/>
      <c r="CG93" s="517"/>
      <c r="CH93" s="517"/>
      <c r="CI93" s="517"/>
      <c r="CJ93" s="517"/>
      <c r="CK93" s="517"/>
      <c r="CL93" s="517"/>
      <c r="CM93" s="517"/>
      <c r="CN93" s="517"/>
      <c r="CO93" s="517"/>
      <c r="CP93" s="517"/>
    </row>
    <row r="94" spans="1:94" x14ac:dyDescent="0.2">
      <c r="A94" s="517"/>
      <c r="B94" s="517"/>
      <c r="C94" s="517"/>
      <c r="D94" s="517"/>
      <c r="E94" s="517"/>
      <c r="F94" s="517"/>
      <c r="G94" s="517"/>
      <c r="H94" s="517"/>
      <c r="I94" s="517"/>
      <c r="J94" s="517"/>
      <c r="K94" s="517"/>
      <c r="L94" s="517"/>
      <c r="M94" s="517"/>
      <c r="N94" s="517"/>
      <c r="O94" s="517"/>
      <c r="P94" s="517"/>
      <c r="Q94" s="517"/>
      <c r="R94" s="517"/>
      <c r="S94" s="517"/>
      <c r="T94" s="517"/>
      <c r="U94" s="517"/>
      <c r="V94" s="517"/>
      <c r="W94" s="517"/>
      <c r="X94" s="517"/>
      <c r="Y94" s="517"/>
      <c r="Z94" s="517"/>
      <c r="AA94" s="517"/>
      <c r="AB94" s="517"/>
      <c r="AC94" s="517"/>
      <c r="AD94" s="517"/>
      <c r="AE94" s="517"/>
      <c r="AF94" s="517"/>
      <c r="AG94" s="517"/>
      <c r="AH94" s="517"/>
      <c r="AI94" s="517"/>
      <c r="AJ94" s="517"/>
      <c r="AK94" s="517"/>
      <c r="AL94" s="517"/>
      <c r="AM94" s="517"/>
      <c r="AN94" s="517"/>
      <c r="AO94" s="517"/>
      <c r="AP94" s="517"/>
      <c r="AQ94" s="517"/>
      <c r="AR94" s="517"/>
      <c r="AS94" s="517"/>
      <c r="AT94" s="517"/>
      <c r="AU94" s="517"/>
      <c r="AV94" s="517"/>
      <c r="AW94" s="517"/>
      <c r="AX94" s="517"/>
      <c r="AY94" s="517"/>
      <c r="AZ94" s="517"/>
      <c r="BA94" s="517"/>
      <c r="BB94" s="517"/>
      <c r="BC94" s="517"/>
      <c r="BD94" s="517"/>
      <c r="BE94" s="517"/>
      <c r="BF94" s="517"/>
      <c r="BG94" s="517"/>
      <c r="BH94" s="517"/>
      <c r="BI94" s="517"/>
      <c r="BJ94" s="517"/>
      <c r="BK94" s="517"/>
      <c r="BL94" s="517"/>
      <c r="BM94" s="517"/>
      <c r="BN94" s="517"/>
      <c r="BO94" s="517"/>
      <c r="BP94" s="517"/>
      <c r="BQ94" s="517"/>
      <c r="BR94" s="517"/>
      <c r="BS94" s="517"/>
      <c r="BT94" s="517"/>
      <c r="BU94" s="517"/>
      <c r="BV94" s="517"/>
      <c r="BW94" s="517"/>
      <c r="BX94" s="517"/>
      <c r="BY94" s="517"/>
      <c r="BZ94" s="517"/>
      <c r="CA94" s="517"/>
      <c r="CB94" s="517"/>
      <c r="CC94" s="517"/>
      <c r="CD94" s="517"/>
      <c r="CE94" s="517"/>
      <c r="CF94" s="517"/>
      <c r="CG94" s="517"/>
      <c r="CH94" s="517"/>
      <c r="CI94" s="517"/>
      <c r="CJ94" s="517"/>
      <c r="CK94" s="517"/>
      <c r="CL94" s="517"/>
      <c r="CM94" s="517"/>
      <c r="CN94" s="517"/>
      <c r="CO94" s="517"/>
      <c r="CP94" s="517"/>
    </row>
    <row r="95" spans="1:94" x14ac:dyDescent="0.2">
      <c r="A95" s="517"/>
      <c r="B95" s="517"/>
      <c r="C95" s="517"/>
      <c r="D95" s="517"/>
      <c r="E95" s="517"/>
      <c r="F95" s="517"/>
      <c r="G95" s="517"/>
      <c r="H95" s="517"/>
      <c r="I95" s="517"/>
      <c r="J95" s="517"/>
      <c r="K95" s="517"/>
      <c r="L95" s="517"/>
      <c r="M95" s="517"/>
      <c r="N95" s="517"/>
      <c r="O95" s="517"/>
      <c r="P95" s="517"/>
      <c r="Q95" s="517"/>
      <c r="R95" s="517"/>
      <c r="S95" s="517"/>
      <c r="T95" s="517"/>
      <c r="U95" s="517"/>
      <c r="V95" s="517"/>
      <c r="W95" s="517"/>
      <c r="X95" s="517"/>
      <c r="Y95" s="517"/>
      <c r="Z95" s="517"/>
      <c r="AA95" s="517"/>
      <c r="AB95" s="517"/>
      <c r="AC95" s="517"/>
      <c r="AD95" s="517"/>
      <c r="AE95" s="517"/>
      <c r="AF95" s="517"/>
      <c r="AG95" s="517"/>
      <c r="AH95" s="517"/>
      <c r="AI95" s="517"/>
      <c r="AJ95" s="517"/>
      <c r="AK95" s="517"/>
      <c r="AL95" s="517"/>
      <c r="AM95" s="517"/>
      <c r="AN95" s="517"/>
      <c r="AO95" s="517"/>
      <c r="AP95" s="517"/>
      <c r="AQ95" s="517"/>
      <c r="AR95" s="517"/>
      <c r="AS95" s="517"/>
      <c r="AT95" s="517"/>
      <c r="AU95" s="517"/>
      <c r="AV95" s="517"/>
      <c r="AW95" s="517"/>
      <c r="AX95" s="517"/>
      <c r="AY95" s="517"/>
      <c r="AZ95" s="517"/>
      <c r="BA95" s="517"/>
      <c r="BB95" s="517"/>
      <c r="BC95" s="517"/>
      <c r="BD95" s="517"/>
      <c r="BE95" s="517"/>
      <c r="BF95" s="517"/>
      <c r="BG95" s="517"/>
      <c r="BH95" s="517"/>
      <c r="BI95" s="517"/>
      <c r="BJ95" s="517"/>
      <c r="BK95" s="517"/>
      <c r="BL95" s="517"/>
      <c r="BM95" s="517"/>
      <c r="BN95" s="517"/>
      <c r="BO95" s="517"/>
      <c r="BP95" s="517"/>
      <c r="BQ95" s="517"/>
      <c r="BR95" s="517"/>
      <c r="BS95" s="517"/>
      <c r="BT95" s="517"/>
      <c r="BU95" s="517"/>
      <c r="BV95" s="517"/>
      <c r="BW95" s="517"/>
      <c r="BX95" s="517"/>
      <c r="BY95" s="517"/>
      <c r="BZ95" s="517"/>
      <c r="CA95" s="517"/>
      <c r="CB95" s="517"/>
      <c r="CC95" s="517"/>
      <c r="CD95" s="517"/>
      <c r="CE95" s="517"/>
      <c r="CF95" s="517"/>
      <c r="CG95" s="517"/>
      <c r="CH95" s="517"/>
      <c r="CI95" s="517"/>
      <c r="CJ95" s="517"/>
      <c r="CK95" s="517"/>
      <c r="CL95" s="517"/>
      <c r="CM95" s="517"/>
      <c r="CN95" s="517"/>
      <c r="CO95" s="517"/>
      <c r="CP95" s="517"/>
    </row>
    <row r="96" spans="1:94" x14ac:dyDescent="0.2">
      <c r="A96" s="517"/>
      <c r="B96" s="517"/>
      <c r="C96" s="517"/>
      <c r="D96" s="517"/>
      <c r="E96" s="517"/>
      <c r="F96" s="517"/>
      <c r="G96" s="517"/>
      <c r="H96" s="517"/>
      <c r="I96" s="517"/>
      <c r="J96" s="517"/>
      <c r="K96" s="517"/>
      <c r="L96" s="517"/>
      <c r="M96" s="517"/>
      <c r="N96" s="517"/>
      <c r="O96" s="517"/>
      <c r="P96" s="517"/>
      <c r="Q96" s="517"/>
      <c r="R96" s="517"/>
      <c r="S96" s="517"/>
      <c r="T96" s="517"/>
      <c r="U96" s="517"/>
      <c r="V96" s="517"/>
      <c r="W96" s="517"/>
      <c r="X96" s="517"/>
      <c r="Y96" s="517"/>
      <c r="Z96" s="517"/>
      <c r="AA96" s="517"/>
      <c r="AB96" s="517"/>
      <c r="AC96" s="517"/>
      <c r="AD96" s="517"/>
      <c r="AE96" s="517"/>
      <c r="AF96" s="517"/>
      <c r="AG96" s="517"/>
      <c r="AH96" s="517"/>
      <c r="AI96" s="517"/>
      <c r="AJ96" s="517"/>
      <c r="AK96" s="517"/>
      <c r="AL96" s="517"/>
      <c r="AM96" s="517"/>
      <c r="AN96" s="517"/>
      <c r="AO96" s="517"/>
      <c r="AP96" s="517"/>
      <c r="AQ96" s="517"/>
      <c r="AR96" s="517"/>
      <c r="AS96" s="517"/>
      <c r="AT96" s="517"/>
      <c r="AU96" s="517"/>
      <c r="AV96" s="517"/>
      <c r="AW96" s="517"/>
      <c r="AX96" s="517"/>
      <c r="AY96" s="517"/>
      <c r="AZ96" s="517"/>
      <c r="BA96" s="517"/>
      <c r="BB96" s="517"/>
      <c r="BC96" s="517"/>
      <c r="BD96" s="517"/>
      <c r="BE96" s="517"/>
      <c r="BF96" s="517"/>
      <c r="BG96" s="517"/>
      <c r="BH96" s="517"/>
      <c r="BI96" s="517"/>
      <c r="BJ96" s="517"/>
      <c r="BK96" s="517"/>
      <c r="BL96" s="517"/>
      <c r="BM96" s="517"/>
      <c r="BN96" s="517"/>
      <c r="BO96" s="517"/>
      <c r="BP96" s="517"/>
      <c r="BQ96" s="517"/>
      <c r="BR96" s="517"/>
      <c r="BS96" s="517"/>
      <c r="BT96" s="517"/>
      <c r="BU96" s="517"/>
      <c r="BV96" s="517"/>
      <c r="BW96" s="517"/>
      <c r="BX96" s="517"/>
      <c r="BY96" s="517"/>
      <c r="BZ96" s="517"/>
      <c r="CA96" s="517"/>
      <c r="CB96" s="517"/>
      <c r="CC96" s="517"/>
      <c r="CD96" s="517"/>
      <c r="CE96" s="517"/>
      <c r="CF96" s="517"/>
      <c r="CG96" s="517"/>
      <c r="CH96" s="517"/>
      <c r="CI96" s="517"/>
      <c r="CJ96" s="517"/>
      <c r="CK96" s="517"/>
      <c r="CL96" s="517"/>
      <c r="CM96" s="517"/>
      <c r="CN96" s="517"/>
      <c r="CO96" s="517"/>
      <c r="CP96" s="517"/>
    </row>
    <row r="97" spans="1:94" x14ac:dyDescent="0.2">
      <c r="A97" s="517"/>
      <c r="B97" s="517"/>
      <c r="C97" s="517"/>
      <c r="D97" s="517"/>
      <c r="E97" s="517"/>
      <c r="F97" s="517"/>
      <c r="G97" s="517"/>
      <c r="H97" s="517"/>
      <c r="I97" s="517"/>
      <c r="J97" s="517"/>
      <c r="K97" s="517"/>
      <c r="L97" s="517"/>
      <c r="M97" s="517"/>
      <c r="N97" s="517"/>
      <c r="O97" s="517"/>
      <c r="P97" s="517"/>
      <c r="Q97" s="517"/>
      <c r="R97" s="517"/>
      <c r="S97" s="517"/>
      <c r="T97" s="517"/>
      <c r="U97" s="517"/>
      <c r="V97" s="517"/>
      <c r="W97" s="517"/>
      <c r="X97" s="517"/>
      <c r="Y97" s="517"/>
      <c r="Z97" s="517"/>
      <c r="AA97" s="517"/>
      <c r="AB97" s="517"/>
      <c r="AC97" s="517"/>
      <c r="AD97" s="517"/>
      <c r="AE97" s="517"/>
      <c r="AF97" s="517"/>
      <c r="AG97" s="517"/>
      <c r="AH97" s="517"/>
      <c r="AI97" s="517"/>
      <c r="AJ97" s="517"/>
      <c r="AK97" s="517"/>
      <c r="AL97" s="517"/>
      <c r="AM97" s="517"/>
      <c r="AN97" s="517"/>
      <c r="AO97" s="517"/>
      <c r="AP97" s="517"/>
      <c r="AQ97" s="517"/>
      <c r="AR97" s="517"/>
      <c r="AS97" s="517"/>
      <c r="AT97" s="517"/>
      <c r="AU97" s="517"/>
      <c r="AV97" s="517"/>
      <c r="AW97" s="517"/>
      <c r="AX97" s="517"/>
      <c r="AY97" s="517"/>
      <c r="AZ97" s="517"/>
      <c r="BA97" s="517"/>
      <c r="BB97" s="517"/>
      <c r="BC97" s="517"/>
      <c r="BD97" s="517"/>
      <c r="BE97" s="517"/>
      <c r="BF97" s="517"/>
      <c r="BG97" s="517"/>
      <c r="BH97" s="517"/>
      <c r="BI97" s="517"/>
      <c r="BJ97" s="517"/>
      <c r="BK97" s="517"/>
      <c r="BL97" s="517"/>
      <c r="BM97" s="517"/>
      <c r="BN97" s="517"/>
      <c r="BO97" s="517"/>
      <c r="BP97" s="517"/>
      <c r="BQ97" s="517"/>
      <c r="BR97" s="517"/>
      <c r="BS97" s="517"/>
      <c r="BT97" s="517"/>
      <c r="BU97" s="517"/>
      <c r="BV97" s="517"/>
      <c r="BW97" s="517"/>
      <c r="BX97" s="517"/>
      <c r="BY97" s="517"/>
      <c r="BZ97" s="517"/>
      <c r="CA97" s="517"/>
      <c r="CB97" s="517"/>
      <c r="CC97" s="517"/>
      <c r="CD97" s="517"/>
      <c r="CE97" s="517"/>
      <c r="CF97" s="517"/>
      <c r="CG97" s="517"/>
      <c r="CH97" s="517"/>
      <c r="CI97" s="517"/>
      <c r="CJ97" s="517"/>
      <c r="CK97" s="517"/>
      <c r="CL97" s="517"/>
      <c r="CM97" s="517"/>
      <c r="CN97" s="517"/>
      <c r="CO97" s="517"/>
      <c r="CP97" s="517"/>
    </row>
    <row r="98" spans="1:94" x14ac:dyDescent="0.2">
      <c r="A98" s="517"/>
      <c r="B98" s="517"/>
      <c r="C98" s="517"/>
      <c r="D98" s="517"/>
      <c r="E98" s="517"/>
      <c r="F98" s="517"/>
      <c r="G98" s="517"/>
      <c r="H98" s="517"/>
      <c r="I98" s="517"/>
      <c r="J98" s="517"/>
      <c r="K98" s="517"/>
      <c r="L98" s="517"/>
      <c r="M98" s="517"/>
      <c r="N98" s="517"/>
      <c r="O98" s="517"/>
      <c r="P98" s="517"/>
      <c r="Q98" s="517"/>
      <c r="R98" s="517"/>
      <c r="S98" s="517"/>
      <c r="T98" s="517"/>
      <c r="U98" s="517"/>
      <c r="V98" s="517"/>
      <c r="W98" s="517"/>
      <c r="X98" s="517"/>
      <c r="Y98" s="517"/>
      <c r="Z98" s="517"/>
      <c r="AA98" s="517"/>
      <c r="AB98" s="517"/>
      <c r="AC98" s="517"/>
      <c r="AD98" s="517"/>
      <c r="AE98" s="517"/>
      <c r="AF98" s="517"/>
      <c r="AG98" s="517"/>
      <c r="AH98" s="517"/>
      <c r="AI98" s="517"/>
      <c r="AJ98" s="517"/>
      <c r="AK98" s="517"/>
      <c r="AL98" s="517"/>
      <c r="AM98" s="517"/>
      <c r="AN98" s="517"/>
      <c r="AO98" s="517"/>
      <c r="AP98" s="517"/>
      <c r="AQ98" s="517"/>
      <c r="AR98" s="517"/>
      <c r="AS98" s="517"/>
      <c r="AT98" s="517"/>
      <c r="AU98" s="517"/>
      <c r="AV98" s="517"/>
      <c r="AW98" s="517"/>
      <c r="AX98" s="517"/>
      <c r="AY98" s="517"/>
      <c r="AZ98" s="517"/>
      <c r="BA98" s="517"/>
      <c r="BB98" s="517"/>
      <c r="BC98" s="517"/>
      <c r="BD98" s="517"/>
      <c r="BE98" s="517"/>
      <c r="BF98" s="517"/>
      <c r="BG98" s="517"/>
      <c r="BH98" s="517"/>
      <c r="BI98" s="517"/>
      <c r="BJ98" s="517"/>
      <c r="BK98" s="517"/>
      <c r="BL98" s="517"/>
      <c r="BM98" s="517"/>
      <c r="BN98" s="517"/>
      <c r="BO98" s="517"/>
      <c r="BP98" s="517"/>
      <c r="BQ98" s="517"/>
      <c r="BR98" s="517"/>
      <c r="BS98" s="517"/>
      <c r="BT98" s="517"/>
      <c r="BU98" s="517"/>
      <c r="BV98" s="517"/>
      <c r="BW98" s="517"/>
      <c r="BX98" s="517"/>
      <c r="BY98" s="517"/>
      <c r="BZ98" s="517"/>
      <c r="CA98" s="517"/>
      <c r="CB98" s="517"/>
      <c r="CC98" s="517"/>
      <c r="CD98" s="517"/>
      <c r="CE98" s="517"/>
      <c r="CF98" s="517"/>
      <c r="CG98" s="517"/>
      <c r="CH98" s="517"/>
      <c r="CI98" s="517"/>
      <c r="CJ98" s="517"/>
      <c r="CK98" s="517"/>
      <c r="CL98" s="517"/>
      <c r="CM98" s="517"/>
      <c r="CN98" s="517"/>
      <c r="CO98" s="517"/>
      <c r="CP98" s="517"/>
    </row>
    <row r="99" spans="1:94" x14ac:dyDescent="0.2">
      <c r="A99" s="517"/>
      <c r="B99" s="517"/>
      <c r="C99" s="517"/>
      <c r="D99" s="517"/>
      <c r="E99" s="517"/>
      <c r="F99" s="517"/>
      <c r="G99" s="517"/>
      <c r="H99" s="517"/>
      <c r="I99" s="517"/>
      <c r="J99" s="517"/>
      <c r="K99" s="517"/>
      <c r="L99" s="517"/>
      <c r="M99" s="517"/>
      <c r="N99" s="517"/>
      <c r="O99" s="517"/>
      <c r="P99" s="517"/>
      <c r="Q99" s="517"/>
      <c r="R99" s="517"/>
      <c r="S99" s="517"/>
      <c r="T99" s="517"/>
      <c r="U99" s="517"/>
      <c r="V99" s="517"/>
      <c r="W99" s="517"/>
      <c r="X99" s="517"/>
      <c r="Y99" s="517"/>
      <c r="Z99" s="517"/>
      <c r="AA99" s="517"/>
      <c r="AB99" s="517"/>
      <c r="AC99" s="517"/>
      <c r="AD99" s="517"/>
      <c r="AE99" s="517"/>
      <c r="AF99" s="517"/>
      <c r="AG99" s="517"/>
      <c r="AH99" s="517"/>
      <c r="AI99" s="517"/>
      <c r="AJ99" s="517"/>
      <c r="AK99" s="517"/>
      <c r="AL99" s="517"/>
      <c r="AM99" s="517"/>
      <c r="AN99" s="517"/>
      <c r="AO99" s="517"/>
      <c r="AP99" s="517"/>
      <c r="AQ99" s="517"/>
      <c r="AR99" s="517"/>
      <c r="AS99" s="517"/>
      <c r="AT99" s="517"/>
      <c r="AU99" s="517"/>
      <c r="AV99" s="517"/>
      <c r="AW99" s="517"/>
      <c r="AX99" s="517"/>
      <c r="AY99" s="517"/>
      <c r="AZ99" s="517"/>
      <c r="BA99" s="517"/>
      <c r="BB99" s="517"/>
      <c r="BC99" s="517"/>
      <c r="BD99" s="517"/>
      <c r="BE99" s="517"/>
      <c r="BF99" s="517"/>
      <c r="BG99" s="517"/>
      <c r="BH99" s="517"/>
      <c r="BI99" s="517"/>
      <c r="BJ99" s="517"/>
      <c r="BK99" s="517"/>
      <c r="BL99" s="517"/>
      <c r="BM99" s="517"/>
      <c r="BN99" s="517"/>
      <c r="BO99" s="517"/>
      <c r="BP99" s="517"/>
      <c r="BQ99" s="517"/>
      <c r="BR99" s="517"/>
      <c r="BS99" s="517"/>
      <c r="BT99" s="517"/>
      <c r="BU99" s="517"/>
      <c r="BV99" s="517"/>
      <c r="BW99" s="517"/>
      <c r="BX99" s="517"/>
      <c r="BY99" s="517"/>
      <c r="BZ99" s="517"/>
      <c r="CA99" s="517"/>
      <c r="CB99" s="517"/>
      <c r="CC99" s="517"/>
      <c r="CD99" s="517"/>
      <c r="CE99" s="517"/>
      <c r="CF99" s="517"/>
      <c r="CG99" s="517"/>
      <c r="CH99" s="517"/>
      <c r="CI99" s="517"/>
      <c r="CJ99" s="517"/>
      <c r="CK99" s="517"/>
      <c r="CL99" s="517"/>
      <c r="CM99" s="517"/>
      <c r="CN99" s="517"/>
      <c r="CO99" s="517"/>
      <c r="CP99" s="517"/>
    </row>
    <row r="100" spans="1:94" x14ac:dyDescent="0.2">
      <c r="A100" s="517"/>
      <c r="B100" s="517"/>
      <c r="C100" s="517"/>
      <c r="D100" s="517"/>
      <c r="E100" s="517"/>
      <c r="F100" s="517"/>
      <c r="G100" s="517"/>
      <c r="H100" s="517"/>
      <c r="I100" s="517"/>
      <c r="J100" s="517"/>
      <c r="K100" s="517"/>
      <c r="L100" s="517"/>
      <c r="M100" s="517"/>
      <c r="N100" s="517"/>
      <c r="O100" s="517"/>
      <c r="P100" s="517"/>
      <c r="Q100" s="517"/>
      <c r="R100" s="517"/>
      <c r="S100" s="517"/>
      <c r="T100" s="517"/>
      <c r="U100" s="517"/>
      <c r="V100" s="517"/>
      <c r="W100" s="517"/>
      <c r="X100" s="517"/>
      <c r="Y100" s="517"/>
      <c r="Z100" s="517"/>
      <c r="AA100" s="517"/>
      <c r="AB100" s="517"/>
      <c r="AC100" s="517"/>
      <c r="AD100" s="517"/>
      <c r="AE100" s="517"/>
      <c r="AF100" s="517"/>
      <c r="AG100" s="517"/>
      <c r="AH100" s="517"/>
      <c r="AI100" s="517"/>
      <c r="AJ100" s="517"/>
      <c r="AK100" s="517"/>
      <c r="AL100" s="517"/>
      <c r="AM100" s="517"/>
      <c r="AN100" s="517"/>
      <c r="AO100" s="517"/>
      <c r="AP100" s="517"/>
      <c r="AQ100" s="517"/>
      <c r="AR100" s="517"/>
      <c r="AS100" s="517"/>
      <c r="AT100" s="517"/>
      <c r="AU100" s="517"/>
      <c r="AV100" s="517"/>
      <c r="AW100" s="517"/>
      <c r="AX100" s="517"/>
      <c r="AY100" s="517"/>
      <c r="AZ100" s="517"/>
      <c r="BA100" s="517"/>
      <c r="BB100" s="517"/>
      <c r="BC100" s="517"/>
      <c r="BD100" s="517"/>
      <c r="BE100" s="517"/>
      <c r="BF100" s="517"/>
      <c r="BG100" s="517"/>
      <c r="BH100" s="517"/>
      <c r="BI100" s="517"/>
      <c r="BJ100" s="517"/>
      <c r="BK100" s="517"/>
      <c r="BL100" s="517"/>
      <c r="BM100" s="517"/>
      <c r="BN100" s="517"/>
      <c r="BO100" s="517"/>
      <c r="BP100" s="517"/>
      <c r="BQ100" s="517"/>
      <c r="BR100" s="517"/>
      <c r="BS100" s="517"/>
      <c r="BT100" s="517"/>
      <c r="BU100" s="517"/>
      <c r="BV100" s="517"/>
      <c r="BW100" s="517"/>
      <c r="BX100" s="517"/>
      <c r="BY100" s="517"/>
      <c r="BZ100" s="517"/>
      <c r="CA100" s="517"/>
      <c r="CB100" s="517"/>
      <c r="CC100" s="517"/>
      <c r="CD100" s="517"/>
      <c r="CE100" s="517"/>
      <c r="CF100" s="517"/>
      <c r="CG100" s="517"/>
      <c r="CH100" s="517"/>
      <c r="CI100" s="517"/>
      <c r="CJ100" s="517"/>
      <c r="CK100" s="517"/>
      <c r="CL100" s="517"/>
      <c r="CM100" s="517"/>
      <c r="CN100" s="517"/>
      <c r="CO100" s="517"/>
      <c r="CP100" s="517"/>
    </row>
    <row r="101" spans="1:94" x14ac:dyDescent="0.2">
      <c r="A101" s="517"/>
      <c r="B101" s="517"/>
      <c r="C101" s="517"/>
      <c r="D101" s="517"/>
      <c r="E101" s="517"/>
      <c r="F101" s="517"/>
      <c r="G101" s="517"/>
      <c r="H101" s="517"/>
      <c r="I101" s="517"/>
      <c r="J101" s="517"/>
      <c r="K101" s="517"/>
      <c r="L101" s="517"/>
      <c r="M101" s="517"/>
      <c r="N101" s="517"/>
      <c r="O101" s="517"/>
      <c r="P101" s="517"/>
      <c r="Q101" s="517"/>
      <c r="R101" s="517"/>
      <c r="S101" s="517"/>
      <c r="T101" s="517"/>
      <c r="U101" s="517"/>
      <c r="V101" s="517"/>
      <c r="W101" s="517"/>
      <c r="X101" s="517"/>
      <c r="Y101" s="517"/>
      <c r="Z101" s="517"/>
      <c r="AA101" s="517"/>
      <c r="AB101" s="517"/>
      <c r="AC101" s="517"/>
      <c r="AD101" s="517"/>
      <c r="AE101" s="517"/>
      <c r="AF101" s="517"/>
      <c r="AG101" s="517"/>
      <c r="AH101" s="517"/>
      <c r="AI101" s="517"/>
      <c r="AJ101" s="517"/>
      <c r="AK101" s="517"/>
      <c r="AL101" s="517"/>
      <c r="AM101" s="517"/>
      <c r="AN101" s="517"/>
      <c r="AO101" s="517"/>
      <c r="AP101" s="517"/>
      <c r="AQ101" s="517"/>
      <c r="AR101" s="517"/>
      <c r="AS101" s="517"/>
      <c r="AT101" s="517"/>
      <c r="AU101" s="517"/>
      <c r="AV101" s="517"/>
      <c r="AW101" s="517"/>
      <c r="AX101" s="517"/>
      <c r="AY101" s="517"/>
      <c r="AZ101" s="517"/>
      <c r="BA101" s="517"/>
      <c r="BB101" s="517"/>
      <c r="BC101" s="517"/>
      <c r="BD101" s="517"/>
      <c r="BE101" s="517"/>
      <c r="BF101" s="517"/>
      <c r="BG101" s="517"/>
      <c r="BH101" s="517"/>
      <c r="BI101" s="517"/>
      <c r="BJ101" s="517"/>
      <c r="BK101" s="517"/>
      <c r="BL101" s="517"/>
      <c r="BM101" s="517"/>
      <c r="BN101" s="517"/>
      <c r="BO101" s="517"/>
      <c r="BP101" s="517"/>
      <c r="BQ101" s="517"/>
      <c r="BR101" s="517"/>
      <c r="BS101" s="517"/>
      <c r="BT101" s="517"/>
      <c r="BU101" s="517"/>
      <c r="BV101" s="517"/>
      <c r="BW101" s="517"/>
      <c r="BX101" s="517"/>
      <c r="BY101" s="517"/>
      <c r="BZ101" s="517"/>
      <c r="CA101" s="517"/>
      <c r="CB101" s="517"/>
      <c r="CC101" s="517"/>
      <c r="CD101" s="517"/>
      <c r="CE101" s="517"/>
      <c r="CF101" s="517"/>
      <c r="CG101" s="517"/>
      <c r="CH101" s="517"/>
      <c r="CI101" s="517"/>
      <c r="CJ101" s="517"/>
      <c r="CK101" s="517"/>
      <c r="CL101" s="517"/>
      <c r="CM101" s="517"/>
      <c r="CN101" s="517"/>
      <c r="CO101" s="517"/>
      <c r="CP101" s="517"/>
    </row>
    <row r="102" spans="1:94" x14ac:dyDescent="0.2">
      <c r="A102" s="517"/>
      <c r="B102" s="517"/>
      <c r="C102" s="517"/>
      <c r="D102" s="517"/>
      <c r="E102" s="517"/>
      <c r="F102" s="517"/>
      <c r="G102" s="517"/>
      <c r="H102" s="564"/>
    </row>
    <row r="103" spans="1:94" x14ac:dyDescent="0.2">
      <c r="A103" s="517"/>
      <c r="B103" s="517"/>
      <c r="C103" s="517"/>
      <c r="D103" s="517"/>
      <c r="E103" s="517"/>
      <c r="F103" s="517"/>
      <c r="G103" s="517"/>
      <c r="H103" s="564"/>
    </row>
    <row r="104" spans="1:94" x14ac:dyDescent="0.2">
      <c r="A104" s="517"/>
      <c r="B104" s="517"/>
      <c r="C104" s="517"/>
      <c r="D104" s="517"/>
      <c r="E104" s="517"/>
      <c r="F104" s="517"/>
      <c r="G104" s="517"/>
      <c r="H104" s="564"/>
    </row>
    <row r="105" spans="1:94" x14ac:dyDescent="0.2">
      <c r="A105" s="517"/>
      <c r="B105" s="517"/>
      <c r="C105" s="517"/>
      <c r="D105" s="517"/>
      <c r="E105" s="517"/>
      <c r="F105" s="517"/>
      <c r="G105" s="517"/>
      <c r="H105" s="564"/>
    </row>
    <row r="106" spans="1:94" x14ac:dyDescent="0.2">
      <c r="A106" s="517"/>
      <c r="B106" s="517"/>
      <c r="C106" s="517"/>
      <c r="D106" s="517"/>
      <c r="E106" s="517"/>
      <c r="F106" s="517"/>
      <c r="G106" s="517"/>
      <c r="H106" s="564"/>
    </row>
    <row r="107" spans="1:94" x14ac:dyDescent="0.2">
      <c r="A107" s="517"/>
      <c r="B107" s="517"/>
      <c r="C107" s="517"/>
      <c r="D107" s="517"/>
      <c r="E107" s="517"/>
      <c r="F107" s="517"/>
      <c r="G107" s="517"/>
      <c r="H107" s="564"/>
    </row>
    <row r="108" spans="1:94" x14ac:dyDescent="0.2">
      <c r="A108" s="517"/>
      <c r="B108" s="517"/>
      <c r="C108" s="517"/>
      <c r="D108" s="517"/>
      <c r="E108" s="517"/>
      <c r="F108" s="517"/>
      <c r="G108" s="517"/>
      <c r="H108" s="564"/>
    </row>
    <row r="109" spans="1:94" x14ac:dyDescent="0.2">
      <c r="A109" s="517"/>
      <c r="B109" s="517"/>
      <c r="C109" s="517"/>
      <c r="D109" s="517"/>
      <c r="E109" s="517"/>
      <c r="F109" s="517"/>
      <c r="G109" s="517"/>
      <c r="H109" s="564"/>
    </row>
    <row r="110" spans="1:94" x14ac:dyDescent="0.2">
      <c r="A110" s="517"/>
      <c r="B110" s="517"/>
      <c r="C110" s="517"/>
      <c r="D110" s="517"/>
      <c r="E110" s="517"/>
      <c r="F110" s="517"/>
      <c r="G110" s="517"/>
      <c r="H110" s="564"/>
    </row>
    <row r="111" spans="1:94" x14ac:dyDescent="0.2">
      <c r="A111" s="517"/>
      <c r="B111" s="517"/>
      <c r="C111" s="517"/>
      <c r="D111" s="517"/>
      <c r="E111" s="517"/>
      <c r="F111" s="517"/>
      <c r="G111" s="517"/>
      <c r="H111" s="564"/>
    </row>
    <row r="112" spans="1:94" x14ac:dyDescent="0.2">
      <c r="A112" s="517"/>
      <c r="B112" s="517"/>
      <c r="C112" s="517"/>
      <c r="D112" s="517"/>
      <c r="E112" s="517"/>
      <c r="F112" s="517"/>
      <c r="G112" s="517"/>
      <c r="H112" s="564"/>
    </row>
    <row r="113" spans="1:8" x14ac:dyDescent="0.2">
      <c r="A113" s="517"/>
      <c r="B113" s="517"/>
      <c r="C113" s="517"/>
      <c r="D113" s="517"/>
      <c r="E113" s="517"/>
      <c r="F113" s="517"/>
      <c r="G113" s="517"/>
      <c r="H113" s="564"/>
    </row>
    <row r="114" spans="1:8" x14ac:dyDescent="0.2">
      <c r="A114" s="517"/>
      <c r="B114" s="517"/>
      <c r="C114" s="517"/>
      <c r="D114" s="517"/>
      <c r="E114" s="517"/>
      <c r="F114" s="517"/>
      <c r="G114" s="517"/>
      <c r="H114" s="564"/>
    </row>
    <row r="115" spans="1:8" x14ac:dyDescent="0.2">
      <c r="A115" s="517"/>
      <c r="B115" s="517"/>
      <c r="C115" s="517"/>
      <c r="D115" s="517"/>
      <c r="E115" s="517"/>
      <c r="F115" s="517"/>
      <c r="G115" s="517"/>
      <c r="H115" s="564"/>
    </row>
    <row r="116" spans="1:8" x14ac:dyDescent="0.2">
      <c r="A116" s="517"/>
      <c r="B116" s="517"/>
      <c r="C116" s="517"/>
      <c r="D116" s="517"/>
      <c r="E116" s="517"/>
      <c r="F116" s="517"/>
      <c r="G116" s="517"/>
      <c r="H116" s="564"/>
    </row>
    <row r="117" spans="1:8" x14ac:dyDescent="0.2">
      <c r="A117" s="517"/>
      <c r="B117" s="517"/>
      <c r="C117" s="517"/>
      <c r="D117" s="517"/>
      <c r="E117" s="517"/>
      <c r="F117" s="517"/>
      <c r="G117" s="517"/>
      <c r="H117" s="564"/>
    </row>
    <row r="118" spans="1:8" x14ac:dyDescent="0.2">
      <c r="A118" s="517"/>
      <c r="B118" s="517"/>
      <c r="C118" s="517"/>
      <c r="D118" s="517"/>
      <c r="E118" s="517"/>
      <c r="F118" s="517"/>
      <c r="G118" s="517"/>
      <c r="H118" s="564"/>
    </row>
    <row r="119" spans="1:8" x14ac:dyDescent="0.2">
      <c r="A119" s="517"/>
      <c r="B119" s="517"/>
      <c r="C119" s="517"/>
      <c r="D119" s="517"/>
      <c r="E119" s="517"/>
      <c r="F119" s="517"/>
      <c r="G119" s="517"/>
      <c r="H119" s="564"/>
    </row>
    <row r="120" spans="1:8" x14ac:dyDescent="0.2">
      <c r="A120" s="517"/>
      <c r="B120" s="517"/>
      <c r="C120" s="517"/>
      <c r="D120" s="517"/>
      <c r="E120" s="517"/>
      <c r="F120" s="517"/>
      <c r="G120" s="517"/>
      <c r="H120" s="564"/>
    </row>
    <row r="121" spans="1:8" x14ac:dyDescent="0.2">
      <c r="A121" s="517"/>
      <c r="B121" s="517"/>
      <c r="C121" s="517"/>
      <c r="D121" s="517"/>
      <c r="E121" s="517"/>
      <c r="F121" s="517"/>
      <c r="G121" s="517"/>
      <c r="H121" s="564"/>
    </row>
    <row r="122" spans="1:8" x14ac:dyDescent="0.2">
      <c r="A122" s="517"/>
      <c r="B122" s="517"/>
      <c r="C122" s="517"/>
      <c r="D122" s="517"/>
      <c r="E122" s="517"/>
      <c r="F122" s="517"/>
      <c r="G122" s="517"/>
      <c r="H122" s="564"/>
    </row>
    <row r="123" spans="1:8" x14ac:dyDescent="0.2">
      <c r="A123" s="517"/>
      <c r="B123" s="517"/>
      <c r="C123" s="517"/>
      <c r="D123" s="517"/>
      <c r="E123" s="517"/>
      <c r="F123" s="517"/>
      <c r="G123" s="517"/>
      <c r="H123" s="564"/>
    </row>
    <row r="124" spans="1:8" x14ac:dyDescent="0.2">
      <c r="A124" s="517"/>
      <c r="B124" s="517"/>
      <c r="C124" s="517"/>
      <c r="D124" s="517"/>
      <c r="E124" s="517"/>
      <c r="F124" s="517"/>
      <c r="G124" s="517"/>
      <c r="H124" s="564"/>
    </row>
    <row r="125" spans="1:8" x14ac:dyDescent="0.2">
      <c r="A125" s="517"/>
      <c r="B125" s="517"/>
      <c r="C125" s="517"/>
      <c r="D125" s="517"/>
      <c r="E125" s="517"/>
      <c r="F125" s="517"/>
      <c r="G125" s="517"/>
      <c r="H125" s="564"/>
    </row>
    <row r="126" spans="1:8" x14ac:dyDescent="0.2">
      <c r="A126" s="517"/>
      <c r="B126" s="517"/>
      <c r="C126" s="517"/>
      <c r="D126" s="517"/>
      <c r="E126" s="517"/>
      <c r="F126" s="517"/>
      <c r="G126" s="517"/>
      <c r="H126" s="564"/>
    </row>
    <row r="127" spans="1:8" x14ac:dyDescent="0.2">
      <c r="A127" s="517"/>
      <c r="B127" s="517"/>
      <c r="C127" s="517"/>
      <c r="D127" s="517"/>
      <c r="E127" s="517"/>
      <c r="F127" s="517"/>
      <c r="G127" s="517"/>
      <c r="H127" s="564"/>
    </row>
    <row r="128" spans="1:8" x14ac:dyDescent="0.2">
      <c r="A128" s="517"/>
      <c r="B128" s="517"/>
      <c r="C128" s="517"/>
      <c r="D128" s="517"/>
      <c r="E128" s="517"/>
      <c r="F128" s="517"/>
      <c r="G128" s="517"/>
      <c r="H128" s="564"/>
    </row>
    <row r="129" spans="1:8" x14ac:dyDescent="0.2">
      <c r="A129" s="517"/>
      <c r="B129" s="517"/>
      <c r="C129" s="517"/>
      <c r="D129" s="517"/>
      <c r="E129" s="517"/>
      <c r="F129" s="517"/>
      <c r="G129" s="517"/>
      <c r="H129" s="564"/>
    </row>
    <row r="130" spans="1:8" x14ac:dyDescent="0.2">
      <c r="A130" s="517"/>
      <c r="B130" s="517"/>
      <c r="C130" s="517"/>
      <c r="D130" s="517"/>
      <c r="E130" s="517"/>
      <c r="F130" s="517"/>
      <c r="G130" s="517"/>
      <c r="H130" s="564"/>
    </row>
    <row r="131" spans="1:8" x14ac:dyDescent="0.2">
      <c r="A131" s="517"/>
      <c r="B131" s="517"/>
      <c r="C131" s="517"/>
      <c r="D131" s="517"/>
      <c r="E131" s="517"/>
      <c r="F131" s="517"/>
      <c r="G131" s="517"/>
      <c r="H131" s="564"/>
    </row>
    <row r="132" spans="1:8" x14ac:dyDescent="0.2">
      <c r="A132" s="517"/>
      <c r="B132" s="517"/>
      <c r="C132" s="517"/>
      <c r="D132" s="517"/>
      <c r="E132" s="517"/>
      <c r="F132" s="517"/>
      <c r="G132" s="517"/>
      <c r="H132" s="564"/>
    </row>
    <row r="133" spans="1:8" x14ac:dyDescent="0.2">
      <c r="A133" s="517"/>
      <c r="B133" s="517"/>
      <c r="C133" s="517"/>
      <c r="D133" s="517"/>
      <c r="E133" s="517"/>
      <c r="F133" s="517"/>
      <c r="G133" s="517"/>
      <c r="H133" s="564"/>
    </row>
    <row r="134" spans="1:8" x14ac:dyDescent="0.2">
      <c r="A134" s="517"/>
      <c r="B134" s="517"/>
      <c r="C134" s="517"/>
      <c r="D134" s="517"/>
      <c r="E134" s="517"/>
      <c r="F134" s="517"/>
      <c r="G134" s="517"/>
      <c r="H134" s="564"/>
    </row>
    <row r="135" spans="1:8" x14ac:dyDescent="0.2">
      <c r="A135" s="517"/>
      <c r="B135" s="517"/>
      <c r="C135" s="517"/>
      <c r="D135" s="517"/>
      <c r="E135" s="517"/>
      <c r="F135" s="517"/>
      <c r="G135" s="517"/>
      <c r="H135" s="564"/>
    </row>
    <row r="136" spans="1:8" x14ac:dyDescent="0.2">
      <c r="A136" s="517"/>
      <c r="B136" s="517"/>
      <c r="C136" s="517"/>
      <c r="D136" s="517"/>
      <c r="E136" s="517"/>
      <c r="F136" s="517"/>
      <c r="G136" s="517"/>
      <c r="H136" s="564"/>
    </row>
    <row r="137" spans="1:8" x14ac:dyDescent="0.2">
      <c r="A137" s="517"/>
      <c r="B137" s="517"/>
      <c r="C137" s="517"/>
      <c r="D137" s="517"/>
      <c r="E137" s="517"/>
      <c r="F137" s="517"/>
      <c r="G137" s="517"/>
      <c r="H137" s="564"/>
    </row>
    <row r="138" spans="1:8" x14ac:dyDescent="0.2">
      <c r="A138" s="517"/>
      <c r="B138" s="517"/>
      <c r="C138" s="517"/>
      <c r="D138" s="517"/>
      <c r="E138" s="517"/>
      <c r="F138" s="517"/>
      <c r="G138" s="517"/>
      <c r="H138" s="564"/>
    </row>
    <row r="139" spans="1:8" x14ac:dyDescent="0.2">
      <c r="A139" s="517"/>
      <c r="B139" s="517"/>
      <c r="C139" s="517"/>
      <c r="D139" s="517"/>
      <c r="E139" s="517"/>
      <c r="F139" s="517"/>
      <c r="G139" s="517"/>
      <c r="H139" s="564"/>
    </row>
    <row r="140" spans="1:8" x14ac:dyDescent="0.2">
      <c r="A140" s="517"/>
      <c r="B140" s="517"/>
      <c r="C140" s="517"/>
      <c r="D140" s="517"/>
      <c r="E140" s="517"/>
      <c r="F140" s="517"/>
      <c r="G140" s="517"/>
      <c r="H140" s="564"/>
    </row>
    <row r="141" spans="1:8" x14ac:dyDescent="0.2">
      <c r="A141" s="517"/>
      <c r="B141" s="517"/>
      <c r="C141" s="517"/>
      <c r="D141" s="517"/>
      <c r="E141" s="517"/>
      <c r="F141" s="517"/>
      <c r="G141" s="517"/>
      <c r="H141" s="564"/>
    </row>
    <row r="142" spans="1:8" x14ac:dyDescent="0.2">
      <c r="A142" s="517"/>
      <c r="B142" s="517"/>
      <c r="C142" s="517"/>
      <c r="D142" s="517"/>
      <c r="E142" s="517"/>
      <c r="F142" s="517"/>
      <c r="G142" s="517"/>
      <c r="H142" s="564"/>
    </row>
    <row r="143" spans="1:8" x14ac:dyDescent="0.2">
      <c r="A143" s="517"/>
      <c r="B143" s="517"/>
      <c r="C143" s="517"/>
      <c r="D143" s="517"/>
      <c r="E143" s="517"/>
      <c r="F143" s="517"/>
      <c r="G143" s="517"/>
      <c r="H143" s="564"/>
    </row>
    <row r="144" spans="1:8" x14ac:dyDescent="0.2">
      <c r="A144" s="517"/>
      <c r="B144" s="517"/>
      <c r="C144" s="517"/>
      <c r="D144" s="517"/>
      <c r="E144" s="517"/>
      <c r="F144" s="517"/>
      <c r="G144" s="517"/>
      <c r="H144" s="564"/>
    </row>
    <row r="145" spans="1:8" x14ac:dyDescent="0.2">
      <c r="A145" s="517"/>
      <c r="B145" s="517"/>
      <c r="C145" s="517"/>
      <c r="D145" s="517"/>
      <c r="E145" s="517"/>
      <c r="F145" s="517"/>
      <c r="G145" s="517"/>
      <c r="H145" s="564"/>
    </row>
    <row r="146" spans="1:8" x14ac:dyDescent="0.2">
      <c r="A146" s="517"/>
      <c r="B146" s="517"/>
      <c r="C146" s="517"/>
      <c r="D146" s="517"/>
      <c r="E146" s="517"/>
      <c r="F146" s="517"/>
      <c r="G146" s="517"/>
      <c r="H146" s="564"/>
    </row>
    <row r="147" spans="1:8" x14ac:dyDescent="0.2">
      <c r="A147" s="517"/>
      <c r="B147" s="517"/>
      <c r="C147" s="517"/>
      <c r="D147" s="517"/>
      <c r="E147" s="517"/>
      <c r="F147" s="517"/>
      <c r="G147" s="517"/>
      <c r="H147" s="564"/>
    </row>
    <row r="148" spans="1:8" x14ac:dyDescent="0.2">
      <c r="A148" s="517"/>
      <c r="B148" s="517"/>
      <c r="C148" s="517"/>
      <c r="D148" s="517"/>
      <c r="E148" s="517"/>
      <c r="F148" s="517"/>
      <c r="G148" s="517"/>
      <c r="H148" s="564"/>
    </row>
    <row r="149" spans="1:8" x14ac:dyDescent="0.2">
      <c r="A149" s="517"/>
      <c r="B149" s="517"/>
      <c r="C149" s="517"/>
      <c r="D149" s="517"/>
      <c r="E149" s="517"/>
      <c r="F149" s="517"/>
      <c r="G149" s="517"/>
      <c r="H149" s="564"/>
    </row>
    <row r="150" spans="1:8" x14ac:dyDescent="0.2">
      <c r="A150" s="517"/>
      <c r="B150" s="517"/>
      <c r="C150" s="517"/>
      <c r="D150" s="517"/>
      <c r="E150" s="517"/>
      <c r="F150" s="517"/>
      <c r="G150" s="517"/>
      <c r="H150" s="564"/>
    </row>
    <row r="151" spans="1:8" x14ac:dyDescent="0.2">
      <c r="A151" s="517"/>
      <c r="B151" s="517"/>
      <c r="C151" s="517"/>
      <c r="D151" s="517"/>
      <c r="E151" s="517"/>
      <c r="F151" s="517"/>
      <c r="G151" s="517"/>
      <c r="H151" s="564"/>
    </row>
    <row r="152" spans="1:8" x14ac:dyDescent="0.2">
      <c r="A152" s="517"/>
      <c r="B152" s="517"/>
      <c r="C152" s="517"/>
      <c r="D152" s="517"/>
      <c r="E152" s="517"/>
      <c r="F152" s="517"/>
      <c r="G152" s="517"/>
      <c r="H152" s="564"/>
    </row>
    <row r="153" spans="1:8" x14ac:dyDescent="0.2">
      <c r="A153" s="517"/>
      <c r="B153" s="517"/>
      <c r="C153" s="517"/>
      <c r="D153" s="517"/>
      <c r="E153" s="517"/>
      <c r="F153" s="517"/>
      <c r="G153" s="517"/>
      <c r="H153" s="564"/>
    </row>
    <row r="154" spans="1:8" x14ac:dyDescent="0.2">
      <c r="A154" s="517"/>
      <c r="B154" s="517"/>
      <c r="C154" s="517"/>
      <c r="D154" s="517"/>
      <c r="E154" s="517"/>
      <c r="F154" s="517"/>
      <c r="G154" s="517"/>
      <c r="H154" s="564"/>
    </row>
    <row r="155" spans="1:8" x14ac:dyDescent="0.2">
      <c r="A155" s="517"/>
      <c r="B155" s="517"/>
      <c r="C155" s="517"/>
      <c r="D155" s="517"/>
      <c r="E155" s="517"/>
      <c r="F155" s="517"/>
      <c r="G155" s="517"/>
      <c r="H155" s="564"/>
    </row>
    <row r="156" spans="1:8" x14ac:dyDescent="0.2">
      <c r="A156" s="517"/>
      <c r="B156" s="517"/>
      <c r="C156" s="517"/>
      <c r="D156" s="517"/>
      <c r="E156" s="517"/>
      <c r="F156" s="517"/>
      <c r="G156" s="517"/>
      <c r="H156" s="564"/>
    </row>
    <row r="157" spans="1:8" x14ac:dyDescent="0.2">
      <c r="A157" s="517"/>
      <c r="B157" s="517"/>
      <c r="C157" s="517"/>
      <c r="D157" s="517"/>
      <c r="E157" s="517"/>
      <c r="F157" s="517"/>
      <c r="G157" s="517"/>
      <c r="H157" s="564"/>
    </row>
    <row r="158" spans="1:8" x14ac:dyDescent="0.2">
      <c r="A158" s="517"/>
      <c r="B158" s="517"/>
      <c r="C158" s="517"/>
      <c r="D158" s="517"/>
      <c r="E158" s="517"/>
      <c r="F158" s="517"/>
      <c r="G158" s="517"/>
      <c r="H158" s="564"/>
    </row>
    <row r="159" spans="1:8" x14ac:dyDescent="0.2">
      <c r="A159" s="517"/>
      <c r="B159" s="517"/>
      <c r="C159" s="517"/>
      <c r="D159" s="517"/>
      <c r="E159" s="517"/>
      <c r="F159" s="517"/>
      <c r="G159" s="517"/>
      <c r="H159" s="564"/>
    </row>
    <row r="160" spans="1:8" x14ac:dyDescent="0.2">
      <c r="A160" s="517"/>
      <c r="B160" s="517"/>
      <c r="C160" s="517"/>
      <c r="D160" s="517"/>
      <c r="E160" s="517"/>
      <c r="F160" s="517"/>
      <c r="G160" s="517"/>
      <c r="H160" s="564"/>
    </row>
    <row r="161" spans="1:8" x14ac:dyDescent="0.2">
      <c r="A161" s="517"/>
      <c r="B161" s="517"/>
      <c r="C161" s="517"/>
      <c r="D161" s="517"/>
      <c r="E161" s="517"/>
      <c r="F161" s="517"/>
      <c r="G161" s="517"/>
      <c r="H161" s="564"/>
    </row>
    <row r="162" spans="1:8" x14ac:dyDescent="0.2">
      <c r="A162" s="517"/>
      <c r="B162" s="517"/>
      <c r="C162" s="517"/>
      <c r="D162" s="517"/>
      <c r="E162" s="517"/>
      <c r="F162" s="517"/>
      <c r="G162" s="517"/>
      <c r="H162" s="564"/>
    </row>
    <row r="163" spans="1:8" x14ac:dyDescent="0.2">
      <c r="A163" s="517"/>
      <c r="B163" s="517"/>
      <c r="C163" s="517"/>
      <c r="D163" s="517"/>
      <c r="E163" s="517"/>
      <c r="F163" s="517"/>
      <c r="G163" s="517"/>
      <c r="H163" s="564"/>
    </row>
    <row r="164" spans="1:8" x14ac:dyDescent="0.2">
      <c r="A164" s="517"/>
      <c r="B164" s="517"/>
      <c r="C164" s="517"/>
      <c r="D164" s="517"/>
      <c r="E164" s="517"/>
      <c r="F164" s="517"/>
      <c r="G164" s="517"/>
      <c r="H164" s="564"/>
    </row>
    <row r="165" spans="1:8" x14ac:dyDescent="0.2">
      <c r="A165" s="517"/>
      <c r="B165" s="517"/>
      <c r="C165" s="517"/>
      <c r="D165" s="517"/>
      <c r="E165" s="517"/>
      <c r="F165" s="517"/>
      <c r="G165" s="517"/>
      <c r="H165" s="564"/>
    </row>
    <row r="166" spans="1:8" x14ac:dyDescent="0.2">
      <c r="A166" s="517"/>
      <c r="B166" s="517"/>
      <c r="C166" s="517"/>
      <c r="D166" s="517"/>
      <c r="E166" s="517"/>
      <c r="F166" s="517"/>
      <c r="G166" s="517"/>
      <c r="H166" s="564"/>
    </row>
    <row r="167" spans="1:8" x14ac:dyDescent="0.2">
      <c r="A167" s="517"/>
      <c r="B167" s="517"/>
      <c r="C167" s="517"/>
      <c r="D167" s="517"/>
      <c r="E167" s="517"/>
      <c r="F167" s="517"/>
      <c r="G167" s="517"/>
      <c r="H167" s="564"/>
    </row>
    <row r="168" spans="1:8" x14ac:dyDescent="0.2">
      <c r="A168" s="517"/>
      <c r="B168" s="517"/>
      <c r="C168" s="517"/>
      <c r="D168" s="517"/>
      <c r="E168" s="517"/>
      <c r="F168" s="517"/>
      <c r="G168" s="517"/>
      <c r="H168" s="564"/>
    </row>
    <row r="169" spans="1:8" x14ac:dyDescent="0.2">
      <c r="A169" s="517"/>
      <c r="B169" s="517"/>
      <c r="C169" s="517"/>
      <c r="D169" s="517"/>
      <c r="E169" s="517"/>
      <c r="F169" s="517"/>
      <c r="G169" s="517"/>
      <c r="H169" s="564"/>
    </row>
    <row r="170" spans="1:8" x14ac:dyDescent="0.2">
      <c r="A170" s="517"/>
      <c r="B170" s="517"/>
      <c r="C170" s="517"/>
      <c r="D170" s="517"/>
      <c r="E170" s="517"/>
      <c r="F170" s="517"/>
      <c r="G170" s="517"/>
      <c r="H170" s="564"/>
    </row>
    <row r="171" spans="1:8" x14ac:dyDescent="0.2">
      <c r="A171" s="517"/>
      <c r="B171" s="517"/>
      <c r="C171" s="517"/>
      <c r="D171" s="517"/>
      <c r="E171" s="517"/>
      <c r="F171" s="517"/>
      <c r="G171" s="517"/>
      <c r="H171" s="564"/>
    </row>
    <row r="172" spans="1:8" x14ac:dyDescent="0.2">
      <c r="A172" s="517"/>
      <c r="B172" s="517"/>
      <c r="C172" s="517"/>
      <c r="D172" s="517"/>
      <c r="E172" s="517"/>
      <c r="F172" s="517"/>
      <c r="G172" s="517"/>
      <c r="H172" s="564"/>
    </row>
    <row r="173" spans="1:8" x14ac:dyDescent="0.2">
      <c r="A173" s="517"/>
      <c r="B173" s="517"/>
      <c r="C173" s="517"/>
      <c r="D173" s="517"/>
      <c r="E173" s="517"/>
      <c r="F173" s="517"/>
      <c r="G173" s="517"/>
      <c r="H173" s="564"/>
    </row>
    <row r="174" spans="1:8" x14ac:dyDescent="0.2">
      <c r="A174" s="517"/>
      <c r="B174" s="517"/>
      <c r="C174" s="517"/>
      <c r="D174" s="517"/>
      <c r="E174" s="517"/>
      <c r="F174" s="517"/>
      <c r="G174" s="517"/>
      <c r="H174" s="564"/>
    </row>
    <row r="175" spans="1:8" x14ac:dyDescent="0.2">
      <c r="A175" s="517"/>
      <c r="B175" s="517"/>
      <c r="C175" s="517"/>
      <c r="D175" s="517"/>
      <c r="E175" s="517"/>
      <c r="F175" s="517"/>
      <c r="G175" s="517"/>
      <c r="H175" s="564"/>
    </row>
    <row r="176" spans="1:8" x14ac:dyDescent="0.2">
      <c r="A176" s="517"/>
      <c r="B176" s="517"/>
      <c r="C176" s="517"/>
      <c r="D176" s="517"/>
      <c r="E176" s="517"/>
      <c r="F176" s="517"/>
      <c r="G176" s="517"/>
      <c r="H176" s="564"/>
    </row>
    <row r="177" spans="1:11" x14ac:dyDescent="0.2">
      <c r="A177" s="517"/>
      <c r="B177" s="517"/>
      <c r="C177" s="517"/>
      <c r="D177" s="517"/>
      <c r="E177" s="517"/>
      <c r="F177" s="517"/>
      <c r="G177" s="517"/>
      <c r="H177" s="564"/>
    </row>
    <row r="178" spans="1:11" x14ac:dyDescent="0.2">
      <c r="A178" s="517"/>
      <c r="B178" s="517"/>
      <c r="C178" s="517"/>
      <c r="D178" s="517"/>
      <c r="E178" s="517"/>
      <c r="F178" s="517"/>
      <c r="G178" s="517"/>
      <c r="H178" s="564"/>
    </row>
    <row r="179" spans="1:11" x14ac:dyDescent="0.2">
      <c r="A179" s="517"/>
      <c r="B179" s="517"/>
      <c r="C179" s="517"/>
      <c r="D179" s="517"/>
      <c r="E179" s="517"/>
      <c r="F179" s="517"/>
      <c r="G179" s="517"/>
      <c r="H179" s="564"/>
    </row>
    <row r="180" spans="1:11" x14ac:dyDescent="0.2">
      <c r="A180" s="517"/>
      <c r="B180" s="517"/>
      <c r="C180" s="517"/>
      <c r="D180" s="517"/>
      <c r="E180" s="517"/>
      <c r="F180" s="517"/>
      <c r="G180" s="517"/>
      <c r="H180" s="564"/>
    </row>
    <row r="181" spans="1:11" x14ac:dyDescent="0.2">
      <c r="A181" s="517"/>
      <c r="B181" s="517"/>
      <c r="C181" s="517"/>
      <c r="D181" s="517"/>
      <c r="E181" s="517"/>
      <c r="F181" s="517"/>
      <c r="G181" s="517"/>
      <c r="H181" s="564"/>
    </row>
    <row r="182" spans="1:11" x14ac:dyDescent="0.2">
      <c r="A182" s="517"/>
      <c r="B182" s="517"/>
      <c r="C182" s="517"/>
      <c r="D182" s="517"/>
      <c r="E182" s="517"/>
      <c r="F182" s="517"/>
      <c r="G182" s="517"/>
      <c r="H182" s="564"/>
    </row>
    <row r="183" spans="1:11" x14ac:dyDescent="0.2">
      <c r="A183" s="517"/>
      <c r="B183" s="517"/>
      <c r="C183" s="517"/>
      <c r="D183" s="517"/>
      <c r="E183" s="517"/>
      <c r="F183" s="517"/>
      <c r="G183" s="517"/>
      <c r="H183" s="564"/>
    </row>
    <row r="184" spans="1:11" x14ac:dyDescent="0.2">
      <c r="A184" s="517"/>
      <c r="B184" s="517"/>
      <c r="C184" s="517"/>
      <c r="D184" s="517"/>
      <c r="E184" s="517"/>
      <c r="F184" s="517"/>
      <c r="G184" s="517"/>
      <c r="H184" s="565"/>
      <c r="I184" s="518"/>
      <c r="J184" s="518"/>
    </row>
    <row r="185" spans="1:11" x14ac:dyDescent="0.2">
      <c r="A185" s="517"/>
      <c r="B185" s="517"/>
      <c r="C185" s="517"/>
      <c r="D185" s="517"/>
      <c r="E185" s="517"/>
      <c r="F185" s="517"/>
      <c r="G185" s="517"/>
      <c r="H185" s="517"/>
      <c r="I185" s="517"/>
      <c r="J185" s="517"/>
      <c r="K185" s="564"/>
    </row>
    <row r="186" spans="1:11" x14ac:dyDescent="0.2">
      <c r="A186" s="517"/>
      <c r="B186" s="517"/>
      <c r="C186" s="517"/>
      <c r="D186" s="517"/>
      <c r="E186" s="517"/>
      <c r="F186" s="517"/>
      <c r="G186" s="517"/>
      <c r="H186" s="517"/>
      <c r="I186" s="517"/>
      <c r="J186" s="517"/>
      <c r="K186" s="564"/>
    </row>
    <row r="187" spans="1:11" x14ac:dyDescent="0.2">
      <c r="A187" s="517"/>
      <c r="B187" s="517"/>
      <c r="C187" s="517"/>
      <c r="D187" s="517"/>
      <c r="E187" s="517"/>
      <c r="F187" s="517"/>
      <c r="G187" s="517"/>
      <c r="H187" s="517"/>
      <c r="I187" s="517"/>
      <c r="J187" s="517"/>
      <c r="K187" s="564"/>
    </row>
    <row r="188" spans="1:11" x14ac:dyDescent="0.2">
      <c r="A188" s="517"/>
      <c r="B188" s="517"/>
      <c r="C188" s="517"/>
      <c r="D188" s="517"/>
      <c r="E188" s="517"/>
      <c r="F188" s="517"/>
      <c r="G188" s="517"/>
      <c r="H188" s="517"/>
      <c r="I188" s="517"/>
      <c r="J188" s="517"/>
      <c r="K188" s="564"/>
    </row>
    <row r="189" spans="1:11" x14ac:dyDescent="0.2">
      <c r="A189" s="517"/>
      <c r="B189" s="517"/>
      <c r="C189" s="517"/>
      <c r="D189" s="517"/>
      <c r="E189" s="517"/>
      <c r="F189" s="517"/>
      <c r="G189" s="517"/>
      <c r="H189" s="517"/>
      <c r="I189" s="517"/>
      <c r="J189" s="517"/>
      <c r="K189" s="564"/>
    </row>
    <row r="190" spans="1:11" x14ac:dyDescent="0.2">
      <c r="A190" s="517"/>
      <c r="B190" s="517"/>
      <c r="C190" s="517"/>
      <c r="D190" s="517"/>
      <c r="E190" s="517"/>
      <c r="F190" s="517"/>
      <c r="G190" s="517"/>
      <c r="H190" s="517"/>
      <c r="I190" s="517"/>
      <c r="J190" s="517"/>
      <c r="K190" s="564"/>
    </row>
    <row r="191" spans="1:11" x14ac:dyDescent="0.2">
      <c r="A191" s="517"/>
      <c r="B191" s="517"/>
      <c r="C191" s="517"/>
      <c r="D191" s="517"/>
      <c r="E191" s="517"/>
      <c r="F191" s="517"/>
      <c r="G191" s="517"/>
      <c r="H191" s="517"/>
      <c r="I191" s="517"/>
      <c r="J191" s="517"/>
      <c r="K191" s="564"/>
    </row>
    <row r="192" spans="1:11" x14ac:dyDescent="0.2">
      <c r="A192" s="517"/>
      <c r="B192" s="517"/>
      <c r="C192" s="517"/>
      <c r="D192" s="517"/>
      <c r="E192" s="517"/>
      <c r="F192" s="517"/>
      <c r="G192" s="517"/>
      <c r="H192" s="517"/>
      <c r="I192" s="517"/>
      <c r="J192" s="517"/>
      <c r="K192" s="564"/>
    </row>
    <row r="193" spans="1:11" x14ac:dyDescent="0.2">
      <c r="A193" s="517"/>
      <c r="B193" s="517"/>
      <c r="C193" s="517"/>
      <c r="D193" s="517"/>
      <c r="E193" s="517"/>
      <c r="F193" s="517"/>
      <c r="G193" s="517"/>
      <c r="H193" s="517"/>
      <c r="I193" s="517"/>
      <c r="J193" s="517"/>
      <c r="K193" s="564"/>
    </row>
    <row r="194" spans="1:11" x14ac:dyDescent="0.2">
      <c r="A194" s="517"/>
      <c r="B194" s="517"/>
      <c r="C194" s="517"/>
      <c r="D194" s="517"/>
      <c r="E194" s="517"/>
      <c r="F194" s="517"/>
      <c r="G194" s="517"/>
      <c r="H194" s="517"/>
      <c r="I194" s="517"/>
      <c r="J194" s="517"/>
      <c r="K194" s="564"/>
    </row>
    <row r="195" spans="1:11" x14ac:dyDescent="0.2">
      <c r="A195" s="517"/>
      <c r="B195" s="517"/>
      <c r="C195" s="517"/>
      <c r="D195" s="517"/>
      <c r="E195" s="517"/>
      <c r="F195" s="517"/>
      <c r="G195" s="517"/>
      <c r="H195" s="517"/>
      <c r="I195" s="517"/>
      <c r="J195" s="517"/>
      <c r="K195" s="564"/>
    </row>
    <row r="196" spans="1:11" x14ac:dyDescent="0.2">
      <c r="A196" s="517"/>
      <c r="B196" s="517"/>
      <c r="C196" s="517"/>
      <c r="D196" s="517"/>
      <c r="E196" s="517"/>
      <c r="F196" s="517"/>
      <c r="G196" s="517"/>
      <c r="H196" s="517"/>
      <c r="I196" s="517"/>
      <c r="J196" s="517"/>
      <c r="K196" s="564"/>
    </row>
    <row r="197" spans="1:11" x14ac:dyDescent="0.2">
      <c r="A197" s="517"/>
      <c r="B197" s="517"/>
      <c r="C197" s="517"/>
      <c r="D197" s="517"/>
      <c r="E197" s="517"/>
      <c r="F197" s="517"/>
      <c r="G197" s="517"/>
      <c r="H197" s="517"/>
      <c r="I197" s="517"/>
      <c r="J197" s="517"/>
      <c r="K197" s="564"/>
    </row>
    <row r="198" spans="1:11" x14ac:dyDescent="0.2">
      <c r="A198" s="517"/>
      <c r="B198" s="517"/>
      <c r="C198" s="517"/>
      <c r="D198" s="517"/>
      <c r="E198" s="517"/>
      <c r="F198" s="517"/>
      <c r="G198" s="517"/>
      <c r="H198" s="517"/>
      <c r="I198" s="517"/>
      <c r="J198" s="517"/>
      <c r="K198" s="564"/>
    </row>
    <row r="199" spans="1:11" x14ac:dyDescent="0.2">
      <c r="A199" s="517"/>
      <c r="B199" s="517"/>
      <c r="C199" s="517"/>
      <c r="D199" s="517"/>
      <c r="E199" s="517"/>
      <c r="F199" s="517"/>
      <c r="G199" s="517"/>
      <c r="H199" s="517"/>
      <c r="I199" s="517"/>
      <c r="J199" s="517"/>
      <c r="K199" s="564"/>
    </row>
    <row r="200" spans="1:11" x14ac:dyDescent="0.2">
      <c r="A200" s="517"/>
      <c r="B200" s="517"/>
      <c r="C200" s="517"/>
      <c r="D200" s="517"/>
      <c r="E200" s="517"/>
      <c r="F200" s="517"/>
      <c r="G200" s="517"/>
      <c r="H200" s="517"/>
      <c r="I200" s="517"/>
      <c r="J200" s="517"/>
      <c r="K200" s="564"/>
    </row>
    <row r="201" spans="1:11" x14ac:dyDescent="0.2">
      <c r="A201" s="517"/>
      <c r="B201" s="517"/>
      <c r="C201" s="517"/>
      <c r="D201" s="517"/>
      <c r="E201" s="517"/>
      <c r="F201" s="517"/>
      <c r="G201" s="517"/>
      <c r="H201" s="517"/>
      <c r="I201" s="517"/>
      <c r="J201" s="517"/>
      <c r="K201" s="564"/>
    </row>
    <row r="202" spans="1:11" x14ac:dyDescent="0.2">
      <c r="A202" s="517"/>
      <c r="B202" s="517"/>
      <c r="C202" s="517"/>
      <c r="D202" s="517"/>
      <c r="E202" s="517"/>
      <c r="F202" s="517"/>
      <c r="G202" s="517"/>
      <c r="H202" s="517"/>
      <c r="I202" s="517"/>
      <c r="J202" s="517"/>
      <c r="K202" s="564"/>
    </row>
    <row r="203" spans="1:11" x14ac:dyDescent="0.2">
      <c r="A203" s="517"/>
      <c r="B203" s="517"/>
      <c r="C203" s="517"/>
      <c r="D203" s="517"/>
      <c r="E203" s="517"/>
      <c r="F203" s="517"/>
      <c r="G203" s="517"/>
      <c r="H203" s="517"/>
      <c r="I203" s="517"/>
      <c r="J203" s="517"/>
      <c r="K203" s="564"/>
    </row>
    <row r="204" spans="1:11" x14ac:dyDescent="0.2">
      <c r="A204" s="517"/>
      <c r="B204" s="517"/>
      <c r="C204" s="517"/>
      <c r="D204" s="517"/>
      <c r="E204" s="517"/>
      <c r="F204" s="517"/>
      <c r="G204" s="517"/>
      <c r="H204" s="517"/>
      <c r="I204" s="517"/>
      <c r="J204" s="517"/>
      <c r="K204" s="564"/>
    </row>
    <row r="205" spans="1:11" x14ac:dyDescent="0.2">
      <c r="A205" s="517"/>
      <c r="B205" s="517"/>
      <c r="C205" s="517"/>
      <c r="D205" s="517"/>
      <c r="E205" s="517"/>
      <c r="F205" s="517"/>
      <c r="G205" s="517"/>
      <c r="H205" s="517"/>
      <c r="I205" s="517"/>
      <c r="J205" s="517"/>
      <c r="K205" s="564"/>
    </row>
    <row r="206" spans="1:11" x14ac:dyDescent="0.2">
      <c r="A206" s="517"/>
      <c r="B206" s="517"/>
      <c r="C206" s="517"/>
      <c r="D206" s="517"/>
      <c r="E206" s="517"/>
      <c r="F206" s="517"/>
      <c r="G206" s="517"/>
      <c r="H206" s="517"/>
      <c r="I206" s="517"/>
      <c r="J206" s="517"/>
      <c r="K206" s="564"/>
    </row>
    <row r="207" spans="1:11" x14ac:dyDescent="0.2">
      <c r="A207" s="517"/>
      <c r="B207" s="517"/>
      <c r="C207" s="517"/>
      <c r="D207" s="517"/>
      <c r="E207" s="517"/>
      <c r="F207" s="517"/>
      <c r="G207" s="517"/>
      <c r="H207" s="517"/>
      <c r="I207" s="517"/>
      <c r="J207" s="517"/>
      <c r="K207" s="564"/>
    </row>
    <row r="208" spans="1:11" x14ac:dyDescent="0.2">
      <c r="A208" s="517"/>
      <c r="B208" s="517"/>
      <c r="C208" s="517"/>
      <c r="D208" s="517"/>
      <c r="E208" s="517"/>
      <c r="F208" s="517"/>
      <c r="G208" s="517"/>
      <c r="H208" s="517"/>
      <c r="I208" s="517"/>
      <c r="J208" s="517"/>
      <c r="K208" s="564"/>
    </row>
    <row r="209" spans="1:11" x14ac:dyDescent="0.2">
      <c r="A209" s="517"/>
      <c r="B209" s="517"/>
      <c r="C209" s="517"/>
      <c r="D209" s="517"/>
      <c r="E209" s="517"/>
      <c r="F209" s="517"/>
      <c r="G209" s="517"/>
      <c r="H209" s="517"/>
      <c r="I209" s="517"/>
      <c r="J209" s="517"/>
      <c r="K209" s="564"/>
    </row>
    <row r="210" spans="1:11" x14ac:dyDescent="0.2">
      <c r="A210" s="517"/>
      <c r="B210" s="517"/>
      <c r="C210" s="517"/>
      <c r="D210" s="517"/>
      <c r="E210" s="517"/>
      <c r="F210" s="517"/>
      <c r="G210" s="517"/>
      <c r="H210" s="517"/>
      <c r="I210" s="517"/>
      <c r="J210" s="517"/>
      <c r="K210" s="564"/>
    </row>
    <row r="211" spans="1:11" x14ac:dyDescent="0.2">
      <c r="A211" s="517"/>
      <c r="B211" s="517"/>
      <c r="C211" s="517"/>
      <c r="D211" s="517"/>
      <c r="E211" s="517"/>
      <c r="F211" s="517"/>
      <c r="G211" s="517"/>
      <c r="H211" s="517"/>
      <c r="I211" s="517"/>
      <c r="J211" s="517"/>
      <c r="K211" s="564"/>
    </row>
    <row r="212" spans="1:11" x14ac:dyDescent="0.2">
      <c r="A212" s="517"/>
      <c r="B212" s="517"/>
      <c r="C212" s="517"/>
      <c r="D212" s="517"/>
      <c r="E212" s="517"/>
      <c r="F212" s="517"/>
      <c r="G212" s="517"/>
      <c r="H212" s="517"/>
      <c r="I212" s="517"/>
      <c r="J212" s="517"/>
      <c r="K212" s="564"/>
    </row>
    <row r="213" spans="1:11" x14ac:dyDescent="0.2">
      <c r="A213" s="517"/>
      <c r="B213" s="517"/>
      <c r="C213" s="517"/>
      <c r="D213" s="517"/>
      <c r="E213" s="517"/>
      <c r="F213" s="517"/>
      <c r="G213" s="517"/>
      <c r="H213" s="517"/>
      <c r="I213" s="517"/>
      <c r="J213" s="517"/>
      <c r="K213" s="564"/>
    </row>
    <row r="214" spans="1:11" x14ac:dyDescent="0.2">
      <c r="A214" s="517"/>
      <c r="B214" s="517"/>
      <c r="C214" s="517"/>
      <c r="D214" s="517"/>
      <c r="E214" s="517"/>
      <c r="F214" s="517"/>
      <c r="G214" s="517"/>
      <c r="H214" s="517"/>
      <c r="I214" s="517"/>
      <c r="J214" s="517"/>
      <c r="K214" s="564"/>
    </row>
    <row r="215" spans="1:11" x14ac:dyDescent="0.2">
      <c r="A215" s="517"/>
      <c r="B215" s="517"/>
      <c r="C215" s="517"/>
      <c r="D215" s="517"/>
      <c r="E215" s="517"/>
      <c r="F215" s="517"/>
      <c r="G215" s="517"/>
      <c r="H215" s="517"/>
      <c r="I215" s="517"/>
      <c r="J215" s="517"/>
      <c r="K215" s="564"/>
    </row>
    <row r="216" spans="1:11" x14ac:dyDescent="0.2">
      <c r="A216" s="517"/>
      <c r="B216" s="517"/>
      <c r="C216" s="517"/>
      <c r="D216" s="517"/>
      <c r="E216" s="517"/>
      <c r="F216" s="517"/>
      <c r="G216" s="517"/>
      <c r="H216" s="517"/>
      <c r="I216" s="517"/>
      <c r="J216" s="517"/>
      <c r="K216" s="564"/>
    </row>
    <row r="217" spans="1:11" x14ac:dyDescent="0.2">
      <c r="A217" s="517"/>
      <c r="B217" s="517"/>
      <c r="C217" s="517"/>
      <c r="D217" s="517"/>
      <c r="E217" s="517"/>
      <c r="F217" s="517"/>
      <c r="G217" s="517"/>
      <c r="H217" s="517"/>
      <c r="I217" s="517"/>
      <c r="J217" s="517"/>
      <c r="K217" s="564"/>
    </row>
    <row r="218" spans="1:11" x14ac:dyDescent="0.2">
      <c r="A218" s="517"/>
      <c r="B218" s="517"/>
      <c r="C218" s="517"/>
      <c r="D218" s="517"/>
      <c r="E218" s="517"/>
      <c r="F218" s="517"/>
      <c r="G218" s="517"/>
      <c r="H218" s="517"/>
      <c r="I218" s="517"/>
      <c r="J218" s="517"/>
      <c r="K218" s="564"/>
    </row>
    <row r="219" spans="1:11" x14ac:dyDescent="0.2">
      <c r="A219" s="517"/>
      <c r="B219" s="517"/>
      <c r="C219" s="517"/>
      <c r="D219" s="517"/>
      <c r="E219" s="517"/>
      <c r="F219" s="517"/>
      <c r="G219" s="517"/>
      <c r="H219" s="517"/>
      <c r="I219" s="517"/>
      <c r="J219" s="517"/>
      <c r="K219" s="564"/>
    </row>
    <row r="220" spans="1:11" x14ac:dyDescent="0.2">
      <c r="A220" s="517"/>
      <c r="B220" s="517"/>
      <c r="C220" s="517"/>
      <c r="D220" s="517"/>
      <c r="E220" s="517"/>
      <c r="F220" s="517"/>
      <c r="G220" s="517"/>
      <c r="H220" s="517"/>
      <c r="I220" s="517"/>
      <c r="J220" s="517"/>
      <c r="K220" s="564"/>
    </row>
    <row r="221" spans="1:11" x14ac:dyDescent="0.2">
      <c r="A221" s="517"/>
      <c r="B221" s="517"/>
      <c r="C221" s="517"/>
      <c r="D221" s="517"/>
      <c r="E221" s="517"/>
      <c r="F221" s="517"/>
      <c r="G221" s="517"/>
      <c r="H221" s="517"/>
      <c r="I221" s="517"/>
      <c r="J221" s="517"/>
      <c r="K221" s="564"/>
    </row>
    <row r="222" spans="1:11" x14ac:dyDescent="0.2">
      <c r="A222" s="517"/>
      <c r="B222" s="517"/>
      <c r="C222" s="517"/>
      <c r="D222" s="517"/>
      <c r="E222" s="517"/>
      <c r="F222" s="517"/>
      <c r="G222" s="517"/>
      <c r="H222" s="517"/>
      <c r="I222" s="517"/>
      <c r="J222" s="517"/>
      <c r="K222" s="564"/>
    </row>
    <row r="223" spans="1:11" x14ac:dyDescent="0.2">
      <c r="A223" s="517"/>
      <c r="B223" s="517"/>
      <c r="C223" s="517"/>
      <c r="D223" s="517"/>
      <c r="E223" s="517"/>
      <c r="F223" s="517"/>
      <c r="G223" s="517"/>
      <c r="H223" s="517"/>
      <c r="I223" s="517"/>
      <c r="J223" s="517"/>
      <c r="K223" s="564"/>
    </row>
    <row r="224" spans="1:11" x14ac:dyDescent="0.2">
      <c r="A224" s="517"/>
      <c r="B224" s="517"/>
      <c r="C224" s="517"/>
      <c r="D224" s="517"/>
      <c r="E224" s="517"/>
      <c r="F224" s="517"/>
      <c r="G224" s="517"/>
      <c r="H224" s="517"/>
      <c r="I224" s="517"/>
      <c r="J224" s="517"/>
      <c r="K224" s="564"/>
    </row>
    <row r="225" spans="1:11" x14ac:dyDescent="0.2">
      <c r="A225" s="517"/>
      <c r="B225" s="517"/>
      <c r="C225" s="517"/>
      <c r="D225" s="517"/>
      <c r="E225" s="517"/>
      <c r="F225" s="517"/>
      <c r="G225" s="517"/>
      <c r="H225" s="517"/>
      <c r="I225" s="517"/>
      <c r="J225" s="517"/>
      <c r="K225" s="564"/>
    </row>
    <row r="226" spans="1:11" x14ac:dyDescent="0.2">
      <c r="A226" s="517"/>
      <c r="B226" s="517"/>
      <c r="C226" s="517"/>
      <c r="D226" s="517"/>
      <c r="E226" s="517"/>
      <c r="F226" s="517"/>
      <c r="G226" s="517"/>
      <c r="H226" s="517"/>
      <c r="I226" s="517"/>
      <c r="J226" s="517"/>
      <c r="K226" s="564"/>
    </row>
    <row r="227" spans="1:11" x14ac:dyDescent="0.2">
      <c r="A227" s="517"/>
      <c r="B227" s="517"/>
      <c r="C227" s="517"/>
      <c r="D227" s="517"/>
      <c r="E227" s="517"/>
      <c r="F227" s="517"/>
      <c r="G227" s="517"/>
      <c r="H227" s="517"/>
      <c r="I227" s="517"/>
      <c r="J227" s="517"/>
      <c r="K227" s="564"/>
    </row>
    <row r="228" spans="1:11" x14ac:dyDescent="0.2">
      <c r="A228" s="517"/>
      <c r="B228" s="517"/>
      <c r="C228" s="517"/>
      <c r="D228" s="517"/>
      <c r="E228" s="517"/>
      <c r="F228" s="517"/>
      <c r="G228" s="517"/>
      <c r="H228" s="517"/>
      <c r="I228" s="517"/>
      <c r="J228" s="517"/>
      <c r="K228" s="564"/>
    </row>
    <row r="229" spans="1:11" x14ac:dyDescent="0.2">
      <c r="A229" s="517"/>
      <c r="B229" s="517"/>
      <c r="C229" s="517"/>
      <c r="D229" s="517"/>
      <c r="E229" s="517"/>
      <c r="F229" s="517"/>
      <c r="G229" s="517"/>
      <c r="H229" s="517"/>
      <c r="I229" s="517"/>
      <c r="J229" s="517"/>
      <c r="K229" s="564"/>
    </row>
    <row r="230" spans="1:11" x14ac:dyDescent="0.2">
      <c r="A230" s="517"/>
      <c r="B230" s="517"/>
      <c r="C230" s="517"/>
      <c r="D230" s="517"/>
      <c r="E230" s="517"/>
      <c r="F230" s="517"/>
      <c r="G230" s="517"/>
      <c r="H230" s="517"/>
      <c r="I230" s="517"/>
      <c r="J230" s="517"/>
      <c r="K230" s="564"/>
    </row>
    <row r="231" spans="1:11" x14ac:dyDescent="0.2">
      <c r="A231" s="517"/>
      <c r="B231" s="517"/>
      <c r="C231" s="517"/>
      <c r="D231" s="517"/>
      <c r="E231" s="517"/>
      <c r="F231" s="517"/>
      <c r="G231" s="517"/>
      <c r="H231" s="517"/>
      <c r="I231" s="517"/>
      <c r="J231" s="517"/>
      <c r="K231" s="564"/>
    </row>
    <row r="232" spans="1:11" x14ac:dyDescent="0.2">
      <c r="A232" s="517"/>
      <c r="B232" s="517"/>
      <c r="C232" s="517"/>
      <c r="D232" s="517"/>
      <c r="E232" s="517"/>
      <c r="F232" s="517"/>
      <c r="G232" s="517"/>
      <c r="H232" s="517"/>
      <c r="I232" s="517"/>
      <c r="J232" s="517"/>
      <c r="K232" s="564"/>
    </row>
    <row r="233" spans="1:11" x14ac:dyDescent="0.2">
      <c r="A233" s="517"/>
      <c r="B233" s="517"/>
      <c r="C233" s="517"/>
      <c r="D233" s="517"/>
      <c r="E233" s="517"/>
      <c r="F233" s="517"/>
      <c r="G233" s="517"/>
      <c r="H233" s="517"/>
      <c r="I233" s="517"/>
      <c r="J233" s="517"/>
      <c r="K233" s="564"/>
    </row>
    <row r="234" spans="1:11" x14ac:dyDescent="0.2">
      <c r="A234" s="517"/>
      <c r="B234" s="517"/>
      <c r="C234" s="517"/>
      <c r="D234" s="517"/>
      <c r="E234" s="517"/>
      <c r="F234" s="517"/>
      <c r="G234" s="517"/>
      <c r="H234" s="517"/>
      <c r="I234" s="517"/>
      <c r="J234" s="517"/>
      <c r="K234" s="564"/>
    </row>
    <row r="235" spans="1:11" x14ac:dyDescent="0.2">
      <c r="A235" s="517"/>
      <c r="B235" s="517"/>
      <c r="C235" s="517"/>
      <c r="D235" s="517"/>
      <c r="E235" s="517"/>
      <c r="F235" s="517"/>
      <c r="G235" s="517"/>
      <c r="H235" s="517"/>
      <c r="I235" s="517"/>
      <c r="J235" s="517"/>
      <c r="K235" s="564"/>
    </row>
    <row r="236" spans="1:11" x14ac:dyDescent="0.2">
      <c r="A236" s="517"/>
      <c r="B236" s="517"/>
      <c r="C236" s="517"/>
      <c r="D236" s="517"/>
      <c r="E236" s="517"/>
      <c r="F236" s="517"/>
      <c r="G236" s="517"/>
      <c r="H236" s="517"/>
      <c r="I236" s="517"/>
      <c r="J236" s="517"/>
      <c r="K236" s="564"/>
    </row>
    <row r="237" spans="1:11" x14ac:dyDescent="0.2">
      <c r="A237" s="517"/>
      <c r="B237" s="517"/>
      <c r="C237" s="517"/>
      <c r="D237" s="517"/>
      <c r="E237" s="517"/>
      <c r="F237" s="517"/>
      <c r="G237" s="517"/>
      <c r="H237" s="517"/>
      <c r="I237" s="517"/>
      <c r="J237" s="517"/>
      <c r="K237" s="564"/>
    </row>
    <row r="238" spans="1:11" x14ac:dyDescent="0.2">
      <c r="A238" s="517"/>
      <c r="B238" s="517"/>
      <c r="C238" s="517"/>
      <c r="D238" s="517"/>
      <c r="E238" s="517"/>
      <c r="F238" s="517"/>
      <c r="G238" s="517"/>
      <c r="H238" s="517"/>
      <c r="I238" s="517"/>
      <c r="J238" s="517"/>
      <c r="K238" s="564"/>
    </row>
    <row r="239" spans="1:11" x14ac:dyDescent="0.2">
      <c r="A239" s="517"/>
      <c r="B239" s="517"/>
      <c r="C239" s="517"/>
      <c r="D239" s="517"/>
      <c r="E239" s="517"/>
      <c r="F239" s="517"/>
      <c r="G239" s="517"/>
      <c r="H239" s="517"/>
      <c r="I239" s="517"/>
      <c r="J239" s="517"/>
      <c r="K239" s="564"/>
    </row>
    <row r="240" spans="1:11" x14ac:dyDescent="0.2">
      <c r="A240" s="517"/>
      <c r="B240" s="517"/>
      <c r="C240" s="517"/>
      <c r="D240" s="517"/>
      <c r="E240" s="517"/>
      <c r="F240" s="517"/>
      <c r="G240" s="517"/>
      <c r="H240" s="517"/>
      <c r="I240" s="517"/>
      <c r="J240" s="517"/>
      <c r="K240" s="564"/>
    </row>
    <row r="241" spans="1:11" x14ac:dyDescent="0.2">
      <c r="A241" s="517"/>
      <c r="B241" s="517"/>
      <c r="C241" s="517"/>
      <c r="D241" s="517"/>
      <c r="E241" s="517"/>
      <c r="F241" s="517"/>
      <c r="G241" s="517"/>
      <c r="H241" s="517"/>
      <c r="I241" s="517"/>
      <c r="J241" s="517"/>
      <c r="K241" s="564"/>
    </row>
    <row r="242" spans="1:11" x14ac:dyDescent="0.2">
      <c r="A242" s="517"/>
      <c r="B242" s="517"/>
      <c r="C242" s="517"/>
      <c r="D242" s="517"/>
      <c r="E242" s="517"/>
      <c r="F242" s="517"/>
      <c r="G242" s="517"/>
      <c r="H242" s="517"/>
      <c r="I242" s="517"/>
      <c r="J242" s="517"/>
      <c r="K242" s="564"/>
    </row>
    <row r="243" spans="1:11" x14ac:dyDescent="0.2">
      <c r="A243" s="517"/>
      <c r="B243" s="517"/>
      <c r="C243" s="517"/>
      <c r="D243" s="517"/>
      <c r="E243" s="517"/>
      <c r="F243" s="517"/>
      <c r="G243" s="517"/>
      <c r="H243" s="517"/>
      <c r="I243" s="517"/>
      <c r="J243" s="517"/>
      <c r="K243" s="564"/>
    </row>
    <row r="244" spans="1:11" x14ac:dyDescent="0.2">
      <c r="A244" s="517"/>
      <c r="B244" s="517"/>
      <c r="C244" s="517"/>
      <c r="D244" s="517"/>
      <c r="E244" s="517"/>
      <c r="F244" s="517"/>
      <c r="G244" s="517"/>
      <c r="H244" s="517"/>
      <c r="I244" s="517"/>
      <c r="J244" s="517"/>
      <c r="K244" s="564"/>
    </row>
    <row r="245" spans="1:11" x14ac:dyDescent="0.2">
      <c r="A245" s="517"/>
      <c r="B245" s="517"/>
      <c r="C245" s="517"/>
      <c r="D245" s="517"/>
      <c r="E245" s="517"/>
      <c r="F245" s="517"/>
      <c r="G245" s="517"/>
      <c r="H245" s="517"/>
      <c r="I245" s="517"/>
      <c r="J245" s="517"/>
      <c r="K245" s="564"/>
    </row>
    <row r="246" spans="1:11" x14ac:dyDescent="0.2">
      <c r="A246" s="517"/>
      <c r="B246" s="517"/>
      <c r="C246" s="517"/>
      <c r="D246" s="517"/>
      <c r="E246" s="517"/>
      <c r="F246" s="517"/>
      <c r="G246" s="517"/>
      <c r="H246" s="517"/>
      <c r="I246" s="517"/>
      <c r="J246" s="517"/>
      <c r="K246" s="564"/>
    </row>
    <row r="247" spans="1:11" x14ac:dyDescent="0.2">
      <c r="A247" s="517"/>
      <c r="B247" s="517"/>
      <c r="C247" s="517"/>
      <c r="D247" s="517"/>
      <c r="E247" s="517"/>
      <c r="F247" s="517"/>
      <c r="G247" s="517"/>
      <c r="H247" s="517"/>
      <c r="I247" s="517"/>
      <c r="J247" s="517"/>
      <c r="K247" s="564"/>
    </row>
    <row r="248" spans="1:11" x14ac:dyDescent="0.2">
      <c r="A248" s="517"/>
      <c r="B248" s="517"/>
      <c r="C248" s="517"/>
      <c r="D248" s="517"/>
      <c r="E248" s="517"/>
      <c r="F248" s="517"/>
      <c r="G248" s="517"/>
      <c r="H248" s="517"/>
      <c r="I248" s="517"/>
      <c r="J248" s="517"/>
      <c r="K248" s="564"/>
    </row>
    <row r="249" spans="1:11" x14ac:dyDescent="0.2">
      <c r="A249" s="517"/>
      <c r="B249" s="517"/>
      <c r="C249" s="517"/>
      <c r="D249" s="517"/>
      <c r="E249" s="517"/>
      <c r="F249" s="517"/>
      <c r="G249" s="517"/>
      <c r="H249" s="517"/>
      <c r="I249" s="517"/>
      <c r="J249" s="517"/>
      <c r="K249" s="564"/>
    </row>
    <row r="250" spans="1:11" x14ac:dyDescent="0.2">
      <c r="A250" s="517"/>
      <c r="B250" s="517"/>
      <c r="C250" s="517"/>
      <c r="D250" s="517"/>
      <c r="E250" s="517"/>
      <c r="F250" s="517"/>
      <c r="G250" s="517"/>
      <c r="H250" s="517"/>
      <c r="I250" s="517"/>
      <c r="J250" s="517"/>
      <c r="K250" s="564"/>
    </row>
    <row r="251" spans="1:11" x14ac:dyDescent="0.2">
      <c r="A251" s="517"/>
      <c r="B251" s="517"/>
      <c r="C251" s="517"/>
      <c r="D251" s="517"/>
      <c r="E251" s="517"/>
      <c r="F251" s="517"/>
      <c r="G251" s="517"/>
      <c r="H251" s="517"/>
      <c r="I251" s="517"/>
      <c r="J251" s="517"/>
      <c r="K251" s="564"/>
    </row>
    <row r="252" spans="1:11" x14ac:dyDescent="0.2">
      <c r="A252" s="517"/>
      <c r="B252" s="517"/>
      <c r="C252" s="517"/>
      <c r="D252" s="517"/>
      <c r="E252" s="517"/>
      <c r="F252" s="517"/>
      <c r="G252" s="517"/>
      <c r="H252" s="517"/>
      <c r="I252" s="517"/>
      <c r="J252" s="517"/>
      <c r="K252" s="564"/>
    </row>
    <row r="253" spans="1:11" x14ac:dyDescent="0.2">
      <c r="A253" s="517"/>
      <c r="B253" s="517"/>
      <c r="C253" s="517"/>
      <c r="D253" s="517"/>
      <c r="E253" s="517"/>
      <c r="F253" s="517"/>
      <c r="G253" s="517"/>
      <c r="H253" s="517"/>
      <c r="I253" s="517"/>
      <c r="J253" s="517"/>
      <c r="K253" s="564"/>
    </row>
    <row r="254" spans="1:11" x14ac:dyDescent="0.2">
      <c r="A254" s="517"/>
      <c r="B254" s="517"/>
      <c r="C254" s="517"/>
      <c r="D254" s="517"/>
      <c r="E254" s="517"/>
      <c r="F254" s="517"/>
      <c r="G254" s="517"/>
      <c r="H254" s="517"/>
      <c r="I254" s="517"/>
      <c r="J254" s="517"/>
      <c r="K254" s="564"/>
    </row>
    <row r="255" spans="1:11" x14ac:dyDescent="0.2">
      <c r="A255" s="517"/>
      <c r="B255" s="517"/>
      <c r="C255" s="517"/>
      <c r="D255" s="517"/>
      <c r="E255" s="517"/>
      <c r="F255" s="517"/>
      <c r="G255" s="517"/>
      <c r="H255" s="517"/>
      <c r="I255" s="517"/>
      <c r="J255" s="517"/>
      <c r="K255" s="564"/>
    </row>
    <row r="256" spans="1:11" x14ac:dyDescent="0.2">
      <c r="A256" s="517"/>
      <c r="B256" s="517"/>
      <c r="C256" s="517"/>
      <c r="D256" s="517"/>
      <c r="E256" s="517"/>
      <c r="F256" s="517"/>
      <c r="G256" s="517"/>
      <c r="H256" s="517"/>
      <c r="I256" s="517"/>
      <c r="J256" s="517"/>
      <c r="K256" s="564"/>
    </row>
    <row r="257" spans="1:11" x14ac:dyDescent="0.2">
      <c r="A257" s="517"/>
      <c r="B257" s="517"/>
      <c r="C257" s="517"/>
      <c r="D257" s="517"/>
      <c r="E257" s="517"/>
      <c r="F257" s="517"/>
      <c r="G257" s="517"/>
      <c r="H257" s="517"/>
      <c r="I257" s="517"/>
      <c r="J257" s="517"/>
      <c r="K257" s="564"/>
    </row>
    <row r="258" spans="1:11" x14ac:dyDescent="0.2">
      <c r="A258" s="517"/>
      <c r="B258" s="517"/>
      <c r="C258" s="517"/>
      <c r="D258" s="517"/>
      <c r="E258" s="517"/>
      <c r="F258" s="517"/>
      <c r="G258" s="517"/>
      <c r="H258" s="517"/>
      <c r="I258" s="517"/>
      <c r="J258" s="517"/>
      <c r="K258" s="564"/>
    </row>
    <row r="259" spans="1:11" x14ac:dyDescent="0.2">
      <c r="A259" s="517"/>
      <c r="B259" s="517"/>
      <c r="C259" s="517"/>
      <c r="D259" s="517"/>
      <c r="E259" s="517"/>
      <c r="F259" s="517"/>
      <c r="G259" s="517"/>
      <c r="H259" s="517"/>
      <c r="I259" s="517"/>
      <c r="J259" s="517"/>
      <c r="K259" s="564"/>
    </row>
    <row r="260" spans="1:11" x14ac:dyDescent="0.2">
      <c r="A260" s="517"/>
      <c r="B260" s="517"/>
      <c r="C260" s="517"/>
      <c r="D260" s="517"/>
      <c r="E260" s="517"/>
      <c r="F260" s="517"/>
      <c r="G260" s="517"/>
      <c r="H260" s="517"/>
      <c r="I260" s="517"/>
      <c r="J260" s="517"/>
      <c r="K260" s="564"/>
    </row>
    <row r="261" spans="1:11" x14ac:dyDescent="0.2">
      <c r="A261" s="517"/>
      <c r="B261" s="517"/>
      <c r="C261" s="517"/>
      <c r="D261" s="517"/>
      <c r="E261" s="517"/>
      <c r="F261" s="517"/>
      <c r="G261" s="517"/>
      <c r="H261" s="517"/>
      <c r="I261" s="517"/>
      <c r="J261" s="517"/>
      <c r="K261" s="564"/>
    </row>
    <row r="262" spans="1:11" x14ac:dyDescent="0.2">
      <c r="A262" s="517"/>
      <c r="B262" s="517"/>
      <c r="C262" s="517"/>
      <c r="D262" s="517"/>
      <c r="E262" s="517"/>
      <c r="F262" s="517"/>
      <c r="G262" s="517"/>
      <c r="H262" s="517"/>
      <c r="I262" s="517"/>
      <c r="J262" s="517"/>
      <c r="K262" s="564"/>
    </row>
    <row r="263" spans="1:11" x14ac:dyDescent="0.2">
      <c r="A263" s="517"/>
      <c r="B263" s="517"/>
      <c r="C263" s="517"/>
      <c r="D263" s="517"/>
      <c r="E263" s="517"/>
      <c r="F263" s="517"/>
      <c r="G263" s="517"/>
      <c r="H263" s="517"/>
      <c r="I263" s="517"/>
      <c r="J263" s="517"/>
      <c r="K263" s="564"/>
    </row>
    <row r="264" spans="1:11" x14ac:dyDescent="0.2">
      <c r="A264" s="517"/>
      <c r="B264" s="517"/>
      <c r="C264" s="517"/>
      <c r="D264" s="517"/>
      <c r="E264" s="517"/>
      <c r="F264" s="517"/>
      <c r="G264" s="517"/>
      <c r="H264" s="517"/>
      <c r="I264" s="517"/>
      <c r="J264" s="517"/>
      <c r="K264" s="564"/>
    </row>
    <row r="265" spans="1:11" x14ac:dyDescent="0.2">
      <c r="A265" s="517"/>
      <c r="B265" s="517"/>
      <c r="C265" s="517"/>
      <c r="D265" s="517"/>
      <c r="E265" s="517"/>
      <c r="F265" s="517"/>
      <c r="G265" s="517"/>
      <c r="H265" s="517"/>
      <c r="I265" s="517"/>
      <c r="J265" s="517"/>
      <c r="K265" s="564"/>
    </row>
    <row r="266" spans="1:11" x14ac:dyDescent="0.2">
      <c r="A266" s="517"/>
      <c r="B266" s="517"/>
      <c r="C266" s="517"/>
      <c r="D266" s="517"/>
      <c r="E266" s="517"/>
      <c r="F266" s="517"/>
      <c r="G266" s="517"/>
      <c r="H266" s="517"/>
      <c r="I266" s="517"/>
      <c r="J266" s="517"/>
      <c r="K266" s="564"/>
    </row>
    <row r="267" spans="1:11" x14ac:dyDescent="0.2">
      <c r="A267" s="517"/>
      <c r="B267" s="517"/>
      <c r="C267" s="517"/>
      <c r="D267" s="517"/>
      <c r="E267" s="517"/>
      <c r="F267" s="517"/>
      <c r="G267" s="517"/>
      <c r="H267" s="517"/>
      <c r="I267" s="517"/>
      <c r="J267" s="517"/>
      <c r="K267" s="564"/>
    </row>
    <row r="268" spans="1:11" x14ac:dyDescent="0.2">
      <c r="A268" s="517"/>
      <c r="B268" s="517"/>
      <c r="C268" s="517"/>
      <c r="D268" s="517"/>
      <c r="E268" s="517"/>
      <c r="F268" s="517"/>
      <c r="G268" s="517"/>
      <c r="H268" s="517"/>
      <c r="I268" s="517"/>
      <c r="J268" s="517"/>
      <c r="K268" s="564"/>
    </row>
    <row r="269" spans="1:11" x14ac:dyDescent="0.2">
      <c r="A269" s="517"/>
      <c r="B269" s="517"/>
      <c r="C269" s="517"/>
      <c r="D269" s="517"/>
      <c r="E269" s="517"/>
      <c r="F269" s="517"/>
      <c r="G269" s="517"/>
      <c r="H269" s="517"/>
      <c r="I269" s="517"/>
      <c r="J269" s="517"/>
      <c r="K269" s="564"/>
    </row>
    <row r="270" spans="1:11" x14ac:dyDescent="0.2">
      <c r="A270" s="517"/>
      <c r="B270" s="517"/>
      <c r="C270" s="517"/>
      <c r="D270" s="517"/>
      <c r="E270" s="517"/>
      <c r="F270" s="517"/>
      <c r="G270" s="517"/>
      <c r="H270" s="517"/>
      <c r="I270" s="517"/>
      <c r="J270" s="517"/>
      <c r="K270" s="564"/>
    </row>
    <row r="271" spans="1:11" x14ac:dyDescent="0.2">
      <c r="A271" s="517"/>
      <c r="B271" s="517"/>
      <c r="C271" s="517"/>
      <c r="D271" s="517"/>
      <c r="E271" s="517"/>
      <c r="F271" s="517"/>
      <c r="G271" s="517"/>
      <c r="H271" s="517"/>
      <c r="I271" s="517"/>
      <c r="J271" s="517"/>
      <c r="K271" s="564"/>
    </row>
    <row r="272" spans="1:11" x14ac:dyDescent="0.2">
      <c r="A272" s="517"/>
      <c r="B272" s="517"/>
      <c r="C272" s="517"/>
      <c r="D272" s="517"/>
      <c r="E272" s="517"/>
      <c r="F272" s="517"/>
      <c r="G272" s="517"/>
      <c r="H272" s="517"/>
      <c r="I272" s="517"/>
      <c r="J272" s="517"/>
      <c r="K272" s="564"/>
    </row>
    <row r="273" spans="1:11" x14ac:dyDescent="0.2">
      <c r="A273" s="517"/>
      <c r="B273" s="517"/>
      <c r="C273" s="517"/>
      <c r="D273" s="517"/>
      <c r="E273" s="517"/>
      <c r="F273" s="517"/>
      <c r="G273" s="517"/>
      <c r="H273" s="517"/>
      <c r="I273" s="517"/>
      <c r="J273" s="517"/>
      <c r="K273" s="564"/>
    </row>
    <row r="274" spans="1:11" x14ac:dyDescent="0.2">
      <c r="A274" s="517"/>
      <c r="B274" s="517"/>
      <c r="C274" s="517"/>
      <c r="D274" s="517"/>
      <c r="E274" s="517"/>
      <c r="F274" s="517"/>
      <c r="G274" s="517"/>
      <c r="H274" s="517"/>
      <c r="I274" s="517"/>
      <c r="J274" s="517"/>
      <c r="K274" s="564"/>
    </row>
    <row r="275" spans="1:11" x14ac:dyDescent="0.2">
      <c r="A275" s="517"/>
      <c r="B275" s="517"/>
      <c r="C275" s="517"/>
      <c r="D275" s="517"/>
      <c r="E275" s="517"/>
      <c r="F275" s="517"/>
      <c r="G275" s="517"/>
      <c r="H275" s="517"/>
      <c r="I275" s="517"/>
      <c r="J275" s="517"/>
      <c r="K275" s="564"/>
    </row>
    <row r="276" spans="1:11" x14ac:dyDescent="0.2">
      <c r="A276" s="517"/>
      <c r="B276" s="517"/>
      <c r="C276" s="517"/>
      <c r="D276" s="517"/>
      <c r="E276" s="517"/>
      <c r="F276" s="517"/>
      <c r="G276" s="517"/>
      <c r="H276" s="517"/>
      <c r="I276" s="517"/>
      <c r="J276" s="517"/>
      <c r="K276" s="564"/>
    </row>
    <row r="277" spans="1:11" x14ac:dyDescent="0.2">
      <c r="A277" s="517"/>
      <c r="B277" s="517"/>
      <c r="C277" s="517"/>
      <c r="D277" s="517"/>
      <c r="E277" s="517"/>
      <c r="F277" s="517"/>
      <c r="G277" s="517"/>
      <c r="H277" s="517"/>
      <c r="I277" s="517"/>
      <c r="J277" s="517"/>
      <c r="K277" s="564"/>
    </row>
    <row r="278" spans="1:11" x14ac:dyDescent="0.2">
      <c r="A278" s="517"/>
      <c r="B278" s="517"/>
      <c r="C278" s="517"/>
      <c r="D278" s="517"/>
      <c r="E278" s="517"/>
      <c r="F278" s="517"/>
      <c r="G278" s="517"/>
      <c r="H278" s="517"/>
      <c r="I278" s="517"/>
      <c r="J278" s="517"/>
      <c r="K278" s="564"/>
    </row>
    <row r="279" spans="1:11" x14ac:dyDescent="0.2">
      <c r="A279" s="517"/>
      <c r="B279" s="517"/>
      <c r="C279" s="517"/>
      <c r="D279" s="517"/>
      <c r="E279" s="517"/>
      <c r="F279" s="517"/>
      <c r="G279" s="517"/>
      <c r="H279" s="517"/>
      <c r="I279" s="517"/>
      <c r="J279" s="517"/>
      <c r="K279" s="564"/>
    </row>
    <row r="280" spans="1:11" x14ac:dyDescent="0.2">
      <c r="A280" s="517"/>
      <c r="B280" s="517"/>
      <c r="C280" s="517"/>
      <c r="D280" s="517"/>
      <c r="E280" s="517"/>
      <c r="F280" s="517"/>
      <c r="G280" s="517"/>
      <c r="H280" s="517"/>
      <c r="I280" s="517"/>
      <c r="J280" s="517"/>
      <c r="K280" s="564"/>
    </row>
    <row r="281" spans="1:11" x14ac:dyDescent="0.2">
      <c r="A281" s="517"/>
      <c r="B281" s="517"/>
      <c r="C281" s="517"/>
      <c r="D281" s="517"/>
      <c r="E281" s="517"/>
      <c r="F281" s="517"/>
      <c r="G281" s="517"/>
      <c r="H281" s="517"/>
      <c r="I281" s="517"/>
      <c r="J281" s="517"/>
      <c r="K281" s="564"/>
    </row>
    <row r="282" spans="1:11" x14ac:dyDescent="0.2">
      <c r="A282" s="517"/>
      <c r="B282" s="517"/>
      <c r="C282" s="517"/>
      <c r="D282" s="517"/>
      <c r="E282" s="517"/>
      <c r="F282" s="517"/>
      <c r="G282" s="517"/>
      <c r="H282" s="517"/>
      <c r="I282" s="517"/>
      <c r="J282" s="517"/>
      <c r="K282" s="564"/>
    </row>
    <row r="283" spans="1:11" x14ac:dyDescent="0.2">
      <c r="A283" s="517"/>
      <c r="B283" s="517"/>
      <c r="C283" s="517"/>
      <c r="D283" s="517"/>
      <c r="E283" s="517"/>
      <c r="F283" s="517"/>
      <c r="G283" s="517"/>
      <c r="H283" s="517"/>
      <c r="I283" s="517"/>
      <c r="J283" s="517"/>
      <c r="K283" s="564"/>
    </row>
    <row r="284" spans="1:11" x14ac:dyDescent="0.2">
      <c r="A284" s="517"/>
      <c r="B284" s="517"/>
      <c r="C284" s="517"/>
      <c r="D284" s="517"/>
      <c r="E284" s="517"/>
      <c r="F284" s="517"/>
      <c r="G284" s="517"/>
      <c r="H284" s="517"/>
      <c r="I284" s="517"/>
      <c r="J284" s="517"/>
      <c r="K284" s="564"/>
    </row>
    <row r="285" spans="1:11" x14ac:dyDescent="0.2">
      <c r="A285" s="517"/>
      <c r="B285" s="517"/>
      <c r="C285" s="517"/>
      <c r="D285" s="517"/>
      <c r="E285" s="517"/>
      <c r="F285" s="517"/>
      <c r="G285" s="517"/>
      <c r="H285" s="517"/>
      <c r="I285" s="517"/>
      <c r="J285" s="517"/>
      <c r="K285" s="564"/>
    </row>
    <row r="286" spans="1:11" x14ac:dyDescent="0.2">
      <c r="A286" s="517"/>
      <c r="B286" s="517"/>
      <c r="C286" s="517"/>
      <c r="D286" s="517"/>
      <c r="E286" s="517"/>
      <c r="F286" s="517"/>
      <c r="G286" s="517"/>
      <c r="H286" s="517"/>
      <c r="I286" s="517"/>
      <c r="J286" s="517"/>
      <c r="K286" s="564"/>
    </row>
    <row r="287" spans="1:11" x14ac:dyDescent="0.2">
      <c r="A287" s="517"/>
      <c r="B287" s="517"/>
      <c r="C287" s="517"/>
      <c r="D287" s="517"/>
      <c r="E287" s="517"/>
      <c r="F287" s="517"/>
      <c r="G287" s="517"/>
      <c r="H287" s="517"/>
      <c r="I287" s="517"/>
      <c r="J287" s="517"/>
      <c r="K287" s="564"/>
    </row>
    <row r="288" spans="1:11" x14ac:dyDescent="0.2">
      <c r="A288" s="517"/>
      <c r="B288" s="517"/>
      <c r="C288" s="517"/>
      <c r="D288" s="517"/>
      <c r="E288" s="517"/>
      <c r="F288" s="517"/>
      <c r="G288" s="517"/>
      <c r="H288" s="517"/>
      <c r="I288" s="517"/>
      <c r="J288" s="517"/>
      <c r="K288" s="564"/>
    </row>
    <row r="289" spans="1:11" x14ac:dyDescent="0.2">
      <c r="A289" s="517"/>
      <c r="B289" s="517"/>
      <c r="C289" s="517"/>
      <c r="D289" s="517"/>
      <c r="E289" s="517"/>
      <c r="F289" s="517"/>
      <c r="G289" s="517"/>
      <c r="H289" s="517"/>
      <c r="I289" s="517"/>
      <c r="J289" s="517"/>
      <c r="K289" s="564"/>
    </row>
    <row r="290" spans="1:11" x14ac:dyDescent="0.2">
      <c r="A290" s="517"/>
      <c r="B290" s="517"/>
      <c r="C290" s="517"/>
      <c r="D290" s="517"/>
      <c r="E290" s="517"/>
      <c r="F290" s="517"/>
      <c r="G290" s="517"/>
      <c r="H290" s="517"/>
      <c r="I290" s="517"/>
      <c r="J290" s="517"/>
      <c r="K290" s="564"/>
    </row>
    <row r="291" spans="1:11" x14ac:dyDescent="0.2">
      <c r="A291" s="517"/>
      <c r="B291" s="517"/>
      <c r="C291" s="517"/>
      <c r="D291" s="517"/>
      <c r="E291" s="517"/>
      <c r="F291" s="517"/>
      <c r="G291" s="517"/>
      <c r="H291" s="517"/>
      <c r="I291" s="517"/>
      <c r="J291" s="517"/>
      <c r="K291" s="564"/>
    </row>
    <row r="292" spans="1:11" x14ac:dyDescent="0.2">
      <c r="A292" s="517"/>
      <c r="B292" s="517"/>
      <c r="C292" s="517"/>
      <c r="D292" s="517"/>
      <c r="E292" s="517"/>
      <c r="F292" s="517"/>
      <c r="G292" s="517"/>
      <c r="H292" s="517"/>
      <c r="I292" s="517"/>
      <c r="J292" s="517"/>
      <c r="K292" s="564"/>
    </row>
    <row r="293" spans="1:11" x14ac:dyDescent="0.2">
      <c r="A293" s="517"/>
      <c r="B293" s="517"/>
      <c r="C293" s="517"/>
      <c r="D293" s="517"/>
      <c r="E293" s="517"/>
      <c r="F293" s="517"/>
      <c r="G293" s="517"/>
      <c r="H293" s="517"/>
      <c r="I293" s="517"/>
      <c r="J293" s="517"/>
      <c r="K293" s="564"/>
    </row>
    <row r="294" spans="1:11" x14ac:dyDescent="0.2">
      <c r="A294" s="517"/>
      <c r="B294" s="517"/>
      <c r="C294" s="517"/>
      <c r="D294" s="517"/>
      <c r="E294" s="517"/>
      <c r="F294" s="517"/>
      <c r="G294" s="517"/>
      <c r="H294" s="517"/>
      <c r="I294" s="517"/>
      <c r="J294" s="517"/>
      <c r="K294" s="564"/>
    </row>
    <row r="295" spans="1:11" x14ac:dyDescent="0.2">
      <c r="A295" s="517"/>
      <c r="B295" s="517"/>
      <c r="C295" s="517"/>
      <c r="D295" s="517"/>
      <c r="E295" s="517"/>
      <c r="F295" s="517"/>
      <c r="G295" s="517"/>
      <c r="H295" s="517"/>
      <c r="I295" s="517"/>
      <c r="J295" s="517"/>
      <c r="K295" s="564"/>
    </row>
    <row r="296" spans="1:11" x14ac:dyDescent="0.2">
      <c r="A296" s="517"/>
      <c r="B296" s="517"/>
      <c r="C296" s="517"/>
      <c r="D296" s="517"/>
      <c r="E296" s="517"/>
      <c r="F296" s="517"/>
      <c r="G296" s="517"/>
      <c r="H296" s="517"/>
      <c r="I296" s="517"/>
      <c r="J296" s="517"/>
      <c r="K296" s="564"/>
    </row>
    <row r="297" spans="1:11" x14ac:dyDescent="0.2">
      <c r="A297" s="517"/>
      <c r="B297" s="517"/>
      <c r="C297" s="517"/>
      <c r="D297" s="517"/>
      <c r="E297" s="517"/>
      <c r="F297" s="517"/>
      <c r="G297" s="517"/>
      <c r="H297" s="517"/>
      <c r="I297" s="517"/>
      <c r="J297" s="517"/>
      <c r="K297" s="564"/>
    </row>
    <row r="298" spans="1:11" x14ac:dyDescent="0.2">
      <c r="A298" s="517"/>
      <c r="B298" s="517"/>
      <c r="C298" s="517"/>
      <c r="D298" s="517"/>
      <c r="E298" s="517"/>
      <c r="F298" s="517"/>
      <c r="G298" s="517"/>
      <c r="H298" s="517"/>
      <c r="I298" s="517"/>
      <c r="J298" s="517"/>
      <c r="K298" s="564"/>
    </row>
    <row r="299" spans="1:11" x14ac:dyDescent="0.2">
      <c r="A299" s="517"/>
      <c r="B299" s="517"/>
      <c r="C299" s="517"/>
      <c r="D299" s="517"/>
      <c r="E299" s="517"/>
      <c r="F299" s="517"/>
      <c r="G299" s="517"/>
      <c r="H299" s="517"/>
      <c r="I299" s="517"/>
      <c r="J299" s="517"/>
      <c r="K299" s="564"/>
    </row>
    <row r="300" spans="1:11" x14ac:dyDescent="0.2">
      <c r="A300" s="517"/>
      <c r="B300" s="517"/>
      <c r="C300" s="517"/>
      <c r="D300" s="517"/>
      <c r="E300" s="517"/>
      <c r="F300" s="517"/>
      <c r="G300" s="517"/>
      <c r="H300" s="517"/>
      <c r="I300" s="517"/>
      <c r="J300" s="517"/>
      <c r="K300" s="564"/>
    </row>
    <row r="301" spans="1:11" x14ac:dyDescent="0.2">
      <c r="A301" s="517"/>
      <c r="B301" s="517"/>
      <c r="C301" s="517"/>
      <c r="D301" s="517"/>
      <c r="E301" s="517"/>
      <c r="F301" s="517"/>
      <c r="G301" s="517"/>
      <c r="H301" s="517"/>
      <c r="I301" s="517"/>
      <c r="J301" s="517"/>
      <c r="K301" s="564"/>
    </row>
    <row r="302" spans="1:11" x14ac:dyDescent="0.2">
      <c r="A302" s="517"/>
      <c r="B302" s="517"/>
      <c r="C302" s="517"/>
      <c r="D302" s="517"/>
      <c r="E302" s="517"/>
      <c r="F302" s="517"/>
      <c r="G302" s="517"/>
      <c r="H302" s="517"/>
      <c r="I302" s="517"/>
      <c r="J302" s="517"/>
      <c r="K302" s="564"/>
    </row>
    <row r="303" spans="1:11" x14ac:dyDescent="0.2">
      <c r="A303" s="517"/>
      <c r="B303" s="517"/>
      <c r="C303" s="517"/>
      <c r="D303" s="517"/>
      <c r="E303" s="517"/>
      <c r="F303" s="517"/>
      <c r="G303" s="517"/>
      <c r="H303" s="517"/>
      <c r="I303" s="517"/>
      <c r="J303" s="517"/>
      <c r="K303" s="564"/>
    </row>
    <row r="304" spans="1:11" x14ac:dyDescent="0.2">
      <c r="A304" s="517"/>
      <c r="B304" s="517"/>
      <c r="C304" s="517"/>
      <c r="D304" s="517"/>
      <c r="E304" s="517"/>
      <c r="F304" s="517"/>
      <c r="G304" s="517"/>
      <c r="H304" s="517"/>
      <c r="I304" s="517"/>
      <c r="J304" s="517"/>
      <c r="K304" s="564"/>
    </row>
    <row r="305" spans="1:11" x14ac:dyDescent="0.2">
      <c r="A305" s="517"/>
      <c r="B305" s="517"/>
      <c r="C305" s="517"/>
      <c r="D305" s="517"/>
      <c r="E305" s="517"/>
      <c r="F305" s="517"/>
      <c r="G305" s="517"/>
      <c r="H305" s="517"/>
      <c r="I305" s="517"/>
      <c r="J305" s="517"/>
      <c r="K305" s="564"/>
    </row>
    <row r="306" spans="1:11" x14ac:dyDescent="0.2">
      <c r="A306" s="517"/>
      <c r="B306" s="517"/>
      <c r="C306" s="517"/>
      <c r="D306" s="517"/>
      <c r="E306" s="517"/>
      <c r="F306" s="517"/>
      <c r="G306" s="517"/>
      <c r="H306" s="517"/>
      <c r="I306" s="517"/>
      <c r="J306" s="517"/>
      <c r="K306" s="564"/>
    </row>
    <row r="307" spans="1:11" x14ac:dyDescent="0.2">
      <c r="A307" s="517"/>
      <c r="B307" s="517"/>
      <c r="C307" s="517"/>
      <c r="D307" s="517"/>
      <c r="E307" s="517"/>
      <c r="F307" s="517"/>
      <c r="G307" s="517"/>
      <c r="H307" s="517"/>
      <c r="I307" s="517"/>
      <c r="J307" s="517"/>
      <c r="K307" s="564"/>
    </row>
    <row r="308" spans="1:11" x14ac:dyDescent="0.2">
      <c r="A308" s="517"/>
      <c r="B308" s="517"/>
      <c r="C308" s="517"/>
      <c r="D308" s="517"/>
      <c r="E308" s="517"/>
      <c r="F308" s="517"/>
      <c r="G308" s="517"/>
      <c r="H308" s="517"/>
      <c r="I308" s="517"/>
      <c r="J308" s="517"/>
      <c r="K308" s="564"/>
    </row>
    <row r="309" spans="1:11" x14ac:dyDescent="0.2">
      <c r="A309" s="517"/>
      <c r="B309" s="517"/>
      <c r="C309" s="517"/>
      <c r="D309" s="517"/>
      <c r="E309" s="517"/>
      <c r="F309" s="517"/>
      <c r="G309" s="517"/>
      <c r="H309" s="517"/>
      <c r="I309" s="517"/>
      <c r="J309" s="517"/>
      <c r="K309" s="564"/>
    </row>
    <row r="310" spans="1:11" x14ac:dyDescent="0.2">
      <c r="A310" s="517"/>
      <c r="B310" s="517"/>
      <c r="C310" s="517"/>
      <c r="D310" s="517"/>
      <c r="E310" s="517"/>
      <c r="F310" s="517"/>
      <c r="G310" s="517"/>
      <c r="H310" s="517"/>
      <c r="I310" s="517"/>
      <c r="J310" s="517"/>
      <c r="K310" s="564"/>
    </row>
    <row r="311" spans="1:11" x14ac:dyDescent="0.2">
      <c r="A311" s="517"/>
      <c r="B311" s="517"/>
      <c r="C311" s="517"/>
      <c r="D311" s="517"/>
      <c r="E311" s="517"/>
      <c r="F311" s="517"/>
      <c r="G311" s="517"/>
      <c r="H311" s="517"/>
      <c r="I311" s="517"/>
      <c r="J311" s="517"/>
      <c r="K311" s="564"/>
    </row>
    <row r="312" spans="1:11" x14ac:dyDescent="0.2">
      <c r="A312" s="517"/>
      <c r="B312" s="517"/>
      <c r="C312" s="517"/>
      <c r="D312" s="517"/>
      <c r="E312" s="517"/>
      <c r="F312" s="517"/>
      <c r="G312" s="517"/>
      <c r="H312" s="517"/>
      <c r="I312" s="517"/>
      <c r="J312" s="517"/>
      <c r="K312" s="564"/>
    </row>
    <row r="313" spans="1:11" x14ac:dyDescent="0.2">
      <c r="A313" s="517"/>
      <c r="B313" s="517"/>
      <c r="C313" s="517"/>
      <c r="D313" s="517"/>
      <c r="E313" s="517"/>
      <c r="F313" s="517"/>
      <c r="G313" s="517"/>
      <c r="H313" s="517"/>
      <c r="I313" s="517"/>
      <c r="J313" s="517"/>
      <c r="K313" s="564"/>
    </row>
    <row r="314" spans="1:11" x14ac:dyDescent="0.2">
      <c r="A314" s="517"/>
      <c r="B314" s="517"/>
      <c r="C314" s="517"/>
      <c r="D314" s="517"/>
      <c r="E314" s="517"/>
      <c r="F314" s="517"/>
      <c r="G314" s="517"/>
      <c r="H314" s="517"/>
      <c r="I314" s="517"/>
      <c r="J314" s="517"/>
      <c r="K314" s="564"/>
    </row>
    <row r="315" spans="1:11" x14ac:dyDescent="0.2">
      <c r="A315" s="517"/>
      <c r="B315" s="517"/>
      <c r="C315" s="517"/>
      <c r="D315" s="517"/>
      <c r="E315" s="517"/>
      <c r="F315" s="517"/>
      <c r="G315" s="517"/>
      <c r="H315" s="517"/>
      <c r="I315" s="517"/>
      <c r="J315" s="517"/>
      <c r="K315" s="564"/>
    </row>
    <row r="316" spans="1:11" x14ac:dyDescent="0.2">
      <c r="A316" s="517"/>
      <c r="B316" s="517"/>
      <c r="C316" s="517"/>
      <c r="D316" s="517"/>
      <c r="E316" s="517"/>
      <c r="F316" s="517"/>
      <c r="G316" s="517"/>
      <c r="H316" s="517"/>
      <c r="I316" s="517"/>
      <c r="J316" s="517"/>
      <c r="K316" s="564"/>
    </row>
    <row r="317" spans="1:11" x14ac:dyDescent="0.2">
      <c r="A317" s="517"/>
      <c r="B317" s="517"/>
      <c r="C317" s="517"/>
      <c r="D317" s="517"/>
      <c r="E317" s="517"/>
      <c r="F317" s="517"/>
      <c r="G317" s="517"/>
      <c r="H317" s="517"/>
      <c r="I317" s="517"/>
      <c r="J317" s="517"/>
      <c r="K317" s="564"/>
    </row>
    <row r="318" spans="1:11" x14ac:dyDescent="0.2">
      <c r="A318" s="517"/>
      <c r="B318" s="517"/>
      <c r="C318" s="517"/>
      <c r="D318" s="517"/>
      <c r="E318" s="517"/>
      <c r="F318" s="517"/>
      <c r="G318" s="517"/>
      <c r="H318" s="517"/>
      <c r="I318" s="517"/>
      <c r="J318" s="517"/>
      <c r="K318" s="564"/>
    </row>
    <row r="319" spans="1:11" x14ac:dyDescent="0.2">
      <c r="A319" s="517"/>
      <c r="B319" s="517"/>
      <c r="C319" s="517"/>
      <c r="D319" s="517"/>
      <c r="E319" s="517"/>
      <c r="F319" s="517"/>
      <c r="G319" s="517"/>
      <c r="H319" s="517"/>
      <c r="I319" s="517"/>
      <c r="J319" s="517"/>
      <c r="K319" s="564"/>
    </row>
    <row r="320" spans="1:11" x14ac:dyDescent="0.2">
      <c r="A320" s="517"/>
      <c r="B320" s="517"/>
      <c r="C320" s="517"/>
      <c r="D320" s="517"/>
      <c r="E320" s="517"/>
      <c r="F320" s="517"/>
      <c r="G320" s="517"/>
      <c r="H320" s="517"/>
      <c r="I320" s="517"/>
      <c r="J320" s="517"/>
      <c r="K320" s="564"/>
    </row>
    <row r="321" spans="1:11" x14ac:dyDescent="0.2">
      <c r="A321" s="517"/>
      <c r="B321" s="517"/>
      <c r="C321" s="517"/>
      <c r="D321" s="517"/>
      <c r="E321" s="517"/>
      <c r="F321" s="517"/>
      <c r="G321" s="517"/>
      <c r="H321" s="517"/>
      <c r="I321" s="517"/>
      <c r="J321" s="517"/>
      <c r="K321" s="564"/>
    </row>
    <row r="322" spans="1:11" x14ac:dyDescent="0.2">
      <c r="A322" s="517"/>
      <c r="B322" s="517"/>
      <c r="C322" s="517"/>
      <c r="D322" s="517"/>
      <c r="E322" s="517"/>
      <c r="F322" s="517"/>
      <c r="G322" s="517"/>
      <c r="H322" s="517"/>
      <c r="I322" s="517"/>
      <c r="J322" s="517"/>
      <c r="K322" s="564"/>
    </row>
    <row r="323" spans="1:11" x14ac:dyDescent="0.2">
      <c r="A323" s="517"/>
      <c r="B323" s="517"/>
      <c r="C323" s="517"/>
      <c r="D323" s="517"/>
      <c r="E323" s="517"/>
      <c r="F323" s="517"/>
      <c r="G323" s="517"/>
      <c r="H323" s="517"/>
      <c r="I323" s="517"/>
      <c r="J323" s="517"/>
      <c r="K323" s="564"/>
    </row>
    <row r="324" spans="1:11" x14ac:dyDescent="0.2">
      <c r="A324" s="517"/>
      <c r="B324" s="517"/>
      <c r="C324" s="517"/>
      <c r="D324" s="517"/>
      <c r="E324" s="517"/>
      <c r="F324" s="517"/>
      <c r="G324" s="517"/>
      <c r="H324" s="517"/>
      <c r="I324" s="517"/>
      <c r="J324" s="517"/>
      <c r="K324" s="564"/>
    </row>
    <row r="325" spans="1:11" x14ac:dyDescent="0.2">
      <c r="A325" s="517"/>
      <c r="B325" s="517"/>
      <c r="C325" s="517"/>
      <c r="D325" s="517"/>
      <c r="E325" s="517"/>
      <c r="F325" s="517"/>
      <c r="G325" s="517"/>
      <c r="H325" s="517"/>
      <c r="I325" s="517"/>
      <c r="J325" s="517"/>
      <c r="K325" s="564"/>
    </row>
    <row r="326" spans="1:11" x14ac:dyDescent="0.2">
      <c r="A326" s="517"/>
      <c r="B326" s="517"/>
      <c r="C326" s="517"/>
      <c r="D326" s="517"/>
      <c r="E326" s="517"/>
      <c r="F326" s="517"/>
      <c r="G326" s="517"/>
      <c r="H326" s="517"/>
      <c r="I326" s="517"/>
      <c r="J326" s="517"/>
      <c r="K326" s="564"/>
    </row>
    <row r="327" spans="1:11" x14ac:dyDescent="0.2">
      <c r="A327" s="517"/>
      <c r="B327" s="517"/>
      <c r="C327" s="517"/>
      <c r="D327" s="517"/>
      <c r="E327" s="517"/>
      <c r="F327" s="517"/>
      <c r="G327" s="517"/>
      <c r="H327" s="517"/>
      <c r="I327" s="517"/>
      <c r="J327" s="517"/>
      <c r="K327" s="564"/>
    </row>
    <row r="328" spans="1:11" x14ac:dyDescent="0.2">
      <c r="A328" s="517"/>
      <c r="B328" s="517"/>
      <c r="C328" s="517"/>
      <c r="D328" s="517"/>
      <c r="E328" s="517"/>
      <c r="F328" s="517"/>
      <c r="G328" s="517"/>
      <c r="H328" s="517"/>
      <c r="I328" s="517"/>
      <c r="J328" s="517"/>
      <c r="K328" s="564"/>
    </row>
    <row r="329" spans="1:11" x14ac:dyDescent="0.2">
      <c r="A329" s="517"/>
      <c r="B329" s="517"/>
      <c r="C329" s="517"/>
      <c r="D329" s="517"/>
      <c r="E329" s="517"/>
      <c r="F329" s="517"/>
      <c r="G329" s="517"/>
      <c r="H329" s="517"/>
      <c r="I329" s="517"/>
      <c r="J329" s="517"/>
      <c r="K329" s="564"/>
    </row>
    <row r="330" spans="1:11" x14ac:dyDescent="0.2">
      <c r="A330" s="517"/>
      <c r="B330" s="517"/>
      <c r="C330" s="517"/>
      <c r="D330" s="517"/>
      <c r="E330" s="517"/>
      <c r="F330" s="517"/>
      <c r="G330" s="517"/>
      <c r="H330" s="517"/>
      <c r="I330" s="517"/>
      <c r="J330" s="517"/>
      <c r="K330" s="564"/>
    </row>
    <row r="331" spans="1:11" x14ac:dyDescent="0.2">
      <c r="A331" s="517"/>
      <c r="B331" s="517"/>
      <c r="C331" s="517"/>
      <c r="D331" s="517"/>
      <c r="E331" s="517"/>
      <c r="F331" s="517"/>
      <c r="G331" s="517"/>
      <c r="H331" s="517"/>
      <c r="I331" s="517"/>
      <c r="J331" s="517"/>
      <c r="K331" s="564"/>
    </row>
    <row r="332" spans="1:11" x14ac:dyDescent="0.2">
      <c r="A332" s="517"/>
      <c r="B332" s="517"/>
      <c r="C332" s="517"/>
      <c r="D332" s="517"/>
      <c r="E332" s="517"/>
      <c r="F332" s="517"/>
      <c r="G332" s="517"/>
      <c r="H332" s="517"/>
      <c r="I332" s="517"/>
      <c r="J332" s="517"/>
      <c r="K332" s="564"/>
    </row>
    <row r="333" spans="1:11" x14ac:dyDescent="0.2">
      <c r="A333" s="517"/>
      <c r="B333" s="517"/>
      <c r="C333" s="517"/>
      <c r="D333" s="517"/>
      <c r="E333" s="517"/>
      <c r="F333" s="517"/>
      <c r="G333" s="517"/>
      <c r="H333" s="517"/>
      <c r="I333" s="517"/>
      <c r="J333" s="517"/>
      <c r="K333" s="564"/>
    </row>
    <row r="334" spans="1:11" x14ac:dyDescent="0.2">
      <c r="A334" s="517"/>
      <c r="B334" s="517"/>
      <c r="C334" s="517"/>
      <c r="D334" s="517"/>
      <c r="E334" s="517"/>
      <c r="F334" s="517"/>
      <c r="G334" s="517"/>
      <c r="H334" s="517"/>
      <c r="I334" s="517"/>
      <c r="J334" s="517"/>
      <c r="K334" s="564"/>
    </row>
    <row r="335" spans="1:11" x14ac:dyDescent="0.2">
      <c r="A335" s="517"/>
      <c r="B335" s="517"/>
      <c r="C335" s="517"/>
      <c r="D335" s="517"/>
      <c r="E335" s="517"/>
      <c r="F335" s="517"/>
      <c r="G335" s="517"/>
      <c r="H335" s="517"/>
      <c r="I335" s="517"/>
      <c r="J335" s="517"/>
      <c r="K335" s="564"/>
    </row>
    <row r="336" spans="1:11" x14ac:dyDescent="0.2">
      <c r="A336" s="517"/>
      <c r="B336" s="517"/>
      <c r="C336" s="517"/>
      <c r="D336" s="517"/>
      <c r="E336" s="517"/>
      <c r="F336" s="517"/>
      <c r="G336" s="517"/>
      <c r="H336" s="517"/>
      <c r="I336" s="517"/>
      <c r="J336" s="517"/>
      <c r="K336" s="564"/>
    </row>
    <row r="337" spans="1:11" x14ac:dyDescent="0.2">
      <c r="A337" s="517"/>
      <c r="B337" s="517"/>
      <c r="C337" s="517"/>
      <c r="D337" s="517"/>
      <c r="E337" s="517"/>
      <c r="F337" s="517"/>
      <c r="G337" s="517"/>
      <c r="H337" s="517"/>
      <c r="I337" s="517"/>
      <c r="J337" s="517"/>
      <c r="K337" s="564"/>
    </row>
    <row r="338" spans="1:11" x14ac:dyDescent="0.2">
      <c r="A338" s="517"/>
      <c r="B338" s="517"/>
      <c r="C338" s="517"/>
      <c r="D338" s="517"/>
      <c r="E338" s="517"/>
      <c r="F338" s="517"/>
      <c r="G338" s="517"/>
      <c r="H338" s="517"/>
      <c r="I338" s="517"/>
      <c r="J338" s="517"/>
      <c r="K338" s="564"/>
    </row>
    <row r="339" spans="1:11" x14ac:dyDescent="0.2">
      <c r="A339" s="517"/>
      <c r="B339" s="517"/>
      <c r="C339" s="517"/>
      <c r="D339" s="517"/>
      <c r="E339" s="517"/>
      <c r="F339" s="517"/>
      <c r="G339" s="517"/>
      <c r="H339" s="517"/>
      <c r="I339" s="517"/>
      <c r="J339" s="517"/>
      <c r="K339" s="564"/>
    </row>
    <row r="340" spans="1:11" x14ac:dyDescent="0.2">
      <c r="A340" s="517"/>
      <c r="B340" s="517"/>
      <c r="C340" s="517"/>
      <c r="D340" s="517"/>
      <c r="E340" s="517"/>
      <c r="F340" s="517"/>
      <c r="G340" s="517"/>
      <c r="H340" s="517"/>
      <c r="I340" s="517"/>
      <c r="J340" s="517"/>
      <c r="K340" s="564"/>
    </row>
    <row r="341" spans="1:11" x14ac:dyDescent="0.2">
      <c r="A341" s="517"/>
      <c r="B341" s="517"/>
      <c r="C341" s="517"/>
      <c r="D341" s="517"/>
      <c r="E341" s="517"/>
      <c r="F341" s="517"/>
      <c r="G341" s="517"/>
      <c r="H341" s="517"/>
      <c r="I341" s="517"/>
      <c r="J341" s="517"/>
      <c r="K341" s="564"/>
    </row>
    <row r="342" spans="1:11" x14ac:dyDescent="0.2">
      <c r="A342" s="517"/>
      <c r="B342" s="517"/>
      <c r="C342" s="517"/>
      <c r="D342" s="517"/>
      <c r="E342" s="517"/>
      <c r="F342" s="517"/>
      <c r="G342" s="517"/>
      <c r="H342" s="517"/>
      <c r="I342" s="517"/>
      <c r="J342" s="517"/>
      <c r="K342" s="564"/>
    </row>
    <row r="343" spans="1:11" x14ac:dyDescent="0.2">
      <c r="A343" s="517"/>
      <c r="B343" s="517"/>
      <c r="C343" s="517"/>
      <c r="D343" s="517"/>
      <c r="E343" s="517"/>
      <c r="F343" s="517"/>
      <c r="G343" s="517"/>
      <c r="H343" s="517"/>
      <c r="I343" s="517"/>
      <c r="J343" s="517"/>
      <c r="K343" s="564"/>
    </row>
    <row r="344" spans="1:11" x14ac:dyDescent="0.2">
      <c r="A344" s="517"/>
      <c r="B344" s="517"/>
      <c r="C344" s="517"/>
      <c r="D344" s="517"/>
      <c r="E344" s="517"/>
      <c r="F344" s="517"/>
      <c r="G344" s="517"/>
      <c r="H344" s="517"/>
      <c r="I344" s="517"/>
      <c r="J344" s="517"/>
      <c r="K344" s="564"/>
    </row>
    <row r="345" spans="1:11" x14ac:dyDescent="0.2">
      <c r="A345" s="517"/>
      <c r="B345" s="517"/>
      <c r="C345" s="517"/>
      <c r="D345" s="517"/>
      <c r="E345" s="517"/>
      <c r="F345" s="517"/>
      <c r="G345" s="517"/>
      <c r="H345" s="517"/>
      <c r="I345" s="517"/>
      <c r="J345" s="517"/>
      <c r="K345" s="564"/>
    </row>
    <row r="346" spans="1:11" x14ac:dyDescent="0.2">
      <c r="A346" s="517"/>
      <c r="B346" s="517"/>
      <c r="C346" s="517"/>
      <c r="D346" s="517"/>
      <c r="E346" s="517"/>
      <c r="F346" s="517"/>
      <c r="G346" s="517"/>
      <c r="H346" s="517"/>
      <c r="I346" s="517"/>
      <c r="J346" s="517"/>
      <c r="K346" s="564"/>
    </row>
    <row r="347" spans="1:11" x14ac:dyDescent="0.2">
      <c r="A347" s="517"/>
      <c r="B347" s="517"/>
      <c r="C347" s="517"/>
      <c r="D347" s="517"/>
      <c r="E347" s="517"/>
      <c r="F347" s="517"/>
      <c r="G347" s="517"/>
      <c r="H347" s="517"/>
      <c r="I347" s="517"/>
      <c r="J347" s="517"/>
      <c r="K347" s="564"/>
    </row>
    <row r="348" spans="1:11" x14ac:dyDescent="0.2">
      <c r="A348" s="517"/>
      <c r="B348" s="517"/>
      <c r="C348" s="517"/>
      <c r="D348" s="517"/>
      <c r="E348" s="517"/>
      <c r="F348" s="517"/>
      <c r="G348" s="517"/>
      <c r="H348" s="517"/>
      <c r="I348" s="517"/>
      <c r="J348" s="517"/>
      <c r="K348" s="564"/>
    </row>
    <row r="349" spans="1:11" x14ac:dyDescent="0.2">
      <c r="A349" s="517"/>
      <c r="B349" s="517"/>
      <c r="C349" s="517"/>
      <c r="D349" s="517"/>
      <c r="E349" s="517"/>
      <c r="F349" s="517"/>
      <c r="G349" s="517"/>
      <c r="H349" s="517"/>
      <c r="I349" s="517"/>
      <c r="J349" s="517"/>
      <c r="K349" s="564"/>
    </row>
    <row r="350" spans="1:11" x14ac:dyDescent="0.2">
      <c r="A350" s="517"/>
      <c r="B350" s="517"/>
      <c r="C350" s="517"/>
      <c r="D350" s="517"/>
      <c r="E350" s="517"/>
      <c r="F350" s="517"/>
      <c r="G350" s="517"/>
      <c r="H350" s="517"/>
      <c r="I350" s="517"/>
      <c r="J350" s="517"/>
      <c r="K350" s="564"/>
    </row>
    <row r="351" spans="1:11" x14ac:dyDescent="0.2">
      <c r="A351" s="517"/>
      <c r="B351" s="517"/>
      <c r="C351" s="517"/>
      <c r="D351" s="517"/>
      <c r="E351" s="517"/>
      <c r="F351" s="517"/>
      <c r="G351" s="517"/>
      <c r="H351" s="517"/>
      <c r="I351" s="517"/>
      <c r="J351" s="517"/>
      <c r="K351" s="564"/>
    </row>
    <row r="352" spans="1:11" x14ac:dyDescent="0.2">
      <c r="A352" s="517"/>
      <c r="B352" s="517"/>
      <c r="C352" s="517"/>
      <c r="D352" s="517"/>
      <c r="E352" s="517"/>
      <c r="F352" s="517"/>
      <c r="G352" s="517"/>
      <c r="H352" s="517"/>
      <c r="I352" s="517"/>
      <c r="J352" s="517"/>
      <c r="K352" s="564"/>
    </row>
    <row r="353" spans="1:11" x14ac:dyDescent="0.2">
      <c r="A353" s="517"/>
      <c r="B353" s="517"/>
      <c r="C353" s="517"/>
      <c r="D353" s="517"/>
      <c r="E353" s="517"/>
      <c r="F353" s="517"/>
      <c r="G353" s="517"/>
      <c r="H353" s="517"/>
      <c r="I353" s="517"/>
      <c r="J353" s="517"/>
      <c r="K353" s="564"/>
    </row>
    <row r="354" spans="1:11" x14ac:dyDescent="0.2">
      <c r="A354" s="517"/>
      <c r="B354" s="517"/>
      <c r="C354" s="517"/>
      <c r="D354" s="517"/>
      <c r="E354" s="517"/>
      <c r="F354" s="517"/>
      <c r="G354" s="517"/>
      <c r="H354" s="517"/>
      <c r="I354" s="517"/>
      <c r="J354" s="517"/>
      <c r="K354" s="564"/>
    </row>
    <row r="355" spans="1:11" x14ac:dyDescent="0.2">
      <c r="A355" s="517"/>
      <c r="B355" s="517"/>
      <c r="C355" s="517"/>
      <c r="D355" s="517"/>
      <c r="E355" s="517"/>
      <c r="F355" s="517"/>
      <c r="G355" s="517"/>
      <c r="H355" s="517"/>
      <c r="I355" s="517"/>
      <c r="J355" s="517"/>
      <c r="K355" s="564"/>
    </row>
    <row r="356" spans="1:11" x14ac:dyDescent="0.2">
      <c r="A356" s="517"/>
      <c r="B356" s="517"/>
      <c r="C356" s="517"/>
      <c r="D356" s="517"/>
      <c r="E356" s="517"/>
      <c r="F356" s="517"/>
      <c r="G356" s="517"/>
      <c r="H356" s="517"/>
      <c r="I356" s="517"/>
      <c r="J356" s="517"/>
      <c r="K356" s="564"/>
    </row>
    <row r="357" spans="1:11" x14ac:dyDescent="0.2">
      <c r="A357" s="517"/>
      <c r="B357" s="517"/>
      <c r="C357" s="517"/>
      <c r="D357" s="517"/>
      <c r="E357" s="517"/>
      <c r="F357" s="517"/>
      <c r="G357" s="517"/>
      <c r="H357" s="517"/>
      <c r="I357" s="517"/>
      <c r="J357" s="517"/>
      <c r="K357" s="564"/>
    </row>
    <row r="358" spans="1:11" x14ac:dyDescent="0.2">
      <c r="A358" s="517"/>
      <c r="B358" s="517"/>
      <c r="C358" s="517"/>
      <c r="D358" s="517"/>
      <c r="E358" s="517"/>
      <c r="F358" s="517"/>
      <c r="G358" s="517"/>
      <c r="H358" s="517"/>
      <c r="I358" s="517"/>
      <c r="J358" s="517"/>
      <c r="K358" s="564"/>
    </row>
    <row r="359" spans="1:11" x14ac:dyDescent="0.2">
      <c r="A359" s="517"/>
      <c r="B359" s="517"/>
      <c r="C359" s="517"/>
      <c r="D359" s="517"/>
      <c r="E359" s="517"/>
      <c r="F359" s="517"/>
      <c r="G359" s="517"/>
      <c r="H359" s="517"/>
      <c r="I359" s="517"/>
      <c r="J359" s="517"/>
      <c r="K359" s="564"/>
    </row>
    <row r="360" spans="1:11" x14ac:dyDescent="0.2">
      <c r="A360" s="517"/>
      <c r="B360" s="517"/>
      <c r="C360" s="517"/>
      <c r="D360" s="517"/>
      <c r="E360" s="517"/>
      <c r="F360" s="517"/>
      <c r="G360" s="517"/>
      <c r="H360" s="517"/>
      <c r="I360" s="517"/>
      <c r="J360" s="517"/>
      <c r="K360" s="564"/>
    </row>
    <row r="361" spans="1:11" x14ac:dyDescent="0.2">
      <c r="A361" s="517"/>
      <c r="B361" s="517"/>
      <c r="C361" s="517"/>
      <c r="D361" s="517"/>
      <c r="E361" s="517"/>
      <c r="F361" s="517"/>
      <c r="G361" s="517"/>
      <c r="H361" s="517"/>
      <c r="I361" s="517"/>
      <c r="J361" s="517"/>
      <c r="K361" s="564"/>
    </row>
    <row r="362" spans="1:11" x14ac:dyDescent="0.2">
      <c r="A362" s="517"/>
      <c r="B362" s="517"/>
      <c r="C362" s="517"/>
      <c r="D362" s="517"/>
      <c r="E362" s="517"/>
      <c r="F362" s="517"/>
      <c r="G362" s="517"/>
      <c r="H362" s="517"/>
      <c r="I362" s="517"/>
      <c r="J362" s="517"/>
      <c r="K362" s="564"/>
    </row>
    <row r="363" spans="1:11" x14ac:dyDescent="0.2">
      <c r="A363" s="517"/>
      <c r="B363" s="517"/>
      <c r="C363" s="517"/>
      <c r="D363" s="517"/>
      <c r="E363" s="517"/>
      <c r="F363" s="517"/>
      <c r="G363" s="517"/>
      <c r="H363" s="517"/>
      <c r="I363" s="517"/>
      <c r="J363" s="517"/>
      <c r="K363" s="564"/>
    </row>
    <row r="364" spans="1:11" x14ac:dyDescent="0.2">
      <c r="A364" s="517"/>
      <c r="B364" s="517"/>
      <c r="C364" s="517"/>
      <c r="D364" s="517"/>
      <c r="E364" s="517"/>
      <c r="F364" s="517"/>
      <c r="G364" s="517"/>
      <c r="H364" s="517"/>
      <c r="I364" s="517"/>
      <c r="J364" s="517"/>
      <c r="K364" s="564"/>
    </row>
    <row r="365" spans="1:11" x14ac:dyDescent="0.2">
      <c r="A365" s="517"/>
      <c r="B365" s="517"/>
      <c r="C365" s="517"/>
      <c r="D365" s="517"/>
      <c r="E365" s="517"/>
      <c r="F365" s="517"/>
      <c r="G365" s="517"/>
      <c r="H365" s="517"/>
      <c r="I365" s="517"/>
      <c r="J365" s="517"/>
      <c r="K365" s="564"/>
    </row>
    <row r="366" spans="1:11" x14ac:dyDescent="0.2">
      <c r="A366" s="517"/>
      <c r="B366" s="517"/>
      <c r="C366" s="517"/>
      <c r="D366" s="517"/>
      <c r="E366" s="517"/>
      <c r="F366" s="517"/>
      <c r="G366" s="517"/>
      <c r="H366" s="517"/>
      <c r="I366" s="517"/>
      <c r="J366" s="517"/>
      <c r="K366" s="564"/>
    </row>
    <row r="367" spans="1:11" x14ac:dyDescent="0.2">
      <c r="A367" s="517"/>
      <c r="B367" s="517"/>
      <c r="C367" s="517"/>
      <c r="D367" s="517"/>
      <c r="E367" s="517"/>
      <c r="F367" s="517"/>
      <c r="G367" s="517"/>
      <c r="H367" s="517"/>
      <c r="I367" s="517"/>
      <c r="J367" s="517"/>
      <c r="K367" s="564"/>
    </row>
    <row r="368" spans="1:11" x14ac:dyDescent="0.2">
      <c r="A368" s="517"/>
      <c r="B368" s="517"/>
      <c r="C368" s="517"/>
      <c r="D368" s="517"/>
      <c r="E368" s="517"/>
      <c r="F368" s="517"/>
      <c r="G368" s="517"/>
      <c r="H368" s="517"/>
      <c r="I368" s="517"/>
      <c r="J368" s="517"/>
      <c r="K368" s="564"/>
    </row>
    <row r="369" spans="1:11" x14ac:dyDescent="0.2">
      <c r="A369" s="517"/>
      <c r="B369" s="517"/>
      <c r="C369" s="517"/>
      <c r="D369" s="517"/>
      <c r="E369" s="517"/>
      <c r="F369" s="517"/>
      <c r="G369" s="517"/>
      <c r="H369" s="517"/>
      <c r="I369" s="517"/>
      <c r="J369" s="517"/>
      <c r="K369" s="564"/>
    </row>
    <row r="370" spans="1:11" x14ac:dyDescent="0.2">
      <c r="A370" s="517"/>
      <c r="B370" s="517"/>
      <c r="C370" s="517"/>
      <c r="D370" s="517"/>
      <c r="E370" s="517"/>
      <c r="F370" s="517"/>
      <c r="G370" s="517"/>
      <c r="H370" s="517"/>
      <c r="I370" s="517"/>
      <c r="J370" s="517"/>
      <c r="K370" s="564"/>
    </row>
    <row r="371" spans="1:11" x14ac:dyDescent="0.2">
      <c r="A371" s="517"/>
      <c r="B371" s="517"/>
      <c r="C371" s="517"/>
      <c r="D371" s="517"/>
      <c r="E371" s="517"/>
      <c r="F371" s="517"/>
      <c r="G371" s="517"/>
      <c r="H371" s="517"/>
      <c r="I371" s="517"/>
      <c r="J371" s="517"/>
      <c r="K371" s="564"/>
    </row>
    <row r="372" spans="1:11" x14ac:dyDescent="0.2">
      <c r="A372" s="517"/>
      <c r="B372" s="517"/>
      <c r="C372" s="517"/>
      <c r="D372" s="517"/>
      <c r="E372" s="517"/>
      <c r="F372" s="517"/>
      <c r="G372" s="517"/>
      <c r="H372" s="517"/>
      <c r="I372" s="517"/>
      <c r="J372" s="517"/>
      <c r="K372" s="564"/>
    </row>
    <row r="373" spans="1:11" x14ac:dyDescent="0.2">
      <c r="A373" s="517"/>
      <c r="B373" s="517"/>
      <c r="C373" s="517"/>
      <c r="D373" s="517"/>
      <c r="E373" s="517"/>
      <c r="F373" s="517"/>
      <c r="G373" s="517"/>
      <c r="H373" s="517"/>
      <c r="I373" s="517"/>
      <c r="J373" s="517"/>
      <c r="K373" s="564"/>
    </row>
    <row r="374" spans="1:11" x14ac:dyDescent="0.2">
      <c r="A374" s="517"/>
      <c r="B374" s="517"/>
      <c r="C374" s="517"/>
      <c r="D374" s="517"/>
      <c r="E374" s="517"/>
      <c r="F374" s="517"/>
      <c r="G374" s="517"/>
      <c r="H374" s="517"/>
      <c r="I374" s="517"/>
      <c r="J374" s="517"/>
      <c r="K374" s="564"/>
    </row>
    <row r="375" spans="1:11" x14ac:dyDescent="0.2">
      <c r="A375" s="517"/>
      <c r="B375" s="517"/>
      <c r="C375" s="517"/>
      <c r="D375" s="517"/>
      <c r="E375" s="517"/>
      <c r="F375" s="517"/>
      <c r="G375" s="517"/>
      <c r="H375" s="517"/>
      <c r="I375" s="517"/>
      <c r="J375" s="517"/>
      <c r="K375" s="564"/>
    </row>
    <row r="376" spans="1:11" x14ac:dyDescent="0.2">
      <c r="A376" s="517"/>
      <c r="B376" s="517"/>
      <c r="C376" s="517"/>
      <c r="D376" s="517"/>
      <c r="E376" s="517"/>
      <c r="F376" s="517"/>
      <c r="G376" s="517"/>
      <c r="H376" s="517"/>
      <c r="I376" s="517"/>
      <c r="J376" s="517"/>
      <c r="K376" s="564"/>
    </row>
    <row r="377" spans="1:11" x14ac:dyDescent="0.2">
      <c r="A377" s="517"/>
      <c r="B377" s="517"/>
      <c r="C377" s="517"/>
      <c r="D377" s="517"/>
      <c r="E377" s="517"/>
      <c r="F377" s="517"/>
      <c r="G377" s="517"/>
      <c r="H377" s="517"/>
      <c r="I377" s="517"/>
      <c r="J377" s="517"/>
      <c r="K377" s="564"/>
    </row>
    <row r="378" spans="1:11" x14ac:dyDescent="0.2">
      <c r="A378" s="517"/>
      <c r="B378" s="517"/>
      <c r="C378" s="517"/>
      <c r="D378" s="517"/>
      <c r="E378" s="517"/>
      <c r="F378" s="517"/>
      <c r="G378" s="517"/>
      <c r="H378" s="517"/>
      <c r="I378" s="517"/>
      <c r="J378" s="517"/>
      <c r="K378" s="564"/>
    </row>
    <row r="379" spans="1:11" x14ac:dyDescent="0.2">
      <c r="A379" s="517"/>
      <c r="B379" s="517"/>
      <c r="C379" s="517"/>
      <c r="D379" s="517"/>
      <c r="E379" s="517"/>
      <c r="F379" s="517"/>
      <c r="G379" s="517"/>
      <c r="H379" s="517"/>
      <c r="I379" s="517"/>
      <c r="J379" s="517"/>
      <c r="K379" s="564"/>
    </row>
    <row r="380" spans="1:11" x14ac:dyDescent="0.2">
      <c r="A380" s="517"/>
      <c r="B380" s="517"/>
      <c r="C380" s="517"/>
      <c r="D380" s="517"/>
      <c r="E380" s="517"/>
      <c r="F380" s="517"/>
      <c r="G380" s="517"/>
      <c r="H380" s="517"/>
      <c r="I380" s="517"/>
      <c r="J380" s="517"/>
      <c r="K380" s="564"/>
    </row>
    <row r="381" spans="1:11" x14ac:dyDescent="0.2">
      <c r="A381" s="517"/>
      <c r="B381" s="517"/>
      <c r="C381" s="517"/>
      <c r="D381" s="517"/>
      <c r="E381" s="517"/>
      <c r="F381" s="517"/>
      <c r="G381" s="517"/>
      <c r="H381" s="517"/>
      <c r="I381" s="517"/>
      <c r="J381" s="517"/>
      <c r="K381" s="564"/>
    </row>
    <row r="382" spans="1:11" x14ac:dyDescent="0.2">
      <c r="A382" s="517"/>
      <c r="B382" s="517"/>
      <c r="C382" s="517"/>
      <c r="D382" s="517"/>
      <c r="E382" s="517"/>
      <c r="F382" s="517"/>
      <c r="G382" s="517"/>
      <c r="H382" s="517"/>
      <c r="I382" s="517"/>
      <c r="J382" s="517"/>
      <c r="K382" s="564"/>
    </row>
    <row r="383" spans="1:11" x14ac:dyDescent="0.2">
      <c r="A383" s="517"/>
      <c r="B383" s="517"/>
      <c r="C383" s="517"/>
      <c r="D383" s="517"/>
      <c r="E383" s="517"/>
      <c r="F383" s="517"/>
      <c r="G383" s="517"/>
      <c r="H383" s="517"/>
      <c r="I383" s="517"/>
      <c r="J383" s="517"/>
      <c r="K383" s="564"/>
    </row>
    <row r="384" spans="1:11" x14ac:dyDescent="0.2">
      <c r="A384" s="517"/>
      <c r="B384" s="517"/>
      <c r="C384" s="517"/>
      <c r="D384" s="517"/>
      <c r="E384" s="517"/>
      <c r="F384" s="517"/>
      <c r="G384" s="517"/>
      <c r="H384" s="517"/>
      <c r="I384" s="517"/>
      <c r="J384" s="517"/>
      <c r="K384" s="564"/>
    </row>
    <row r="385" spans="1:11" x14ac:dyDescent="0.2">
      <c r="A385" s="517"/>
      <c r="B385" s="517"/>
      <c r="C385" s="517"/>
      <c r="D385" s="517"/>
      <c r="E385" s="517"/>
      <c r="F385" s="517"/>
      <c r="G385" s="517"/>
      <c r="H385" s="517"/>
      <c r="I385" s="517"/>
      <c r="J385" s="517"/>
      <c r="K385" s="564"/>
    </row>
    <row r="386" spans="1:11" x14ac:dyDescent="0.2">
      <c r="A386" s="517"/>
      <c r="B386" s="517"/>
      <c r="C386" s="517"/>
      <c r="D386" s="517"/>
      <c r="E386" s="517"/>
      <c r="F386" s="517"/>
      <c r="G386" s="517"/>
      <c r="H386" s="517"/>
      <c r="I386" s="517"/>
      <c r="J386" s="517"/>
      <c r="K386" s="564"/>
    </row>
    <row r="387" spans="1:11" x14ac:dyDescent="0.2">
      <c r="A387" s="517"/>
      <c r="B387" s="517"/>
      <c r="C387" s="517"/>
      <c r="D387" s="517"/>
      <c r="E387" s="517"/>
      <c r="F387" s="517"/>
      <c r="G387" s="517"/>
      <c r="H387" s="517"/>
      <c r="I387" s="517"/>
      <c r="J387" s="517"/>
      <c r="K387" s="564"/>
    </row>
    <row r="388" spans="1:11" x14ac:dyDescent="0.2">
      <c r="A388" s="517"/>
      <c r="B388" s="517"/>
      <c r="C388" s="517"/>
      <c r="D388" s="517"/>
      <c r="E388" s="517"/>
      <c r="F388" s="517"/>
      <c r="G388" s="517"/>
      <c r="H388" s="517"/>
      <c r="I388" s="517"/>
      <c r="J388" s="517"/>
      <c r="K388" s="564"/>
    </row>
    <row r="389" spans="1:11" x14ac:dyDescent="0.2">
      <c r="A389" s="517"/>
      <c r="B389" s="517"/>
      <c r="C389" s="517"/>
      <c r="D389" s="517"/>
      <c r="E389" s="517"/>
      <c r="F389" s="517"/>
      <c r="G389" s="517"/>
      <c r="H389" s="517"/>
      <c r="I389" s="517"/>
      <c r="J389" s="517"/>
      <c r="K389" s="564"/>
    </row>
    <row r="390" spans="1:11" x14ac:dyDescent="0.2">
      <c r="A390" s="517"/>
      <c r="B390" s="517"/>
      <c r="C390" s="517"/>
      <c r="D390" s="517"/>
      <c r="E390" s="517"/>
      <c r="F390" s="517"/>
      <c r="G390" s="517"/>
      <c r="H390" s="517"/>
      <c r="I390" s="517"/>
      <c r="J390" s="517"/>
      <c r="K390" s="564"/>
    </row>
    <row r="391" spans="1:11" x14ac:dyDescent="0.2">
      <c r="A391" s="517"/>
      <c r="B391" s="517"/>
      <c r="C391" s="517"/>
      <c r="D391" s="517"/>
      <c r="E391" s="517"/>
      <c r="F391" s="517"/>
      <c r="G391" s="517"/>
      <c r="H391" s="517"/>
      <c r="I391" s="517"/>
      <c r="J391" s="517"/>
      <c r="K391" s="564"/>
    </row>
    <row r="392" spans="1:11" x14ac:dyDescent="0.2">
      <c r="A392" s="517"/>
      <c r="B392" s="517"/>
      <c r="C392" s="517"/>
      <c r="D392" s="517"/>
      <c r="E392" s="517"/>
      <c r="F392" s="517"/>
      <c r="G392" s="517"/>
      <c r="H392" s="517"/>
      <c r="I392" s="517"/>
      <c r="J392" s="517"/>
      <c r="K392" s="564"/>
    </row>
    <row r="393" spans="1:11" x14ac:dyDescent="0.2">
      <c r="A393" s="517"/>
      <c r="B393" s="517"/>
      <c r="C393" s="517"/>
      <c r="D393" s="517"/>
      <c r="E393" s="517"/>
      <c r="F393" s="517"/>
      <c r="G393" s="517"/>
      <c r="H393" s="517"/>
      <c r="I393" s="517"/>
      <c r="J393" s="517"/>
      <c r="K393" s="564"/>
    </row>
    <row r="394" spans="1:11" x14ac:dyDescent="0.2">
      <c r="A394" s="517"/>
      <c r="B394" s="517"/>
      <c r="C394" s="517"/>
      <c r="D394" s="517"/>
      <c r="E394" s="517"/>
      <c r="F394" s="517"/>
      <c r="G394" s="517"/>
      <c r="H394" s="517"/>
      <c r="I394" s="517"/>
      <c r="J394" s="517"/>
      <c r="K394" s="564"/>
    </row>
    <row r="395" spans="1:11" x14ac:dyDescent="0.2">
      <c r="A395" s="517"/>
      <c r="B395" s="517"/>
      <c r="C395" s="517"/>
      <c r="D395" s="517"/>
      <c r="E395" s="517"/>
      <c r="F395" s="517"/>
      <c r="G395" s="517"/>
      <c r="H395" s="517"/>
      <c r="I395" s="517"/>
      <c r="J395" s="517"/>
      <c r="K395" s="564"/>
    </row>
    <row r="396" spans="1:11" x14ac:dyDescent="0.2">
      <c r="A396" s="517"/>
      <c r="B396" s="517"/>
      <c r="C396" s="517"/>
      <c r="D396" s="517"/>
      <c r="E396" s="517"/>
      <c r="F396" s="517"/>
      <c r="G396" s="517"/>
      <c r="H396" s="517"/>
      <c r="I396" s="517"/>
      <c r="J396" s="517"/>
      <c r="K396" s="564"/>
    </row>
    <row r="397" spans="1:11" x14ac:dyDescent="0.2">
      <c r="A397" s="517"/>
      <c r="B397" s="517"/>
      <c r="C397" s="517"/>
      <c r="D397" s="517"/>
      <c r="E397" s="517"/>
      <c r="F397" s="517"/>
      <c r="G397" s="517"/>
      <c r="H397" s="517"/>
      <c r="I397" s="517"/>
      <c r="J397" s="517"/>
      <c r="K397" s="564"/>
    </row>
    <row r="398" spans="1:11" x14ac:dyDescent="0.2">
      <c r="A398" s="517"/>
      <c r="B398" s="517"/>
      <c r="C398" s="517"/>
      <c r="D398" s="517"/>
      <c r="E398" s="517"/>
      <c r="F398" s="517"/>
      <c r="G398" s="517"/>
      <c r="H398" s="517"/>
      <c r="I398" s="517"/>
      <c r="J398" s="517"/>
      <c r="K398" s="564"/>
    </row>
    <row r="399" spans="1:11" x14ac:dyDescent="0.2">
      <c r="A399" s="517"/>
      <c r="B399" s="517"/>
      <c r="C399" s="517"/>
      <c r="D399" s="517"/>
      <c r="E399" s="517"/>
      <c r="F399" s="517"/>
      <c r="G399" s="517"/>
      <c r="H399" s="517"/>
      <c r="I399" s="517"/>
      <c r="J399" s="517"/>
      <c r="K399" s="564"/>
    </row>
    <row r="400" spans="1:11" x14ac:dyDescent="0.2">
      <c r="A400" s="517"/>
      <c r="B400" s="517"/>
      <c r="C400" s="517"/>
      <c r="D400" s="517"/>
      <c r="E400" s="517"/>
      <c r="F400" s="517"/>
      <c r="G400" s="517"/>
      <c r="H400" s="517"/>
      <c r="I400" s="517"/>
      <c r="J400" s="517"/>
      <c r="K400" s="564"/>
    </row>
    <row r="401" spans="1:11" x14ac:dyDescent="0.2">
      <c r="A401" s="517"/>
      <c r="B401" s="517"/>
      <c r="C401" s="517"/>
      <c r="D401" s="517"/>
      <c r="E401" s="517"/>
      <c r="F401" s="517"/>
      <c r="G401" s="517"/>
      <c r="H401" s="517"/>
      <c r="I401" s="517"/>
      <c r="J401" s="517"/>
      <c r="K401" s="564"/>
    </row>
    <row r="402" spans="1:11" x14ac:dyDescent="0.2">
      <c r="A402" s="517"/>
      <c r="B402" s="517"/>
      <c r="C402" s="517"/>
      <c r="D402" s="517"/>
      <c r="E402" s="517"/>
      <c r="F402" s="517"/>
      <c r="G402" s="517"/>
      <c r="H402" s="517"/>
      <c r="I402" s="517"/>
      <c r="J402" s="517"/>
      <c r="K402" s="564"/>
    </row>
    <row r="403" spans="1:11" x14ac:dyDescent="0.2">
      <c r="A403" s="517"/>
      <c r="B403" s="517"/>
      <c r="C403" s="517"/>
      <c r="D403" s="517"/>
      <c r="E403" s="517"/>
      <c r="F403" s="517"/>
      <c r="G403" s="517"/>
      <c r="H403" s="517"/>
      <c r="I403" s="517"/>
      <c r="J403" s="517"/>
      <c r="K403" s="564"/>
    </row>
    <row r="404" spans="1:11" x14ac:dyDescent="0.2">
      <c r="A404" s="517"/>
      <c r="B404" s="517"/>
      <c r="C404" s="517"/>
      <c r="D404" s="517"/>
      <c r="E404" s="517"/>
      <c r="F404" s="517"/>
      <c r="G404" s="517"/>
      <c r="H404" s="517"/>
      <c r="I404" s="517"/>
      <c r="J404" s="517"/>
      <c r="K404" s="564"/>
    </row>
    <row r="405" spans="1:11" x14ac:dyDescent="0.2">
      <c r="A405" s="517"/>
      <c r="B405" s="517"/>
      <c r="C405" s="517"/>
      <c r="D405" s="517"/>
      <c r="E405" s="517"/>
      <c r="F405" s="517"/>
      <c r="G405" s="517"/>
      <c r="H405" s="517"/>
      <c r="I405" s="517"/>
      <c r="J405" s="517"/>
      <c r="K405" s="564"/>
    </row>
    <row r="406" spans="1:11" x14ac:dyDescent="0.2">
      <c r="A406" s="517"/>
      <c r="B406" s="517"/>
      <c r="C406" s="517"/>
      <c r="D406" s="517"/>
      <c r="E406" s="517"/>
      <c r="F406" s="517"/>
      <c r="G406" s="517"/>
      <c r="H406" s="517"/>
      <c r="I406" s="517"/>
      <c r="J406" s="517"/>
      <c r="K406" s="564"/>
    </row>
    <row r="407" spans="1:11" x14ac:dyDescent="0.2">
      <c r="A407" s="517"/>
      <c r="B407" s="517"/>
      <c r="C407" s="517"/>
      <c r="D407" s="517"/>
      <c r="E407" s="517"/>
      <c r="F407" s="517"/>
      <c r="G407" s="517"/>
      <c r="H407" s="517"/>
      <c r="I407" s="517"/>
      <c r="J407" s="517"/>
      <c r="K407" s="564"/>
    </row>
    <row r="408" spans="1:11" x14ac:dyDescent="0.2">
      <c r="A408" s="517"/>
      <c r="B408" s="517"/>
      <c r="C408" s="517"/>
      <c r="D408" s="517"/>
      <c r="E408" s="517"/>
      <c r="F408" s="517"/>
      <c r="G408" s="517"/>
      <c r="H408" s="517"/>
      <c r="I408" s="517"/>
      <c r="J408" s="517"/>
      <c r="K408" s="564"/>
    </row>
    <row r="409" spans="1:11" x14ac:dyDescent="0.2">
      <c r="A409" s="517"/>
      <c r="B409" s="517"/>
      <c r="C409" s="517"/>
      <c r="D409" s="517"/>
      <c r="E409" s="517"/>
      <c r="F409" s="517"/>
      <c r="G409" s="517"/>
      <c r="H409" s="517"/>
      <c r="I409" s="517"/>
      <c r="J409" s="517"/>
      <c r="K409" s="564"/>
    </row>
    <row r="410" spans="1:11" x14ac:dyDescent="0.2">
      <c r="A410" s="517"/>
      <c r="B410" s="517"/>
      <c r="C410" s="517"/>
      <c r="D410" s="517"/>
      <c r="E410" s="517"/>
      <c r="F410" s="517"/>
      <c r="G410" s="517"/>
      <c r="H410" s="517"/>
      <c r="I410" s="517"/>
      <c r="J410" s="517"/>
      <c r="K410" s="564"/>
    </row>
    <row r="411" spans="1:11" x14ac:dyDescent="0.2">
      <c r="A411" s="517"/>
      <c r="B411" s="517"/>
      <c r="C411" s="517"/>
      <c r="D411" s="517"/>
      <c r="E411" s="517"/>
      <c r="F411" s="517"/>
      <c r="G411" s="517"/>
      <c r="H411" s="517"/>
      <c r="I411" s="517"/>
      <c r="J411" s="517"/>
      <c r="K411" s="564"/>
    </row>
    <row r="412" spans="1:11" x14ac:dyDescent="0.2">
      <c r="A412" s="517"/>
      <c r="B412" s="517"/>
      <c r="C412" s="517"/>
      <c r="D412" s="517"/>
      <c r="E412" s="517"/>
      <c r="F412" s="517"/>
      <c r="G412" s="517"/>
      <c r="H412" s="517"/>
      <c r="I412" s="517"/>
      <c r="J412" s="517"/>
      <c r="K412" s="564"/>
    </row>
    <row r="413" spans="1:11" x14ac:dyDescent="0.2">
      <c r="A413" s="517"/>
      <c r="B413" s="517"/>
      <c r="C413" s="517"/>
      <c r="D413" s="517"/>
      <c r="E413" s="517"/>
      <c r="F413" s="517"/>
      <c r="G413" s="517"/>
      <c r="H413" s="517"/>
      <c r="I413" s="517"/>
      <c r="J413" s="517"/>
      <c r="K413" s="564"/>
    </row>
    <row r="414" spans="1:11" x14ac:dyDescent="0.2">
      <c r="A414" s="517"/>
      <c r="B414" s="517"/>
      <c r="C414" s="517"/>
      <c r="D414" s="517"/>
      <c r="E414" s="517"/>
      <c r="F414" s="517"/>
      <c r="G414" s="517"/>
      <c r="H414" s="517"/>
      <c r="I414" s="517"/>
      <c r="J414" s="517"/>
      <c r="K414" s="564"/>
    </row>
    <row r="415" spans="1:11" x14ac:dyDescent="0.2">
      <c r="A415" s="517"/>
      <c r="B415" s="517"/>
      <c r="C415" s="517"/>
      <c r="D415" s="517"/>
      <c r="E415" s="517"/>
      <c r="F415" s="517"/>
      <c r="G415" s="517"/>
      <c r="H415" s="517"/>
      <c r="I415" s="517"/>
      <c r="J415" s="517"/>
      <c r="K415" s="564"/>
    </row>
    <row r="416" spans="1:11" x14ac:dyDescent="0.2">
      <c r="A416" s="517"/>
      <c r="B416" s="517"/>
      <c r="C416" s="517"/>
      <c r="D416" s="517"/>
      <c r="E416" s="517"/>
      <c r="F416" s="517"/>
      <c r="G416" s="517"/>
      <c r="H416" s="517"/>
      <c r="I416" s="517"/>
      <c r="J416" s="517"/>
      <c r="K416" s="564"/>
    </row>
    <row r="417" spans="1:11" x14ac:dyDescent="0.2">
      <c r="A417" s="517"/>
      <c r="B417" s="517"/>
      <c r="C417" s="517"/>
      <c r="D417" s="517"/>
      <c r="E417" s="517"/>
      <c r="F417" s="517"/>
      <c r="G417" s="517"/>
      <c r="H417" s="517"/>
      <c r="I417" s="517"/>
      <c r="J417" s="517"/>
      <c r="K417" s="564"/>
    </row>
    <row r="418" spans="1:11" x14ac:dyDescent="0.2">
      <c r="A418" s="517"/>
      <c r="B418" s="517"/>
      <c r="C418" s="517"/>
      <c r="D418" s="517"/>
      <c r="E418" s="517"/>
      <c r="F418" s="517"/>
      <c r="G418" s="517"/>
      <c r="H418" s="517"/>
      <c r="I418" s="517"/>
      <c r="J418" s="517"/>
      <c r="K418" s="564"/>
    </row>
    <row r="419" spans="1:11" x14ac:dyDescent="0.2">
      <c r="A419" s="517"/>
      <c r="B419" s="517"/>
      <c r="C419" s="517"/>
      <c r="D419" s="517"/>
      <c r="E419" s="517"/>
      <c r="F419" s="517"/>
      <c r="G419" s="517"/>
      <c r="H419" s="517"/>
      <c r="I419" s="517"/>
      <c r="J419" s="517"/>
      <c r="K419" s="564"/>
    </row>
    <row r="420" spans="1:11" x14ac:dyDescent="0.2">
      <c r="A420" s="517"/>
      <c r="B420" s="517"/>
      <c r="C420" s="517"/>
      <c r="D420" s="517"/>
      <c r="E420" s="517"/>
      <c r="F420" s="517"/>
      <c r="G420" s="517"/>
      <c r="H420" s="517"/>
      <c r="I420" s="517"/>
      <c r="J420" s="517"/>
      <c r="K420" s="564"/>
    </row>
    <row r="421" spans="1:11" x14ac:dyDescent="0.2">
      <c r="A421" s="517"/>
      <c r="B421" s="517"/>
      <c r="C421" s="517"/>
      <c r="D421" s="517"/>
      <c r="E421" s="517"/>
      <c r="F421" s="517"/>
      <c r="G421" s="517"/>
      <c r="H421" s="517"/>
      <c r="I421" s="517"/>
      <c r="J421" s="517"/>
      <c r="K421" s="564"/>
    </row>
    <row r="422" spans="1:11" x14ac:dyDescent="0.2">
      <c r="A422" s="517"/>
      <c r="B422" s="517"/>
      <c r="C422" s="517"/>
      <c r="D422" s="517"/>
      <c r="E422" s="517"/>
      <c r="F422" s="517"/>
      <c r="G422" s="517"/>
      <c r="H422" s="517"/>
      <c r="I422" s="517"/>
      <c r="J422" s="517"/>
      <c r="K422" s="564"/>
    </row>
    <row r="423" spans="1:11" x14ac:dyDescent="0.2">
      <c r="A423" s="517"/>
      <c r="B423" s="517"/>
      <c r="C423" s="517"/>
      <c r="D423" s="517"/>
      <c r="E423" s="517"/>
      <c r="F423" s="517"/>
      <c r="G423" s="517"/>
      <c r="H423" s="517"/>
      <c r="I423" s="517"/>
      <c r="J423" s="517"/>
      <c r="K423" s="564"/>
    </row>
    <row r="424" spans="1:11" x14ac:dyDescent="0.2">
      <c r="A424" s="517"/>
      <c r="B424" s="517"/>
      <c r="C424" s="517"/>
      <c r="D424" s="517"/>
      <c r="E424" s="517"/>
      <c r="F424" s="517"/>
      <c r="G424" s="517"/>
      <c r="H424" s="517"/>
      <c r="I424" s="517"/>
      <c r="J424" s="517"/>
      <c r="K424" s="564"/>
    </row>
    <row r="425" spans="1:11" x14ac:dyDescent="0.2">
      <c r="A425" s="517"/>
      <c r="B425" s="517"/>
      <c r="C425" s="517"/>
      <c r="D425" s="517"/>
      <c r="E425" s="517"/>
      <c r="F425" s="517"/>
      <c r="G425" s="517"/>
      <c r="H425" s="517"/>
      <c r="I425" s="517"/>
      <c r="J425" s="517"/>
      <c r="K425" s="564"/>
    </row>
    <row r="426" spans="1:11" x14ac:dyDescent="0.2">
      <c r="A426" s="517"/>
      <c r="B426" s="517"/>
      <c r="C426" s="517"/>
      <c r="D426" s="517"/>
      <c r="E426" s="517"/>
      <c r="F426" s="517"/>
      <c r="G426" s="517"/>
      <c r="H426" s="517"/>
      <c r="I426" s="517"/>
      <c r="J426" s="517"/>
      <c r="K426" s="564"/>
    </row>
    <row r="427" spans="1:11" x14ac:dyDescent="0.2">
      <c r="A427" s="517"/>
      <c r="B427" s="517"/>
      <c r="C427" s="517"/>
      <c r="D427" s="517"/>
      <c r="E427" s="517"/>
      <c r="F427" s="517"/>
      <c r="G427" s="517"/>
      <c r="H427" s="517"/>
      <c r="I427" s="517"/>
      <c r="J427" s="517"/>
      <c r="K427" s="564"/>
    </row>
    <row r="428" spans="1:11" x14ac:dyDescent="0.2">
      <c r="A428" s="517"/>
      <c r="B428" s="517"/>
      <c r="C428" s="517"/>
      <c r="D428" s="517"/>
      <c r="E428" s="517"/>
      <c r="F428" s="517"/>
      <c r="G428" s="517"/>
      <c r="H428" s="517"/>
      <c r="I428" s="517"/>
      <c r="J428" s="517"/>
      <c r="K428" s="564"/>
    </row>
    <row r="429" spans="1:11" x14ac:dyDescent="0.2">
      <c r="A429" s="517"/>
      <c r="B429" s="517"/>
      <c r="C429" s="517"/>
      <c r="D429" s="517"/>
      <c r="E429" s="517"/>
      <c r="F429" s="517"/>
      <c r="G429" s="517"/>
      <c r="H429" s="517"/>
      <c r="I429" s="517"/>
      <c r="J429" s="517"/>
      <c r="K429" s="564"/>
    </row>
    <row r="430" spans="1:11" x14ac:dyDescent="0.2">
      <c r="A430" s="517"/>
      <c r="B430" s="517"/>
      <c r="C430" s="517"/>
      <c r="D430" s="517"/>
      <c r="E430" s="517"/>
      <c r="F430" s="517"/>
      <c r="G430" s="517"/>
      <c r="H430" s="517"/>
      <c r="I430" s="517"/>
      <c r="J430" s="517"/>
      <c r="K430" s="564"/>
    </row>
    <row r="431" spans="1:11" x14ac:dyDescent="0.2">
      <c r="A431" s="517"/>
      <c r="B431" s="517"/>
      <c r="C431" s="517"/>
      <c r="D431" s="517"/>
      <c r="E431" s="517"/>
      <c r="F431" s="517"/>
      <c r="G431" s="517"/>
      <c r="H431" s="517"/>
      <c r="I431" s="517"/>
      <c r="J431" s="517"/>
      <c r="K431" s="564"/>
    </row>
    <row r="432" spans="1:11" x14ac:dyDescent="0.2">
      <c r="A432" s="517"/>
      <c r="B432" s="517"/>
      <c r="C432" s="517"/>
      <c r="D432" s="517"/>
      <c r="E432" s="517"/>
      <c r="F432" s="517"/>
      <c r="G432" s="517"/>
      <c r="H432" s="517"/>
      <c r="I432" s="517"/>
      <c r="J432" s="517"/>
      <c r="K432" s="564"/>
    </row>
    <row r="433" spans="1:11" x14ac:dyDescent="0.2">
      <c r="A433" s="517"/>
      <c r="B433" s="517"/>
      <c r="C433" s="517"/>
      <c r="D433" s="517"/>
      <c r="E433" s="517"/>
      <c r="F433" s="517"/>
      <c r="G433" s="517"/>
      <c r="H433" s="517"/>
      <c r="I433" s="517"/>
      <c r="J433" s="517"/>
      <c r="K433" s="564"/>
    </row>
    <row r="434" spans="1:11" x14ac:dyDescent="0.2">
      <c r="A434" s="517"/>
      <c r="B434" s="517"/>
      <c r="C434" s="517"/>
      <c r="D434" s="517"/>
      <c r="E434" s="517"/>
      <c r="F434" s="517"/>
      <c r="G434" s="517"/>
      <c r="H434" s="517"/>
      <c r="I434" s="517"/>
      <c r="J434" s="517"/>
      <c r="K434" s="564"/>
    </row>
    <row r="435" spans="1:11" x14ac:dyDescent="0.2">
      <c r="A435" s="517"/>
      <c r="B435" s="517"/>
      <c r="C435" s="517"/>
      <c r="D435" s="517"/>
      <c r="E435" s="517"/>
      <c r="F435" s="517"/>
      <c r="G435" s="517"/>
      <c r="H435" s="517"/>
      <c r="I435" s="517"/>
      <c r="J435" s="517"/>
      <c r="K435" s="564"/>
    </row>
    <row r="436" spans="1:11" x14ac:dyDescent="0.2">
      <c r="A436" s="517"/>
      <c r="B436" s="517"/>
      <c r="C436" s="517"/>
      <c r="D436" s="517"/>
      <c r="E436" s="517"/>
      <c r="F436" s="517"/>
      <c r="G436" s="517"/>
      <c r="H436" s="517"/>
      <c r="I436" s="517"/>
      <c r="J436" s="517"/>
      <c r="K436" s="564"/>
    </row>
    <row r="437" spans="1:11" x14ac:dyDescent="0.2">
      <c r="A437" s="517"/>
      <c r="B437" s="517"/>
      <c r="C437" s="517"/>
      <c r="D437" s="517"/>
      <c r="E437" s="517"/>
      <c r="F437" s="517"/>
      <c r="G437" s="517"/>
      <c r="H437" s="517"/>
      <c r="I437" s="517"/>
      <c r="J437" s="517"/>
      <c r="K437" s="564"/>
    </row>
    <row r="438" spans="1:11" x14ac:dyDescent="0.2">
      <c r="A438" s="517"/>
      <c r="B438" s="517"/>
      <c r="C438" s="517"/>
      <c r="D438" s="517"/>
      <c r="E438" s="517"/>
      <c r="F438" s="517"/>
      <c r="G438" s="517"/>
      <c r="H438" s="517"/>
      <c r="I438" s="517"/>
      <c r="J438" s="517"/>
      <c r="K438" s="564"/>
    </row>
    <row r="439" spans="1:11" x14ac:dyDescent="0.2">
      <c r="A439" s="517"/>
      <c r="B439" s="517"/>
      <c r="C439" s="517"/>
      <c r="D439" s="517"/>
      <c r="E439" s="517"/>
      <c r="F439" s="517"/>
      <c r="G439" s="517"/>
      <c r="H439" s="517"/>
      <c r="I439" s="517"/>
      <c r="J439" s="517"/>
      <c r="K439" s="564"/>
    </row>
    <row r="440" spans="1:11" x14ac:dyDescent="0.2">
      <c r="A440" s="517"/>
      <c r="B440" s="517"/>
      <c r="C440" s="517"/>
      <c r="D440" s="517"/>
      <c r="E440" s="517"/>
      <c r="F440" s="517"/>
      <c r="G440" s="517"/>
      <c r="H440" s="517"/>
      <c r="I440" s="517"/>
      <c r="J440" s="517"/>
      <c r="K440" s="564"/>
    </row>
    <row r="441" spans="1:11" x14ac:dyDescent="0.2">
      <c r="A441" s="517"/>
      <c r="B441" s="517"/>
      <c r="C441" s="517"/>
      <c r="D441" s="517"/>
      <c r="E441" s="517"/>
      <c r="F441" s="517"/>
      <c r="G441" s="517"/>
      <c r="H441" s="517"/>
      <c r="I441" s="517"/>
      <c r="J441" s="517"/>
      <c r="K441" s="564"/>
    </row>
    <row r="442" spans="1:11" x14ac:dyDescent="0.2">
      <c r="A442" s="517"/>
      <c r="B442" s="517"/>
      <c r="C442" s="517"/>
      <c r="D442" s="517"/>
      <c r="E442" s="517"/>
      <c r="F442" s="517"/>
      <c r="G442" s="517"/>
      <c r="H442" s="517"/>
      <c r="I442" s="517"/>
      <c r="J442" s="517"/>
      <c r="K442" s="564"/>
    </row>
    <row r="443" spans="1:11" x14ac:dyDescent="0.2">
      <c r="A443" s="517"/>
      <c r="B443" s="517"/>
      <c r="C443" s="517"/>
      <c r="D443" s="517"/>
      <c r="E443" s="517"/>
      <c r="F443" s="517"/>
      <c r="G443" s="517"/>
      <c r="H443" s="517"/>
      <c r="I443" s="517"/>
      <c r="J443" s="517"/>
      <c r="K443" s="564"/>
    </row>
    <row r="444" spans="1:11" x14ac:dyDescent="0.2">
      <c r="A444" s="517"/>
      <c r="B444" s="517"/>
      <c r="C444" s="517"/>
      <c r="D444" s="517"/>
      <c r="E444" s="517"/>
      <c r="F444" s="517"/>
      <c r="G444" s="517"/>
      <c r="H444" s="517"/>
      <c r="I444" s="517"/>
      <c r="J444" s="517"/>
      <c r="K444" s="564"/>
    </row>
    <row r="445" spans="1:11" x14ac:dyDescent="0.2">
      <c r="A445" s="517"/>
      <c r="B445" s="517"/>
      <c r="C445" s="517"/>
      <c r="D445" s="517"/>
      <c r="E445" s="517"/>
      <c r="F445" s="517"/>
      <c r="G445" s="517"/>
      <c r="H445" s="517"/>
      <c r="I445" s="517"/>
      <c r="J445" s="517"/>
      <c r="K445" s="564"/>
    </row>
    <row r="446" spans="1:11" x14ac:dyDescent="0.2">
      <c r="A446" s="517"/>
      <c r="B446" s="517"/>
      <c r="C446" s="517"/>
      <c r="D446" s="517"/>
      <c r="E446" s="517"/>
      <c r="F446" s="517"/>
      <c r="G446" s="517"/>
      <c r="H446" s="517"/>
      <c r="I446" s="517"/>
      <c r="J446" s="517"/>
      <c r="K446" s="564"/>
    </row>
    <row r="447" spans="1:11" x14ac:dyDescent="0.2">
      <c r="A447" s="517"/>
      <c r="B447" s="517"/>
      <c r="C447" s="517"/>
      <c r="D447" s="517"/>
      <c r="E447" s="517"/>
      <c r="F447" s="517"/>
      <c r="G447" s="517"/>
      <c r="H447" s="517"/>
      <c r="I447" s="517"/>
      <c r="J447" s="517"/>
      <c r="K447" s="564"/>
    </row>
    <row r="448" spans="1:11" x14ac:dyDescent="0.2">
      <c r="A448" s="517"/>
      <c r="B448" s="517"/>
      <c r="C448" s="517"/>
      <c r="D448" s="517"/>
      <c r="E448" s="517"/>
      <c r="F448" s="517"/>
      <c r="G448" s="517"/>
      <c r="H448" s="517"/>
      <c r="I448" s="517"/>
      <c r="J448" s="517"/>
      <c r="K448" s="564"/>
    </row>
    <row r="449" spans="1:11" x14ac:dyDescent="0.2">
      <c r="A449" s="517"/>
      <c r="B449" s="517"/>
      <c r="C449" s="517"/>
      <c r="D449" s="517"/>
      <c r="E449" s="517"/>
      <c r="F449" s="517"/>
      <c r="G449" s="517"/>
      <c r="H449" s="517"/>
      <c r="I449" s="517"/>
      <c r="J449" s="517"/>
      <c r="K449" s="564"/>
    </row>
    <row r="450" spans="1:11" x14ac:dyDescent="0.2">
      <c r="A450" s="517"/>
      <c r="B450" s="517"/>
      <c r="C450" s="517"/>
      <c r="D450" s="517"/>
      <c r="E450" s="517"/>
      <c r="F450" s="517"/>
      <c r="G450" s="517"/>
      <c r="H450" s="517"/>
      <c r="I450" s="517"/>
      <c r="J450" s="517"/>
      <c r="K450" s="564"/>
    </row>
    <row r="451" spans="1:11" x14ac:dyDescent="0.2">
      <c r="A451" s="517"/>
      <c r="B451" s="517"/>
      <c r="C451" s="517"/>
      <c r="D451" s="517"/>
      <c r="E451" s="517"/>
      <c r="F451" s="517"/>
      <c r="G451" s="517"/>
      <c r="H451" s="517"/>
      <c r="I451" s="517"/>
      <c r="J451" s="517"/>
      <c r="K451" s="564"/>
    </row>
    <row r="452" spans="1:11" x14ac:dyDescent="0.2">
      <c r="A452" s="517"/>
      <c r="B452" s="517"/>
      <c r="C452" s="517"/>
      <c r="D452" s="517"/>
      <c r="E452" s="517"/>
      <c r="F452" s="517"/>
      <c r="G452" s="517"/>
      <c r="H452" s="517"/>
      <c r="I452" s="517"/>
      <c r="J452" s="517"/>
      <c r="K452" s="564"/>
    </row>
    <row r="453" spans="1:11" x14ac:dyDescent="0.2">
      <c r="A453" s="517"/>
      <c r="B453" s="517"/>
      <c r="C453" s="517"/>
      <c r="D453" s="517"/>
      <c r="E453" s="517"/>
      <c r="F453" s="517"/>
      <c r="G453" s="517"/>
      <c r="H453" s="517"/>
      <c r="I453" s="517"/>
      <c r="J453" s="517"/>
      <c r="K453" s="564"/>
    </row>
    <row r="454" spans="1:11" x14ac:dyDescent="0.2">
      <c r="A454" s="517"/>
      <c r="B454" s="517"/>
      <c r="C454" s="517"/>
      <c r="D454" s="517"/>
      <c r="E454" s="517"/>
      <c r="F454" s="517"/>
      <c r="G454" s="517"/>
      <c r="H454" s="517"/>
      <c r="I454" s="517"/>
      <c r="J454" s="517"/>
      <c r="K454" s="564"/>
    </row>
    <row r="455" spans="1:11" x14ac:dyDescent="0.2">
      <c r="A455" s="517"/>
      <c r="B455" s="517"/>
      <c r="C455" s="517"/>
      <c r="D455" s="517"/>
      <c r="E455" s="517"/>
      <c r="F455" s="517"/>
      <c r="G455" s="517"/>
      <c r="H455" s="517"/>
      <c r="I455" s="517"/>
      <c r="J455" s="517"/>
      <c r="K455" s="564"/>
    </row>
    <row r="456" spans="1:11" x14ac:dyDescent="0.2">
      <c r="A456" s="517"/>
      <c r="B456" s="517"/>
      <c r="C456" s="517"/>
      <c r="D456" s="517"/>
      <c r="E456" s="517"/>
      <c r="F456" s="517"/>
      <c r="G456" s="517"/>
      <c r="H456" s="517"/>
      <c r="I456" s="517"/>
      <c r="J456" s="517"/>
      <c r="K456" s="564"/>
    </row>
    <row r="457" spans="1:11" x14ac:dyDescent="0.2">
      <c r="A457" s="517"/>
      <c r="B457" s="517"/>
      <c r="C457" s="517"/>
      <c r="D457" s="517"/>
      <c r="E457" s="517"/>
      <c r="F457" s="517"/>
      <c r="G457" s="517"/>
      <c r="H457" s="517"/>
      <c r="I457" s="517"/>
      <c r="J457" s="517"/>
      <c r="K457" s="564"/>
    </row>
    <row r="458" spans="1:11" x14ac:dyDescent="0.2">
      <c r="A458" s="517"/>
      <c r="B458" s="517"/>
      <c r="C458" s="517"/>
      <c r="D458" s="517"/>
      <c r="E458" s="517"/>
      <c r="F458" s="517"/>
      <c r="G458" s="517"/>
      <c r="H458" s="517"/>
      <c r="I458" s="517"/>
      <c r="J458" s="517"/>
      <c r="K458" s="564"/>
    </row>
    <row r="459" spans="1:11" x14ac:dyDescent="0.2">
      <c r="A459" s="517"/>
      <c r="B459" s="517"/>
      <c r="C459" s="517"/>
      <c r="D459" s="517"/>
      <c r="E459" s="517"/>
      <c r="F459" s="517"/>
      <c r="G459" s="517"/>
      <c r="H459" s="517"/>
      <c r="I459" s="517"/>
      <c r="J459" s="517"/>
      <c r="K459" s="564"/>
    </row>
    <row r="460" spans="1:11" x14ac:dyDescent="0.2">
      <c r="A460" s="517"/>
      <c r="B460" s="517"/>
      <c r="C460" s="517"/>
      <c r="D460" s="517"/>
      <c r="E460" s="517"/>
      <c r="F460" s="517"/>
      <c r="G460" s="517"/>
      <c r="H460" s="517"/>
      <c r="I460" s="517"/>
      <c r="J460" s="517"/>
      <c r="K460" s="564"/>
    </row>
    <row r="461" spans="1:11" x14ac:dyDescent="0.2">
      <c r="A461" s="517"/>
      <c r="B461" s="517"/>
      <c r="C461" s="517"/>
      <c r="D461" s="517"/>
      <c r="E461" s="517"/>
      <c r="F461" s="517"/>
      <c r="G461" s="517"/>
      <c r="H461" s="517"/>
      <c r="I461" s="517"/>
      <c r="J461" s="517"/>
      <c r="K461" s="564"/>
    </row>
    <row r="462" spans="1:11" x14ac:dyDescent="0.2">
      <c r="A462" s="517"/>
      <c r="B462" s="517"/>
      <c r="C462" s="517"/>
      <c r="D462" s="517"/>
      <c r="E462" s="517"/>
      <c r="F462" s="517"/>
      <c r="G462" s="517"/>
      <c r="H462" s="517"/>
      <c r="I462" s="517"/>
      <c r="J462" s="517"/>
      <c r="K462" s="564"/>
    </row>
    <row r="463" spans="1:11" x14ac:dyDescent="0.2">
      <c r="A463" s="517"/>
      <c r="B463" s="517"/>
      <c r="C463" s="517"/>
      <c r="D463" s="517"/>
      <c r="E463" s="517"/>
      <c r="F463" s="517"/>
      <c r="G463" s="517"/>
      <c r="H463" s="517"/>
      <c r="I463" s="517"/>
      <c r="J463" s="517"/>
      <c r="K463" s="564"/>
    </row>
    <row r="464" spans="1:11" x14ac:dyDescent="0.2">
      <c r="A464" s="517"/>
      <c r="B464" s="517"/>
      <c r="C464" s="517"/>
      <c r="D464" s="517"/>
      <c r="E464" s="517"/>
      <c r="F464" s="517"/>
      <c r="G464" s="517"/>
      <c r="H464" s="517"/>
      <c r="I464" s="517"/>
      <c r="J464" s="517"/>
      <c r="K464" s="564"/>
    </row>
    <row r="465" spans="1:11" x14ac:dyDescent="0.2">
      <c r="A465" s="517"/>
      <c r="B465" s="517"/>
      <c r="C465" s="517"/>
      <c r="D465" s="517"/>
      <c r="E465" s="517"/>
      <c r="F465" s="517"/>
      <c r="G465" s="517"/>
      <c r="H465" s="517"/>
      <c r="I465" s="517"/>
      <c r="J465" s="517"/>
      <c r="K465" s="564"/>
    </row>
    <row r="466" spans="1:11" x14ac:dyDescent="0.2">
      <c r="A466" s="517"/>
      <c r="B466" s="517"/>
      <c r="C466" s="517"/>
      <c r="D466" s="517"/>
      <c r="E466" s="517"/>
      <c r="F466" s="517"/>
      <c r="G466" s="517"/>
      <c r="H466" s="517"/>
      <c r="I466" s="517"/>
      <c r="J466" s="517"/>
      <c r="K466" s="564"/>
    </row>
    <row r="467" spans="1:11" x14ac:dyDescent="0.2">
      <c r="A467" s="517"/>
      <c r="B467" s="517"/>
      <c r="C467" s="517"/>
      <c r="D467" s="517"/>
      <c r="E467" s="517"/>
      <c r="F467" s="517"/>
      <c r="G467" s="517"/>
      <c r="H467" s="517"/>
      <c r="I467" s="517"/>
      <c r="J467" s="517"/>
      <c r="K467" s="564"/>
    </row>
    <row r="468" spans="1:11" x14ac:dyDescent="0.2">
      <c r="A468" s="517"/>
      <c r="B468" s="517"/>
      <c r="C468" s="517"/>
      <c r="D468" s="517"/>
      <c r="E468" s="517"/>
      <c r="F468" s="517"/>
      <c r="G468" s="517"/>
      <c r="H468" s="517"/>
      <c r="I468" s="517"/>
      <c r="J468" s="517"/>
      <c r="K468" s="564"/>
    </row>
    <row r="469" spans="1:11" x14ac:dyDescent="0.2">
      <c r="A469" s="517"/>
      <c r="B469" s="517"/>
      <c r="C469" s="517"/>
      <c r="D469" s="517"/>
      <c r="E469" s="517"/>
      <c r="F469" s="517"/>
      <c r="G469" s="517"/>
      <c r="H469" s="517"/>
      <c r="I469" s="517"/>
      <c r="J469" s="517"/>
      <c r="K469" s="564"/>
    </row>
    <row r="470" spans="1:11" x14ac:dyDescent="0.2">
      <c r="A470" s="517"/>
      <c r="B470" s="517"/>
      <c r="C470" s="517"/>
      <c r="D470" s="517"/>
      <c r="E470" s="517"/>
      <c r="F470" s="517"/>
      <c r="G470" s="517"/>
      <c r="H470" s="517"/>
      <c r="I470" s="517"/>
      <c r="J470" s="517"/>
      <c r="K470" s="564"/>
    </row>
    <row r="471" spans="1:11" x14ac:dyDescent="0.2">
      <c r="A471" s="517"/>
      <c r="B471" s="517"/>
      <c r="C471" s="517"/>
      <c r="D471" s="517"/>
      <c r="E471" s="517"/>
      <c r="F471" s="517"/>
      <c r="G471" s="517"/>
      <c r="H471" s="517"/>
      <c r="I471" s="517"/>
      <c r="J471" s="517"/>
      <c r="K471" s="564"/>
    </row>
    <row r="472" spans="1:11" x14ac:dyDescent="0.2">
      <c r="A472" s="517"/>
      <c r="B472" s="517"/>
      <c r="C472" s="517"/>
      <c r="D472" s="517"/>
      <c r="E472" s="517"/>
      <c r="F472" s="517"/>
      <c r="G472" s="517"/>
      <c r="H472" s="517"/>
      <c r="I472" s="517"/>
      <c r="J472" s="517"/>
      <c r="K472" s="564"/>
    </row>
    <row r="473" spans="1:11" x14ac:dyDescent="0.2">
      <c r="A473" s="517"/>
      <c r="B473" s="517"/>
      <c r="C473" s="517"/>
      <c r="D473" s="517"/>
      <c r="E473" s="517"/>
      <c r="F473" s="517"/>
      <c r="G473" s="517"/>
      <c r="H473" s="517"/>
      <c r="I473" s="517"/>
      <c r="J473" s="517"/>
      <c r="K473" s="564"/>
    </row>
    <row r="474" spans="1:11" x14ac:dyDescent="0.2">
      <c r="A474" s="517"/>
      <c r="B474" s="517"/>
      <c r="C474" s="517"/>
      <c r="D474" s="517"/>
      <c r="E474" s="517"/>
      <c r="F474" s="517"/>
      <c r="G474" s="517"/>
      <c r="H474" s="517"/>
      <c r="I474" s="517"/>
      <c r="J474" s="517"/>
      <c r="K474" s="564"/>
    </row>
    <row r="475" spans="1:11" x14ac:dyDescent="0.2">
      <c r="A475" s="517"/>
      <c r="B475" s="517"/>
      <c r="C475" s="517"/>
      <c r="D475" s="517"/>
      <c r="E475" s="517"/>
      <c r="F475" s="517"/>
      <c r="G475" s="517"/>
      <c r="H475" s="517"/>
      <c r="I475" s="517"/>
      <c r="J475" s="517"/>
      <c r="K475" s="564"/>
    </row>
    <row r="476" spans="1:11" x14ac:dyDescent="0.2">
      <c r="A476" s="517"/>
      <c r="B476" s="517"/>
      <c r="C476" s="517"/>
      <c r="D476" s="517"/>
      <c r="E476" s="517"/>
      <c r="F476" s="517"/>
      <c r="G476" s="517"/>
      <c r="H476" s="517"/>
      <c r="I476" s="517"/>
      <c r="J476" s="517"/>
      <c r="K476" s="564"/>
    </row>
    <row r="477" spans="1:11" x14ac:dyDescent="0.2">
      <c r="A477" s="517"/>
      <c r="B477" s="517"/>
      <c r="C477" s="517"/>
      <c r="D477" s="517"/>
      <c r="E477" s="517"/>
      <c r="F477" s="517"/>
      <c r="G477" s="517"/>
      <c r="H477" s="517"/>
      <c r="I477" s="517"/>
      <c r="J477" s="517"/>
      <c r="K477" s="564"/>
    </row>
    <row r="478" spans="1:11" x14ac:dyDescent="0.2">
      <c r="A478" s="517"/>
      <c r="B478" s="517"/>
      <c r="C478" s="517"/>
      <c r="D478" s="517"/>
      <c r="E478" s="517"/>
      <c r="F478" s="517"/>
      <c r="G478" s="517"/>
      <c r="H478" s="517"/>
      <c r="I478" s="517"/>
      <c r="J478" s="517"/>
      <c r="K478" s="564"/>
    </row>
    <row r="479" spans="1:11" x14ac:dyDescent="0.2">
      <c r="A479" s="517"/>
      <c r="B479" s="517"/>
      <c r="C479" s="517"/>
      <c r="D479" s="517"/>
      <c r="E479" s="517"/>
      <c r="F479" s="517"/>
      <c r="G479" s="517"/>
      <c r="H479" s="517"/>
      <c r="I479" s="517"/>
      <c r="J479" s="517"/>
      <c r="K479" s="564"/>
    </row>
    <row r="480" spans="1:11" x14ac:dyDescent="0.2">
      <c r="A480" s="517"/>
      <c r="B480" s="517"/>
      <c r="C480" s="517"/>
      <c r="D480" s="517"/>
      <c r="E480" s="517"/>
      <c r="F480" s="517"/>
      <c r="G480" s="517"/>
      <c r="H480" s="517"/>
      <c r="I480" s="517"/>
      <c r="J480" s="517"/>
      <c r="K480" s="564"/>
    </row>
    <row r="481" spans="1:11" x14ac:dyDescent="0.2">
      <c r="A481" s="517"/>
      <c r="B481" s="517"/>
      <c r="C481" s="517"/>
      <c r="D481" s="517"/>
      <c r="E481" s="517"/>
      <c r="F481" s="517"/>
      <c r="G481" s="517"/>
      <c r="H481" s="517"/>
      <c r="I481" s="517"/>
      <c r="J481" s="517"/>
      <c r="K481" s="564"/>
    </row>
    <row r="482" spans="1:11" x14ac:dyDescent="0.2">
      <c r="A482" s="517"/>
      <c r="B482" s="517"/>
      <c r="C482" s="517"/>
      <c r="D482" s="517"/>
      <c r="E482" s="517"/>
      <c r="F482" s="517"/>
      <c r="G482" s="517"/>
      <c r="H482" s="517"/>
      <c r="I482" s="517"/>
      <c r="J482" s="517"/>
      <c r="K482" s="564"/>
    </row>
    <row r="483" spans="1:11" x14ac:dyDescent="0.2">
      <c r="A483" s="517"/>
      <c r="B483" s="517"/>
      <c r="C483" s="517"/>
      <c r="D483" s="517"/>
      <c r="E483" s="517"/>
      <c r="F483" s="517"/>
      <c r="G483" s="517"/>
      <c r="H483" s="517"/>
      <c r="I483" s="517"/>
      <c r="J483" s="517"/>
      <c r="K483" s="564"/>
    </row>
    <row r="484" spans="1:11" x14ac:dyDescent="0.2">
      <c r="A484" s="517"/>
      <c r="B484" s="517"/>
      <c r="C484" s="517"/>
      <c r="D484" s="517"/>
      <c r="E484" s="517"/>
      <c r="F484" s="517"/>
      <c r="G484" s="517"/>
      <c r="H484" s="517"/>
      <c r="I484" s="517"/>
      <c r="J484" s="517"/>
      <c r="K484" s="564"/>
    </row>
    <row r="485" spans="1:11" x14ac:dyDescent="0.2">
      <c r="A485" s="517"/>
      <c r="B485" s="517"/>
      <c r="C485" s="517"/>
      <c r="D485" s="517"/>
      <c r="E485" s="517"/>
      <c r="F485" s="517"/>
      <c r="G485" s="517"/>
      <c r="H485" s="517"/>
      <c r="I485" s="517"/>
      <c r="J485" s="517"/>
      <c r="K485" s="564"/>
    </row>
    <row r="486" spans="1:11" x14ac:dyDescent="0.2">
      <c r="A486" s="517"/>
      <c r="B486" s="517"/>
      <c r="C486" s="517"/>
      <c r="D486" s="517"/>
      <c r="E486" s="517"/>
      <c r="F486" s="517"/>
      <c r="G486" s="517"/>
      <c r="H486" s="517"/>
      <c r="I486" s="517"/>
      <c r="J486" s="517"/>
      <c r="K486" s="564"/>
    </row>
    <row r="487" spans="1:11" x14ac:dyDescent="0.2">
      <c r="A487" s="517"/>
      <c r="B487" s="517"/>
      <c r="C487" s="517"/>
      <c r="D487" s="517"/>
      <c r="E487" s="517"/>
      <c r="F487" s="517"/>
      <c r="G487" s="517"/>
      <c r="H487" s="517"/>
      <c r="I487" s="517"/>
      <c r="J487" s="517"/>
      <c r="K487" s="564"/>
    </row>
    <row r="488" spans="1:11" x14ac:dyDescent="0.2">
      <c r="A488" s="517"/>
      <c r="B488" s="517"/>
      <c r="C488" s="517"/>
      <c r="D488" s="517"/>
      <c r="E488" s="517"/>
      <c r="F488" s="517"/>
      <c r="G488" s="517"/>
      <c r="H488" s="517"/>
      <c r="I488" s="517"/>
      <c r="J488" s="517"/>
      <c r="K488" s="564"/>
    </row>
    <row r="489" spans="1:11" x14ac:dyDescent="0.2">
      <c r="A489" s="517"/>
      <c r="B489" s="517"/>
      <c r="C489" s="517"/>
      <c r="D489" s="517"/>
      <c r="E489" s="517"/>
      <c r="F489" s="517"/>
      <c r="G489" s="517"/>
      <c r="H489" s="517"/>
      <c r="I489" s="517"/>
      <c r="J489" s="517"/>
      <c r="K489" s="564"/>
    </row>
    <row r="490" spans="1:11" x14ac:dyDescent="0.2">
      <c r="A490" s="517"/>
      <c r="B490" s="517"/>
      <c r="C490" s="517"/>
      <c r="D490" s="517"/>
      <c r="E490" s="517"/>
      <c r="F490" s="517"/>
      <c r="G490" s="517"/>
      <c r="H490" s="517"/>
      <c r="I490" s="517"/>
      <c r="J490" s="517"/>
      <c r="K490" s="564"/>
    </row>
    <row r="491" spans="1:11" x14ac:dyDescent="0.2">
      <c r="A491" s="517"/>
      <c r="B491" s="517"/>
      <c r="C491" s="517"/>
      <c r="D491" s="517"/>
      <c r="E491" s="517"/>
      <c r="F491" s="517"/>
      <c r="G491" s="517"/>
      <c r="H491" s="517"/>
      <c r="I491" s="517"/>
      <c r="J491" s="517"/>
      <c r="K491" s="564"/>
    </row>
    <row r="492" spans="1:11" x14ac:dyDescent="0.2">
      <c r="A492" s="517"/>
      <c r="B492" s="517"/>
      <c r="C492" s="517"/>
      <c r="D492" s="517"/>
      <c r="E492" s="517"/>
      <c r="F492" s="517"/>
      <c r="G492" s="517"/>
      <c r="H492" s="517"/>
      <c r="I492" s="517"/>
      <c r="J492" s="517"/>
      <c r="K492" s="564"/>
    </row>
    <row r="493" spans="1:11" x14ac:dyDescent="0.2">
      <c r="A493" s="517"/>
      <c r="B493" s="517"/>
      <c r="C493" s="517"/>
      <c r="D493" s="517"/>
      <c r="E493" s="517"/>
      <c r="F493" s="517"/>
      <c r="G493" s="517"/>
      <c r="H493" s="517"/>
      <c r="I493" s="517"/>
      <c r="J493" s="517"/>
      <c r="K493" s="564"/>
    </row>
    <row r="494" spans="1:11" x14ac:dyDescent="0.2">
      <c r="A494" s="517"/>
      <c r="B494" s="517"/>
      <c r="C494" s="517"/>
      <c r="D494" s="517"/>
      <c r="E494" s="517"/>
      <c r="F494" s="517"/>
      <c r="G494" s="517"/>
      <c r="H494" s="517"/>
      <c r="I494" s="517"/>
      <c r="J494" s="517"/>
      <c r="K494" s="564"/>
    </row>
    <row r="495" spans="1:11" x14ac:dyDescent="0.2">
      <c r="A495" s="517"/>
      <c r="B495" s="517"/>
      <c r="C495" s="517"/>
      <c r="D495" s="517"/>
      <c r="E495" s="517"/>
      <c r="F495" s="517"/>
      <c r="G495" s="517"/>
      <c r="H495" s="517"/>
      <c r="I495" s="517"/>
      <c r="J495" s="517"/>
      <c r="K495" s="564"/>
    </row>
    <row r="496" spans="1:11" x14ac:dyDescent="0.2">
      <c r="A496" s="517"/>
      <c r="B496" s="517"/>
      <c r="C496" s="517"/>
      <c r="D496" s="517"/>
      <c r="E496" s="517"/>
      <c r="F496" s="517"/>
      <c r="G496" s="517"/>
      <c r="H496" s="517"/>
      <c r="I496" s="517"/>
      <c r="J496" s="517"/>
      <c r="K496" s="564"/>
    </row>
    <row r="497" spans="1:11" x14ac:dyDescent="0.2">
      <c r="A497" s="517"/>
      <c r="B497" s="517"/>
      <c r="C497" s="517"/>
      <c r="D497" s="517"/>
      <c r="E497" s="517"/>
      <c r="F497" s="517"/>
      <c r="G497" s="517"/>
      <c r="H497" s="517"/>
      <c r="I497" s="517"/>
      <c r="J497" s="517"/>
      <c r="K497" s="564"/>
    </row>
    <row r="498" spans="1:11" x14ac:dyDescent="0.2">
      <c r="A498" s="517"/>
      <c r="B498" s="517"/>
      <c r="C498" s="517"/>
      <c r="D498" s="517"/>
      <c r="E498" s="517"/>
      <c r="F498" s="517"/>
      <c r="G498" s="517"/>
      <c r="H498" s="517"/>
      <c r="I498" s="517"/>
      <c r="J498" s="517"/>
      <c r="K498" s="564"/>
    </row>
    <row r="499" spans="1:11" x14ac:dyDescent="0.2">
      <c r="A499" s="517"/>
      <c r="B499" s="517"/>
      <c r="C499" s="517"/>
      <c r="D499" s="517"/>
      <c r="E499" s="517"/>
      <c r="F499" s="517"/>
      <c r="G499" s="517"/>
      <c r="H499" s="517"/>
      <c r="I499" s="517"/>
      <c r="J499" s="517"/>
      <c r="K499" s="564"/>
    </row>
    <row r="500" spans="1:11" x14ac:dyDescent="0.2">
      <c r="A500" s="517"/>
      <c r="B500" s="517"/>
      <c r="C500" s="517"/>
      <c r="D500" s="517"/>
      <c r="E500" s="517"/>
      <c r="F500" s="517"/>
      <c r="G500" s="517"/>
      <c r="H500" s="517"/>
      <c r="I500" s="517"/>
      <c r="J500" s="517"/>
      <c r="K500" s="564"/>
    </row>
    <row r="501" spans="1:11" x14ac:dyDescent="0.2">
      <c r="A501" s="517"/>
      <c r="B501" s="517"/>
      <c r="C501" s="517"/>
      <c r="D501" s="517"/>
      <c r="E501" s="517"/>
      <c r="F501" s="517"/>
      <c r="G501" s="517"/>
      <c r="H501" s="517"/>
      <c r="I501" s="517"/>
      <c r="J501" s="517"/>
      <c r="K501" s="564"/>
    </row>
    <row r="502" spans="1:11" x14ac:dyDescent="0.2">
      <c r="A502" s="517"/>
      <c r="B502" s="517"/>
      <c r="C502" s="517"/>
      <c r="D502" s="517"/>
      <c r="E502" s="517"/>
      <c r="F502" s="517"/>
      <c r="G502" s="517"/>
      <c r="H502" s="517"/>
      <c r="I502" s="517"/>
      <c r="J502" s="517"/>
      <c r="K502" s="564"/>
    </row>
    <row r="503" spans="1:11" x14ac:dyDescent="0.2">
      <c r="A503" s="517"/>
      <c r="B503" s="517"/>
      <c r="C503" s="517"/>
      <c r="D503" s="517"/>
      <c r="E503" s="517"/>
      <c r="F503" s="517"/>
      <c r="G503" s="517"/>
      <c r="H503" s="517"/>
      <c r="I503" s="517"/>
      <c r="J503" s="517"/>
      <c r="K503" s="564"/>
    </row>
    <row r="504" spans="1:11" x14ac:dyDescent="0.2">
      <c r="A504" s="517"/>
      <c r="B504" s="517"/>
      <c r="C504" s="517"/>
      <c r="D504" s="517"/>
      <c r="E504" s="517"/>
      <c r="F504" s="517"/>
      <c r="G504" s="517"/>
      <c r="H504" s="517"/>
      <c r="I504" s="517"/>
      <c r="J504" s="517"/>
      <c r="K504" s="564"/>
    </row>
    <row r="505" spans="1:11" x14ac:dyDescent="0.2">
      <c r="A505" s="517"/>
      <c r="B505" s="517"/>
      <c r="C505" s="517"/>
      <c r="D505" s="517"/>
      <c r="E505" s="517"/>
      <c r="F505" s="517"/>
      <c r="G505" s="517"/>
      <c r="H505" s="517"/>
      <c r="I505" s="517"/>
      <c r="J505" s="517"/>
      <c r="K505" s="564"/>
    </row>
    <row r="506" spans="1:11" x14ac:dyDescent="0.2">
      <c r="A506" s="517"/>
      <c r="B506" s="517"/>
      <c r="C506" s="517"/>
      <c r="D506" s="517"/>
      <c r="E506" s="517"/>
      <c r="F506" s="517"/>
      <c r="G506" s="517"/>
      <c r="H506" s="517"/>
      <c r="I506" s="517"/>
      <c r="J506" s="517"/>
      <c r="K506" s="564"/>
    </row>
    <row r="507" spans="1:11" x14ac:dyDescent="0.2">
      <c r="A507" s="517"/>
      <c r="B507" s="517"/>
      <c r="C507" s="517"/>
      <c r="D507" s="517"/>
      <c r="E507" s="517"/>
      <c r="F507" s="517"/>
      <c r="G507" s="517"/>
      <c r="H507" s="517"/>
      <c r="I507" s="517"/>
      <c r="J507" s="517"/>
      <c r="K507" s="564"/>
    </row>
    <row r="508" spans="1:11" x14ac:dyDescent="0.2">
      <c r="A508" s="517"/>
      <c r="B508" s="517"/>
      <c r="C508" s="517"/>
      <c r="D508" s="517"/>
      <c r="E508" s="517"/>
      <c r="F508" s="517"/>
      <c r="G508" s="517"/>
      <c r="H508" s="517"/>
      <c r="I508" s="517"/>
      <c r="J508" s="517"/>
      <c r="K508" s="564"/>
    </row>
    <row r="509" spans="1:11" x14ac:dyDescent="0.2">
      <c r="A509" s="517"/>
      <c r="B509" s="517"/>
      <c r="C509" s="517"/>
      <c r="D509" s="517"/>
      <c r="E509" s="517"/>
      <c r="F509" s="517"/>
      <c r="G509" s="517"/>
      <c r="H509" s="517"/>
      <c r="I509" s="517"/>
      <c r="J509" s="517"/>
      <c r="K509" s="564"/>
    </row>
    <row r="510" spans="1:11" x14ac:dyDescent="0.2">
      <c r="A510" s="517"/>
      <c r="B510" s="517"/>
      <c r="C510" s="517"/>
      <c r="D510" s="517"/>
      <c r="E510" s="517"/>
      <c r="F510" s="517"/>
      <c r="G510" s="517"/>
      <c r="H510" s="517"/>
      <c r="I510" s="517"/>
      <c r="J510" s="517"/>
      <c r="K510" s="564"/>
    </row>
    <row r="511" spans="1:11" x14ac:dyDescent="0.2">
      <c r="A511" s="517"/>
      <c r="B511" s="517"/>
      <c r="C511" s="517"/>
      <c r="D511" s="517"/>
      <c r="E511" s="517"/>
      <c r="F511" s="517"/>
      <c r="G511" s="517"/>
      <c r="H511" s="517"/>
      <c r="I511" s="517"/>
      <c r="J511" s="517"/>
      <c r="K511" s="564"/>
    </row>
    <row r="512" spans="1:11" x14ac:dyDescent="0.2">
      <c r="A512" s="517"/>
      <c r="B512" s="517"/>
      <c r="C512" s="517"/>
      <c r="D512" s="517"/>
      <c r="E512" s="517"/>
      <c r="F512" s="517"/>
      <c r="G512" s="517"/>
      <c r="H512" s="517"/>
      <c r="I512" s="517"/>
      <c r="J512" s="517"/>
      <c r="K512" s="564"/>
    </row>
    <row r="513" spans="1:11" x14ac:dyDescent="0.2">
      <c r="A513" s="517"/>
      <c r="B513" s="517"/>
      <c r="C513" s="517"/>
      <c r="D513" s="517"/>
      <c r="E513" s="517"/>
      <c r="F513" s="517"/>
      <c r="G513" s="517"/>
      <c r="H513" s="517"/>
      <c r="I513" s="517"/>
      <c r="J513" s="517"/>
      <c r="K513" s="564"/>
    </row>
    <row r="514" spans="1:11" x14ac:dyDescent="0.2">
      <c r="A514" s="517"/>
      <c r="B514" s="517"/>
      <c r="C514" s="517"/>
      <c r="D514" s="517"/>
      <c r="E514" s="517"/>
      <c r="F514" s="517"/>
      <c r="G514" s="517"/>
      <c r="H514" s="517"/>
      <c r="I514" s="517"/>
      <c r="J514" s="517"/>
      <c r="K514" s="564"/>
    </row>
    <row r="515" spans="1:11" x14ac:dyDescent="0.2">
      <c r="A515" s="517"/>
      <c r="B515" s="517"/>
      <c r="C515" s="517"/>
      <c r="D515" s="517"/>
      <c r="E515" s="517"/>
      <c r="F515" s="517"/>
      <c r="G515" s="517"/>
      <c r="H515" s="517"/>
      <c r="I515" s="517"/>
      <c r="J515" s="517"/>
      <c r="K515" s="564"/>
    </row>
    <row r="516" spans="1:11" x14ac:dyDescent="0.2">
      <c r="A516" s="517"/>
      <c r="B516" s="517"/>
      <c r="C516" s="517"/>
      <c r="D516" s="517"/>
      <c r="E516" s="517"/>
      <c r="F516" s="517"/>
      <c r="G516" s="517"/>
      <c r="H516" s="517"/>
      <c r="I516" s="517"/>
      <c r="J516" s="517"/>
      <c r="K516" s="564"/>
    </row>
    <row r="517" spans="1:11" x14ac:dyDescent="0.2">
      <c r="A517" s="517"/>
      <c r="B517" s="517"/>
      <c r="C517" s="517"/>
      <c r="D517" s="517"/>
      <c r="E517" s="517"/>
      <c r="F517" s="517"/>
      <c r="G517" s="517"/>
      <c r="H517" s="517"/>
      <c r="I517" s="517"/>
      <c r="J517" s="517"/>
      <c r="K517" s="564"/>
    </row>
    <row r="518" spans="1:11" x14ac:dyDescent="0.2">
      <c r="A518" s="517"/>
      <c r="B518" s="517"/>
      <c r="C518" s="517"/>
      <c r="D518" s="517"/>
      <c r="E518" s="517"/>
      <c r="F518" s="517"/>
      <c r="G518" s="517"/>
      <c r="H518" s="517"/>
      <c r="I518" s="517"/>
      <c r="J518" s="517"/>
      <c r="K518" s="564"/>
    </row>
    <row r="519" spans="1:11" x14ac:dyDescent="0.2">
      <c r="A519" s="517"/>
      <c r="B519" s="517"/>
      <c r="C519" s="517"/>
      <c r="D519" s="517"/>
      <c r="E519" s="517"/>
      <c r="F519" s="517"/>
      <c r="G519" s="517"/>
      <c r="H519" s="517"/>
      <c r="I519" s="517"/>
      <c r="J519" s="517"/>
      <c r="K519" s="564"/>
    </row>
    <row r="520" spans="1:11" x14ac:dyDescent="0.2">
      <c r="A520" s="517"/>
      <c r="B520" s="517"/>
      <c r="C520" s="517"/>
      <c r="D520" s="517"/>
      <c r="E520" s="517"/>
      <c r="F520" s="517"/>
      <c r="G520" s="517"/>
      <c r="H520" s="517"/>
      <c r="I520" s="517"/>
      <c r="J520" s="517"/>
      <c r="K520" s="564"/>
    </row>
    <row r="521" spans="1:11" x14ac:dyDescent="0.2">
      <c r="A521" s="517"/>
      <c r="B521" s="517"/>
      <c r="C521" s="517"/>
      <c r="D521" s="517"/>
      <c r="E521" s="517"/>
      <c r="F521" s="517"/>
      <c r="G521" s="517"/>
      <c r="H521" s="517"/>
      <c r="I521" s="517"/>
      <c r="J521" s="517"/>
      <c r="K521" s="564"/>
    </row>
    <row r="522" spans="1:11" x14ac:dyDescent="0.2">
      <c r="A522" s="517"/>
      <c r="B522" s="517"/>
      <c r="C522" s="517"/>
      <c r="D522" s="517"/>
      <c r="E522" s="517"/>
      <c r="F522" s="517"/>
      <c r="G522" s="517"/>
      <c r="H522" s="517"/>
      <c r="I522" s="517"/>
      <c r="J522" s="517"/>
      <c r="K522" s="564"/>
    </row>
    <row r="523" spans="1:11" x14ac:dyDescent="0.2">
      <c r="A523" s="517"/>
      <c r="B523" s="517"/>
      <c r="C523" s="517"/>
      <c r="D523" s="517"/>
      <c r="E523" s="517"/>
      <c r="F523" s="517"/>
      <c r="G523" s="517"/>
      <c r="H523" s="517"/>
      <c r="I523" s="517"/>
      <c r="J523" s="517"/>
      <c r="K523" s="564"/>
    </row>
    <row r="524" spans="1:11" x14ac:dyDescent="0.2">
      <c r="A524" s="517"/>
      <c r="B524" s="517"/>
      <c r="C524" s="517"/>
      <c r="D524" s="517"/>
      <c r="E524" s="517"/>
      <c r="F524" s="517"/>
      <c r="G524" s="517"/>
      <c r="H524" s="517"/>
      <c r="I524" s="517"/>
      <c r="J524" s="517"/>
      <c r="K524" s="564"/>
    </row>
    <row r="525" spans="1:11" x14ac:dyDescent="0.2">
      <c r="A525" s="517"/>
      <c r="B525" s="517"/>
      <c r="C525" s="517"/>
      <c r="D525" s="517"/>
      <c r="E525" s="517"/>
      <c r="F525" s="517"/>
      <c r="G525" s="517"/>
      <c r="H525" s="517"/>
      <c r="I525" s="517"/>
      <c r="J525" s="517"/>
      <c r="K525" s="564"/>
    </row>
    <row r="526" spans="1:11" x14ac:dyDescent="0.2">
      <c r="A526" s="517"/>
      <c r="B526" s="517"/>
      <c r="C526" s="517"/>
      <c r="D526" s="517"/>
      <c r="E526" s="517"/>
      <c r="F526" s="517"/>
      <c r="G526" s="517"/>
      <c r="H526" s="517"/>
      <c r="I526" s="517"/>
      <c r="J526" s="517"/>
      <c r="K526" s="564"/>
    </row>
    <row r="527" spans="1:11" x14ac:dyDescent="0.2">
      <c r="A527" s="517"/>
      <c r="B527" s="517"/>
      <c r="C527" s="517"/>
      <c r="D527" s="517"/>
      <c r="E527" s="517"/>
      <c r="F527" s="517"/>
      <c r="G527" s="517"/>
      <c r="H527" s="517"/>
      <c r="I527" s="517"/>
      <c r="J527" s="517"/>
      <c r="K527" s="564"/>
    </row>
    <row r="528" spans="1:11" x14ac:dyDescent="0.2">
      <c r="A528" s="517"/>
      <c r="B528" s="517"/>
      <c r="C528" s="517"/>
      <c r="D528" s="517"/>
      <c r="E528" s="517"/>
      <c r="F528" s="517"/>
      <c r="G528" s="517"/>
      <c r="H528" s="517"/>
      <c r="I528" s="517"/>
      <c r="J528" s="517"/>
      <c r="K528" s="564"/>
    </row>
    <row r="529" spans="1:11" x14ac:dyDescent="0.2">
      <c r="A529" s="517"/>
      <c r="B529" s="517"/>
      <c r="C529" s="517"/>
      <c r="D529" s="517"/>
      <c r="E529" s="517"/>
      <c r="F529" s="517"/>
      <c r="G529" s="517"/>
      <c r="H529" s="517"/>
      <c r="I529" s="517"/>
      <c r="J529" s="517"/>
      <c r="K529" s="564"/>
    </row>
    <row r="530" spans="1:11" x14ac:dyDescent="0.2">
      <c r="A530" s="517"/>
      <c r="B530" s="517"/>
      <c r="C530" s="517"/>
      <c r="D530" s="517"/>
      <c r="E530" s="517"/>
      <c r="F530" s="517"/>
      <c r="G530" s="517"/>
      <c r="H530" s="517"/>
      <c r="I530" s="517"/>
      <c r="J530" s="517"/>
      <c r="K530" s="564"/>
    </row>
    <row r="531" spans="1:11" x14ac:dyDescent="0.2">
      <c r="A531" s="517"/>
      <c r="B531" s="517"/>
      <c r="C531" s="517"/>
      <c r="D531" s="517"/>
      <c r="E531" s="517"/>
      <c r="F531" s="517"/>
      <c r="G531" s="517"/>
      <c r="H531" s="517"/>
      <c r="I531" s="517"/>
      <c r="J531" s="517"/>
      <c r="K531" s="564"/>
    </row>
    <row r="532" spans="1:11" x14ac:dyDescent="0.2">
      <c r="A532" s="517"/>
      <c r="B532" s="517"/>
      <c r="C532" s="517"/>
      <c r="D532" s="517"/>
      <c r="E532" s="517"/>
      <c r="F532" s="517"/>
      <c r="G532" s="517"/>
      <c r="H532" s="517"/>
      <c r="I532" s="517"/>
      <c r="J532" s="517"/>
      <c r="K532" s="564"/>
    </row>
    <row r="533" spans="1:11" x14ac:dyDescent="0.2">
      <c r="A533" s="517"/>
      <c r="B533" s="517"/>
      <c r="C533" s="517"/>
      <c r="D533" s="517"/>
      <c r="E533" s="517"/>
      <c r="F533" s="517"/>
      <c r="G533" s="517"/>
      <c r="H533" s="517"/>
      <c r="I533" s="517"/>
      <c r="J533" s="517"/>
      <c r="K533" s="564"/>
    </row>
    <row r="534" spans="1:11" x14ac:dyDescent="0.2">
      <c r="A534" s="517"/>
      <c r="B534" s="517"/>
      <c r="C534" s="517"/>
      <c r="D534" s="517"/>
      <c r="E534" s="517"/>
      <c r="F534" s="517"/>
      <c r="G534" s="517"/>
      <c r="H534" s="517"/>
      <c r="I534" s="517"/>
      <c r="J534" s="517"/>
      <c r="K534" s="564"/>
    </row>
    <row r="535" spans="1:11" x14ac:dyDescent="0.2">
      <c r="A535" s="517"/>
      <c r="B535" s="517"/>
      <c r="C535" s="517"/>
      <c r="D535" s="517"/>
      <c r="E535" s="517"/>
      <c r="F535" s="517"/>
      <c r="G535" s="517"/>
      <c r="H535" s="517"/>
      <c r="I535" s="517"/>
      <c r="J535" s="517"/>
      <c r="K535" s="564"/>
    </row>
    <row r="536" spans="1:11" x14ac:dyDescent="0.2">
      <c r="A536" s="517"/>
      <c r="B536" s="517"/>
      <c r="C536" s="517"/>
      <c r="D536" s="517"/>
      <c r="E536" s="517"/>
      <c r="F536" s="517"/>
      <c r="G536" s="517"/>
      <c r="H536" s="517"/>
      <c r="I536" s="517"/>
      <c r="J536" s="517"/>
      <c r="K536" s="564"/>
    </row>
    <row r="537" spans="1:11" x14ac:dyDescent="0.2">
      <c r="A537" s="517"/>
      <c r="B537" s="517"/>
      <c r="C537" s="517"/>
      <c r="D537" s="517"/>
      <c r="E537" s="517"/>
      <c r="F537" s="517"/>
      <c r="G537" s="517"/>
      <c r="H537" s="517"/>
      <c r="I537" s="517"/>
      <c r="J537" s="517"/>
      <c r="K537" s="564"/>
    </row>
    <row r="538" spans="1:11" x14ac:dyDescent="0.2">
      <c r="A538" s="517"/>
      <c r="B538" s="517"/>
      <c r="C538" s="517"/>
      <c r="D538" s="517"/>
      <c r="E538" s="517"/>
      <c r="F538" s="517"/>
      <c r="G538" s="517"/>
      <c r="H538" s="517"/>
      <c r="I538" s="517"/>
      <c r="J538" s="517"/>
      <c r="K538" s="564"/>
    </row>
    <row r="539" spans="1:11" x14ac:dyDescent="0.2">
      <c r="A539" s="517"/>
      <c r="B539" s="517"/>
      <c r="C539" s="517"/>
      <c r="D539" s="517"/>
      <c r="E539" s="517"/>
      <c r="F539" s="517"/>
      <c r="G539" s="517"/>
      <c r="H539" s="517"/>
      <c r="I539" s="517"/>
      <c r="J539" s="517"/>
      <c r="K539" s="564"/>
    </row>
    <row r="540" spans="1:11" x14ac:dyDescent="0.2">
      <c r="A540" s="517"/>
      <c r="B540" s="517"/>
      <c r="C540" s="517"/>
      <c r="D540" s="517"/>
      <c r="E540" s="517"/>
      <c r="F540" s="517"/>
      <c r="G540" s="517"/>
      <c r="H540" s="517"/>
      <c r="I540" s="517"/>
      <c r="J540" s="517"/>
      <c r="K540" s="564"/>
    </row>
    <row r="541" spans="1:11" x14ac:dyDescent="0.2">
      <c r="A541" s="517"/>
      <c r="B541" s="517"/>
      <c r="C541" s="517"/>
      <c r="D541" s="517"/>
      <c r="E541" s="517"/>
      <c r="F541" s="517"/>
      <c r="G541" s="517"/>
      <c r="H541" s="517"/>
      <c r="I541" s="517"/>
      <c r="J541" s="517"/>
      <c r="K541" s="564"/>
    </row>
    <row r="542" spans="1:11" x14ac:dyDescent="0.2">
      <c r="A542" s="517"/>
      <c r="B542" s="517"/>
      <c r="C542" s="517"/>
      <c r="D542" s="517"/>
      <c r="E542" s="517"/>
      <c r="F542" s="517"/>
      <c r="G542" s="517"/>
      <c r="H542" s="517"/>
      <c r="I542" s="517"/>
      <c r="J542" s="517"/>
      <c r="K542" s="564"/>
    </row>
    <row r="543" spans="1:11" x14ac:dyDescent="0.2">
      <c r="A543" s="517"/>
      <c r="B543" s="517"/>
      <c r="C543" s="517"/>
      <c r="D543" s="517"/>
      <c r="E543" s="517"/>
      <c r="F543" s="517"/>
      <c r="G543" s="517"/>
      <c r="H543" s="517"/>
      <c r="I543" s="517"/>
      <c r="J543" s="517"/>
      <c r="K543" s="564"/>
    </row>
    <row r="544" spans="1:11" x14ac:dyDescent="0.2">
      <c r="A544" s="517"/>
      <c r="B544" s="517"/>
      <c r="C544" s="517"/>
      <c r="D544" s="517"/>
      <c r="E544" s="517"/>
      <c r="F544" s="517"/>
      <c r="G544" s="517"/>
      <c r="H544" s="517"/>
      <c r="I544" s="517"/>
      <c r="J544" s="517"/>
      <c r="K544" s="564"/>
    </row>
    <row r="545" spans="1:11" x14ac:dyDescent="0.2">
      <c r="A545" s="517"/>
      <c r="B545" s="517"/>
      <c r="C545" s="517"/>
      <c r="D545" s="517"/>
      <c r="E545" s="517"/>
      <c r="F545" s="517"/>
      <c r="G545" s="517"/>
      <c r="H545" s="517"/>
      <c r="I545" s="517"/>
      <c r="J545" s="517"/>
      <c r="K545" s="564"/>
    </row>
    <row r="546" spans="1:11" x14ac:dyDescent="0.2">
      <c r="A546" s="517"/>
      <c r="B546" s="517"/>
      <c r="C546" s="517"/>
      <c r="D546" s="517"/>
      <c r="E546" s="517"/>
      <c r="F546" s="517"/>
      <c r="G546" s="517"/>
      <c r="H546" s="517"/>
      <c r="I546" s="517"/>
      <c r="J546" s="517"/>
      <c r="K546" s="564"/>
    </row>
    <row r="547" spans="1:11" x14ac:dyDescent="0.2">
      <c r="A547" s="517"/>
      <c r="B547" s="517"/>
      <c r="C547" s="517"/>
      <c r="D547" s="517"/>
      <c r="E547" s="517"/>
      <c r="F547" s="517"/>
      <c r="G547" s="517"/>
      <c r="H547" s="517"/>
      <c r="I547" s="517"/>
      <c r="J547" s="517"/>
      <c r="K547" s="564"/>
    </row>
    <row r="548" spans="1:11" x14ac:dyDescent="0.2">
      <c r="A548" s="517"/>
      <c r="B548" s="517"/>
      <c r="C548" s="517"/>
      <c r="D548" s="517"/>
      <c r="E548" s="517"/>
      <c r="F548" s="517"/>
      <c r="G548" s="517"/>
      <c r="H548" s="517"/>
      <c r="I548" s="517"/>
      <c r="J548" s="517"/>
      <c r="K548" s="564"/>
    </row>
    <row r="549" spans="1:11" x14ac:dyDescent="0.2">
      <c r="A549" s="517"/>
      <c r="B549" s="517"/>
      <c r="C549" s="517"/>
      <c r="D549" s="517"/>
      <c r="E549" s="517"/>
      <c r="F549" s="517"/>
      <c r="G549" s="517"/>
      <c r="H549" s="517"/>
      <c r="I549" s="517"/>
      <c r="J549" s="517"/>
      <c r="K549" s="564"/>
    </row>
    <row r="550" spans="1:11" x14ac:dyDescent="0.2">
      <c r="A550" s="517"/>
      <c r="B550" s="517"/>
      <c r="C550" s="517"/>
      <c r="D550" s="517"/>
      <c r="E550" s="517"/>
      <c r="F550" s="517"/>
      <c r="G550" s="517"/>
      <c r="H550" s="517"/>
      <c r="I550" s="517"/>
      <c r="J550" s="517"/>
      <c r="K550" s="564"/>
    </row>
    <row r="551" spans="1:11" x14ac:dyDescent="0.2">
      <c r="A551" s="517"/>
      <c r="B551" s="517"/>
      <c r="C551" s="517"/>
      <c r="D551" s="517"/>
      <c r="E551" s="517"/>
      <c r="F551" s="517"/>
      <c r="G551" s="517"/>
      <c r="H551" s="517"/>
      <c r="I551" s="517"/>
      <c r="J551" s="517"/>
      <c r="K551" s="564"/>
    </row>
    <row r="552" spans="1:11" x14ac:dyDescent="0.2">
      <c r="A552" s="517"/>
      <c r="B552" s="517"/>
      <c r="C552" s="517"/>
      <c r="D552" s="517"/>
      <c r="E552" s="517"/>
      <c r="F552" s="517"/>
      <c r="G552" s="517"/>
      <c r="H552" s="517"/>
      <c r="I552" s="517"/>
      <c r="J552" s="517"/>
      <c r="K552" s="564"/>
    </row>
    <row r="553" spans="1:11" x14ac:dyDescent="0.2">
      <c r="A553" s="517"/>
      <c r="B553" s="517"/>
      <c r="C553" s="517"/>
      <c r="D553" s="517"/>
      <c r="E553" s="517"/>
      <c r="F553" s="517"/>
      <c r="G553" s="517"/>
      <c r="H553" s="517"/>
      <c r="I553" s="517"/>
      <c r="J553" s="517"/>
      <c r="K553" s="564"/>
    </row>
    <row r="554" spans="1:11" x14ac:dyDescent="0.2">
      <c r="A554" s="517"/>
      <c r="B554" s="517"/>
      <c r="C554" s="517"/>
      <c r="D554" s="517"/>
      <c r="E554" s="517"/>
      <c r="F554" s="517"/>
      <c r="G554" s="517"/>
      <c r="H554" s="517"/>
      <c r="I554" s="517"/>
      <c r="J554" s="517"/>
      <c r="K554" s="564"/>
    </row>
    <row r="555" spans="1:11" x14ac:dyDescent="0.2">
      <c r="A555" s="517"/>
      <c r="B555" s="517"/>
      <c r="C555" s="517"/>
      <c r="D555" s="517"/>
      <c r="E555" s="517"/>
      <c r="F555" s="517"/>
      <c r="G555" s="517"/>
      <c r="H555" s="517"/>
      <c r="I555" s="517"/>
      <c r="J555" s="517"/>
      <c r="K555" s="564"/>
    </row>
    <row r="556" spans="1:11" x14ac:dyDescent="0.2">
      <c r="A556" s="517"/>
      <c r="B556" s="517"/>
      <c r="C556" s="517"/>
      <c r="D556" s="517"/>
      <c r="E556" s="517"/>
      <c r="F556" s="517"/>
      <c r="G556" s="517"/>
      <c r="H556" s="517"/>
      <c r="I556" s="517"/>
      <c r="J556" s="517"/>
      <c r="K556" s="564"/>
    </row>
    <row r="557" spans="1:11" x14ac:dyDescent="0.2">
      <c r="A557" s="517"/>
      <c r="B557" s="517"/>
      <c r="C557" s="517"/>
      <c r="D557" s="517"/>
      <c r="E557" s="517"/>
      <c r="F557" s="517"/>
      <c r="G557" s="517"/>
      <c r="H557" s="517"/>
      <c r="I557" s="517"/>
      <c r="J557" s="517"/>
      <c r="K557" s="564"/>
    </row>
    <row r="558" spans="1:11" x14ac:dyDescent="0.2">
      <c r="A558" s="517"/>
      <c r="B558" s="517"/>
      <c r="C558" s="517"/>
      <c r="D558" s="517"/>
      <c r="E558" s="517"/>
      <c r="F558" s="517"/>
      <c r="G558" s="517"/>
      <c r="H558" s="517"/>
      <c r="I558" s="517"/>
      <c r="J558" s="517"/>
      <c r="K558" s="564"/>
    </row>
    <row r="559" spans="1:11" x14ac:dyDescent="0.2">
      <c r="A559" s="517"/>
      <c r="B559" s="517"/>
      <c r="C559" s="517"/>
      <c r="D559" s="517"/>
      <c r="E559" s="517"/>
      <c r="F559" s="517"/>
      <c r="G559" s="517"/>
      <c r="H559" s="517"/>
      <c r="I559" s="517"/>
      <c r="J559" s="517"/>
      <c r="K559" s="564"/>
    </row>
    <row r="560" spans="1:11" x14ac:dyDescent="0.2">
      <c r="A560" s="517"/>
      <c r="B560" s="517"/>
      <c r="C560" s="517"/>
      <c r="D560" s="517"/>
      <c r="E560" s="517"/>
      <c r="F560" s="517"/>
      <c r="G560" s="517"/>
      <c r="H560" s="517"/>
      <c r="I560" s="517"/>
      <c r="J560" s="517"/>
      <c r="K560" s="564"/>
    </row>
    <row r="561" spans="1:11" x14ac:dyDescent="0.2">
      <c r="A561" s="517"/>
      <c r="B561" s="517"/>
      <c r="C561" s="517"/>
      <c r="D561" s="517"/>
      <c r="E561" s="517"/>
      <c r="F561" s="517"/>
      <c r="G561" s="517"/>
      <c r="H561" s="517"/>
      <c r="I561" s="517"/>
      <c r="J561" s="517"/>
      <c r="K561" s="564"/>
    </row>
    <row r="562" spans="1:11" x14ac:dyDescent="0.2">
      <c r="A562" s="517"/>
      <c r="B562" s="517"/>
      <c r="C562" s="517"/>
      <c r="D562" s="517"/>
      <c r="E562" s="517"/>
      <c r="F562" s="517"/>
      <c r="G562" s="517"/>
      <c r="H562" s="517"/>
      <c r="I562" s="517"/>
      <c r="J562" s="517"/>
      <c r="K562" s="564"/>
    </row>
    <row r="563" spans="1:11" x14ac:dyDescent="0.2">
      <c r="A563" s="517"/>
      <c r="B563" s="517"/>
      <c r="C563" s="517"/>
      <c r="D563" s="517"/>
      <c r="E563" s="517"/>
      <c r="F563" s="517"/>
      <c r="G563" s="517"/>
      <c r="H563" s="517"/>
      <c r="I563" s="517"/>
      <c r="J563" s="517"/>
      <c r="K563" s="564"/>
    </row>
    <row r="564" spans="1:11" x14ac:dyDescent="0.2">
      <c r="A564" s="517"/>
      <c r="B564" s="517"/>
      <c r="C564" s="517"/>
      <c r="D564" s="517"/>
      <c r="E564" s="517"/>
      <c r="F564" s="517"/>
      <c r="G564" s="517"/>
      <c r="H564" s="517"/>
      <c r="I564" s="517"/>
      <c r="J564" s="517"/>
      <c r="K564" s="564"/>
    </row>
    <row r="565" spans="1:11" x14ac:dyDescent="0.2">
      <c r="A565" s="517"/>
      <c r="B565" s="517"/>
      <c r="C565" s="517"/>
      <c r="D565" s="517"/>
      <c r="E565" s="517"/>
      <c r="F565" s="517"/>
      <c r="G565" s="517"/>
      <c r="H565" s="517"/>
      <c r="I565" s="517"/>
      <c r="J565" s="517"/>
      <c r="K565" s="564"/>
    </row>
    <row r="566" spans="1:11" x14ac:dyDescent="0.2">
      <c r="A566" s="517"/>
      <c r="B566" s="517"/>
      <c r="C566" s="517"/>
      <c r="D566" s="517"/>
      <c r="E566" s="517"/>
      <c r="F566" s="517"/>
      <c r="G566" s="517"/>
      <c r="H566" s="517"/>
      <c r="I566" s="517"/>
      <c r="J566" s="517"/>
      <c r="K566" s="564"/>
    </row>
    <row r="567" spans="1:11" x14ac:dyDescent="0.2">
      <c r="A567" s="517"/>
      <c r="B567" s="517"/>
      <c r="C567" s="517"/>
      <c r="D567" s="517"/>
      <c r="E567" s="517"/>
      <c r="F567" s="517"/>
      <c r="G567" s="517"/>
      <c r="H567" s="517"/>
      <c r="I567" s="517"/>
      <c r="J567" s="517"/>
      <c r="K567" s="564"/>
    </row>
    <row r="568" spans="1:11" x14ac:dyDescent="0.2">
      <c r="A568" s="517"/>
      <c r="B568" s="517"/>
      <c r="C568" s="517"/>
      <c r="D568" s="517"/>
      <c r="E568" s="517"/>
      <c r="F568" s="517"/>
      <c r="G568" s="517"/>
      <c r="H568" s="517"/>
      <c r="I568" s="517"/>
      <c r="J568" s="517"/>
      <c r="K568" s="564"/>
    </row>
    <row r="569" spans="1:11" x14ac:dyDescent="0.2">
      <c r="A569" s="517"/>
      <c r="B569" s="517"/>
      <c r="C569" s="517"/>
      <c r="D569" s="517"/>
      <c r="E569" s="517"/>
      <c r="F569" s="517"/>
      <c r="G569" s="517"/>
      <c r="H569" s="517"/>
      <c r="I569" s="517"/>
      <c r="J569" s="517"/>
      <c r="K569" s="564"/>
    </row>
    <row r="570" spans="1:11" x14ac:dyDescent="0.2">
      <c r="A570" s="517"/>
      <c r="B570" s="517"/>
      <c r="C570" s="517"/>
      <c r="D570" s="517"/>
      <c r="E570" s="517"/>
      <c r="F570" s="517"/>
      <c r="G570" s="517"/>
      <c r="H570" s="517"/>
      <c r="I570" s="517"/>
      <c r="J570" s="517"/>
      <c r="K570" s="564"/>
    </row>
    <row r="571" spans="1:11" x14ac:dyDescent="0.2">
      <c r="A571" s="517"/>
      <c r="B571" s="517"/>
      <c r="C571" s="517"/>
      <c r="D571" s="517"/>
      <c r="E571" s="517"/>
      <c r="F571" s="517"/>
      <c r="G571" s="517"/>
      <c r="H571" s="517"/>
      <c r="I571" s="517"/>
      <c r="J571" s="517"/>
      <c r="K571" s="564"/>
    </row>
    <row r="572" spans="1:11" x14ac:dyDescent="0.2">
      <c r="A572" s="517"/>
      <c r="B572" s="517"/>
      <c r="C572" s="517"/>
      <c r="D572" s="517"/>
      <c r="E572" s="517"/>
      <c r="F572" s="517"/>
      <c r="G572" s="517"/>
      <c r="H572" s="517"/>
      <c r="I572" s="517"/>
      <c r="J572" s="517"/>
      <c r="K572" s="564"/>
    </row>
    <row r="573" spans="1:11" x14ac:dyDescent="0.2">
      <c r="A573" s="517"/>
      <c r="B573" s="517"/>
      <c r="C573" s="517"/>
      <c r="D573" s="517"/>
      <c r="E573" s="517"/>
      <c r="F573" s="517"/>
      <c r="G573" s="517"/>
      <c r="H573" s="517"/>
      <c r="I573" s="517"/>
      <c r="J573" s="517"/>
      <c r="K573" s="564"/>
    </row>
    <row r="574" spans="1:11" x14ac:dyDescent="0.2">
      <c r="A574" s="517"/>
      <c r="B574" s="517"/>
      <c r="C574" s="517"/>
      <c r="D574" s="517"/>
      <c r="E574" s="517"/>
      <c r="F574" s="517"/>
      <c r="G574" s="517"/>
      <c r="H574" s="517"/>
      <c r="I574" s="517"/>
      <c r="J574" s="517"/>
      <c r="K574" s="564"/>
    </row>
    <row r="575" spans="1:11" x14ac:dyDescent="0.2">
      <c r="A575" s="517"/>
      <c r="B575" s="517"/>
      <c r="C575" s="517"/>
      <c r="D575" s="517"/>
      <c r="E575" s="517"/>
      <c r="F575" s="517"/>
      <c r="G575" s="517"/>
      <c r="H575" s="517"/>
      <c r="I575" s="517"/>
      <c r="J575" s="517"/>
      <c r="K575" s="564"/>
    </row>
    <row r="576" spans="1:11" x14ac:dyDescent="0.2">
      <c r="A576" s="517"/>
      <c r="B576" s="517"/>
      <c r="C576" s="517"/>
      <c r="D576" s="517"/>
      <c r="E576" s="517"/>
      <c r="F576" s="517"/>
      <c r="G576" s="517"/>
      <c r="H576" s="517"/>
      <c r="I576" s="517"/>
      <c r="J576" s="517"/>
      <c r="K576" s="564"/>
    </row>
    <row r="577" spans="1:11" x14ac:dyDescent="0.2">
      <c r="A577" s="517"/>
      <c r="B577" s="517"/>
      <c r="C577" s="517"/>
      <c r="D577" s="517"/>
      <c r="E577" s="517"/>
      <c r="F577" s="517"/>
      <c r="G577" s="517"/>
      <c r="H577" s="517"/>
      <c r="I577" s="517"/>
      <c r="J577" s="517"/>
      <c r="K577" s="564"/>
    </row>
    <row r="578" spans="1:11" x14ac:dyDescent="0.2">
      <c r="A578" s="517"/>
      <c r="B578" s="517"/>
      <c r="C578" s="517"/>
      <c r="D578" s="517"/>
      <c r="E578" s="517"/>
      <c r="F578" s="517"/>
      <c r="G578" s="517"/>
      <c r="H578" s="517"/>
      <c r="I578" s="517"/>
      <c r="J578" s="517"/>
      <c r="K578" s="564"/>
    </row>
    <row r="579" spans="1:11" x14ac:dyDescent="0.2">
      <c r="A579" s="517"/>
      <c r="B579" s="517"/>
      <c r="C579" s="517"/>
      <c r="D579" s="517"/>
      <c r="E579" s="517"/>
      <c r="F579" s="517"/>
      <c r="G579" s="517"/>
      <c r="H579" s="517"/>
      <c r="I579" s="517"/>
      <c r="J579" s="517"/>
      <c r="K579" s="564"/>
    </row>
    <row r="580" spans="1:11" x14ac:dyDescent="0.2">
      <c r="A580" s="517"/>
      <c r="B580" s="517"/>
      <c r="C580" s="517"/>
      <c r="D580" s="517"/>
      <c r="E580" s="517"/>
      <c r="F580" s="517"/>
      <c r="G580" s="517"/>
      <c r="H580" s="517"/>
      <c r="I580" s="517"/>
      <c r="J580" s="517"/>
      <c r="K580" s="564"/>
    </row>
    <row r="581" spans="1:11" x14ac:dyDescent="0.2">
      <c r="A581" s="517"/>
      <c r="B581" s="517"/>
      <c r="C581" s="517"/>
      <c r="D581" s="517"/>
      <c r="E581" s="517"/>
      <c r="F581" s="517"/>
      <c r="G581" s="517"/>
      <c r="H581" s="517"/>
      <c r="I581" s="517"/>
      <c r="J581" s="517"/>
      <c r="K581" s="564"/>
    </row>
    <row r="582" spans="1:11" x14ac:dyDescent="0.2">
      <c r="A582" s="517"/>
      <c r="B582" s="517"/>
      <c r="C582" s="517"/>
      <c r="D582" s="517"/>
      <c r="E582" s="517"/>
      <c r="F582" s="517"/>
      <c r="G582" s="517"/>
      <c r="H582" s="517"/>
      <c r="I582" s="517"/>
      <c r="J582" s="517"/>
      <c r="K582" s="564"/>
    </row>
    <row r="583" spans="1:11" x14ac:dyDescent="0.2">
      <c r="A583" s="517"/>
      <c r="B583" s="517"/>
      <c r="C583" s="517"/>
      <c r="D583" s="517"/>
      <c r="E583" s="517"/>
      <c r="F583" s="517"/>
      <c r="G583" s="517"/>
      <c r="H583" s="517"/>
      <c r="I583" s="517"/>
      <c r="J583" s="517"/>
      <c r="K583" s="564"/>
    </row>
    <row r="584" spans="1:11" x14ac:dyDescent="0.2">
      <c r="A584" s="517"/>
      <c r="B584" s="517"/>
      <c r="C584" s="517"/>
      <c r="D584" s="517"/>
      <c r="E584" s="517"/>
      <c r="F584" s="517"/>
      <c r="G584" s="517"/>
      <c r="H584" s="517"/>
      <c r="I584" s="517"/>
      <c r="J584" s="517"/>
      <c r="K584" s="564"/>
    </row>
    <row r="585" spans="1:11" x14ac:dyDescent="0.2">
      <c r="A585" s="517"/>
      <c r="B585" s="517"/>
      <c r="C585" s="517"/>
      <c r="D585" s="517"/>
      <c r="E585" s="517"/>
      <c r="F585" s="517"/>
      <c r="G585" s="517"/>
      <c r="H585" s="517"/>
      <c r="I585" s="517"/>
      <c r="J585" s="517"/>
      <c r="K585" s="564"/>
    </row>
    <row r="586" spans="1:11" x14ac:dyDescent="0.2">
      <c r="A586" s="517"/>
      <c r="B586" s="517"/>
      <c r="C586" s="517"/>
      <c r="D586" s="517"/>
      <c r="E586" s="517"/>
      <c r="F586" s="517"/>
      <c r="G586" s="517"/>
      <c r="H586" s="517"/>
      <c r="I586" s="517"/>
      <c r="J586" s="517"/>
      <c r="K586" s="564"/>
    </row>
    <row r="587" spans="1:11" x14ac:dyDescent="0.2">
      <c r="A587" s="517"/>
      <c r="B587" s="517"/>
      <c r="C587" s="517"/>
      <c r="D587" s="517"/>
      <c r="E587" s="517"/>
      <c r="F587" s="517"/>
      <c r="G587" s="517"/>
      <c r="H587" s="517"/>
      <c r="I587" s="517"/>
      <c r="J587" s="517"/>
      <c r="K587" s="564"/>
    </row>
    <row r="588" spans="1:11" x14ac:dyDescent="0.2">
      <c r="A588" s="517"/>
      <c r="B588" s="517"/>
      <c r="C588" s="517"/>
      <c r="D588" s="517"/>
      <c r="E588" s="517"/>
      <c r="F588" s="517"/>
      <c r="G588" s="517"/>
      <c r="H588" s="517"/>
      <c r="I588" s="517"/>
      <c r="J588" s="517"/>
      <c r="K588" s="564"/>
    </row>
    <row r="589" spans="1:11" x14ac:dyDescent="0.2">
      <c r="A589" s="517"/>
      <c r="B589" s="517"/>
      <c r="C589" s="517"/>
      <c r="D589" s="517"/>
      <c r="E589" s="517"/>
      <c r="F589" s="517"/>
      <c r="G589" s="517"/>
      <c r="H589" s="517"/>
      <c r="I589" s="517"/>
      <c r="J589" s="517"/>
      <c r="K589" s="564"/>
    </row>
    <row r="590" spans="1:11" x14ac:dyDescent="0.2">
      <c r="A590" s="517"/>
      <c r="B590" s="517"/>
      <c r="C590" s="517"/>
      <c r="D590" s="517"/>
      <c r="E590" s="517"/>
      <c r="F590" s="517"/>
      <c r="G590" s="517"/>
      <c r="H590" s="517"/>
      <c r="I590" s="517"/>
      <c r="J590" s="517"/>
      <c r="K590" s="564"/>
    </row>
    <row r="591" spans="1:11" x14ac:dyDescent="0.2">
      <c r="A591" s="517"/>
      <c r="B591" s="517"/>
      <c r="C591" s="517"/>
      <c r="D591" s="517"/>
      <c r="E591" s="517"/>
      <c r="F591" s="517"/>
      <c r="G591" s="517"/>
      <c r="H591" s="517"/>
      <c r="I591" s="517"/>
      <c r="J591" s="517"/>
      <c r="K591" s="564"/>
    </row>
    <row r="592" spans="1:11" x14ac:dyDescent="0.2">
      <c r="A592" s="517"/>
      <c r="B592" s="517"/>
      <c r="C592" s="517"/>
      <c r="D592" s="517"/>
      <c r="E592" s="517"/>
      <c r="F592" s="517"/>
      <c r="G592" s="517"/>
      <c r="H592" s="517"/>
      <c r="I592" s="517"/>
      <c r="J592" s="517"/>
      <c r="K592" s="564"/>
    </row>
    <row r="593" spans="1:11" x14ac:dyDescent="0.2">
      <c r="A593" s="517"/>
      <c r="B593" s="517"/>
      <c r="C593" s="517"/>
      <c r="D593" s="517"/>
      <c r="E593" s="517"/>
      <c r="F593" s="517"/>
      <c r="G593" s="517"/>
      <c r="H593" s="517"/>
      <c r="I593" s="517"/>
      <c r="J593" s="517"/>
      <c r="K593" s="564"/>
    </row>
    <row r="594" spans="1:11" x14ac:dyDescent="0.2">
      <c r="A594" s="517"/>
      <c r="B594" s="517"/>
      <c r="C594" s="517"/>
      <c r="D594" s="517"/>
      <c r="E594" s="517"/>
      <c r="F594" s="517"/>
      <c r="G594" s="517"/>
      <c r="H594" s="517"/>
      <c r="I594" s="517"/>
      <c r="J594" s="517"/>
      <c r="K594" s="564"/>
    </row>
    <row r="595" spans="1:11" x14ac:dyDescent="0.2">
      <c r="A595" s="517"/>
      <c r="B595" s="517"/>
      <c r="C595" s="517"/>
      <c r="D595" s="517"/>
      <c r="E595" s="517"/>
      <c r="F595" s="517"/>
      <c r="G595" s="517"/>
      <c r="H595" s="517"/>
      <c r="I595" s="517"/>
      <c r="J595" s="517"/>
      <c r="K595" s="564"/>
    </row>
    <row r="596" spans="1:11" x14ac:dyDescent="0.2">
      <c r="A596" s="517"/>
      <c r="B596" s="517"/>
      <c r="C596" s="517"/>
      <c r="D596" s="517"/>
      <c r="E596" s="517"/>
      <c r="F596" s="517"/>
      <c r="G596" s="517"/>
      <c r="H596" s="517"/>
      <c r="I596" s="517"/>
      <c r="J596" s="517"/>
      <c r="K596" s="564"/>
    </row>
    <row r="597" spans="1:11" x14ac:dyDescent="0.2">
      <c r="A597" s="517"/>
      <c r="B597" s="517"/>
      <c r="C597" s="517"/>
      <c r="D597" s="517"/>
      <c r="E597" s="517"/>
      <c r="F597" s="517"/>
      <c r="G597" s="517"/>
      <c r="H597" s="517"/>
      <c r="I597" s="517"/>
      <c r="J597" s="517"/>
      <c r="K597" s="564"/>
    </row>
    <row r="598" spans="1:11" x14ac:dyDescent="0.2">
      <c r="A598" s="517"/>
      <c r="B598" s="517"/>
      <c r="C598" s="517"/>
      <c r="D598" s="517"/>
      <c r="E598" s="517"/>
      <c r="F598" s="517"/>
      <c r="G598" s="517"/>
      <c r="H598" s="517"/>
      <c r="I598" s="517"/>
      <c r="J598" s="517"/>
      <c r="K598" s="564"/>
    </row>
    <row r="599" spans="1:11" x14ac:dyDescent="0.2">
      <c r="A599" s="517"/>
      <c r="B599" s="517"/>
      <c r="C599" s="517"/>
      <c r="D599" s="517"/>
      <c r="E599" s="517"/>
      <c r="F599" s="517"/>
      <c r="G599" s="517"/>
      <c r="H599" s="517"/>
      <c r="I599" s="517"/>
      <c r="J599" s="517"/>
      <c r="K599" s="564"/>
    </row>
    <row r="600" spans="1:11" x14ac:dyDescent="0.2">
      <c r="A600" s="517"/>
      <c r="B600" s="517"/>
      <c r="C600" s="517"/>
      <c r="D600" s="517"/>
      <c r="E600" s="517"/>
      <c r="F600" s="517"/>
      <c r="G600" s="517"/>
      <c r="H600" s="517"/>
      <c r="I600" s="517"/>
      <c r="J600" s="517"/>
      <c r="K600" s="564"/>
    </row>
    <row r="601" spans="1:11" x14ac:dyDescent="0.2">
      <c r="A601" s="517"/>
      <c r="B601" s="517"/>
      <c r="C601" s="517"/>
      <c r="D601" s="517"/>
      <c r="E601" s="517"/>
      <c r="F601" s="517"/>
      <c r="G601" s="517"/>
      <c r="H601" s="517"/>
      <c r="I601" s="517"/>
      <c r="J601" s="517"/>
      <c r="K601" s="564"/>
    </row>
    <row r="602" spans="1:11" x14ac:dyDescent="0.2">
      <c r="A602" s="517"/>
      <c r="B602" s="517"/>
      <c r="C602" s="517"/>
      <c r="D602" s="517"/>
      <c r="E602" s="517"/>
      <c r="F602" s="517"/>
      <c r="G602" s="517"/>
      <c r="H602" s="517"/>
      <c r="I602" s="517"/>
      <c r="J602" s="517"/>
      <c r="K602" s="564"/>
    </row>
    <row r="603" spans="1:11" x14ac:dyDescent="0.2">
      <c r="A603" s="517"/>
      <c r="B603" s="517"/>
      <c r="C603" s="517"/>
      <c r="D603" s="517"/>
      <c r="E603" s="517"/>
      <c r="F603" s="517"/>
      <c r="G603" s="517"/>
      <c r="H603" s="517"/>
      <c r="I603" s="517"/>
      <c r="J603" s="517"/>
      <c r="K603" s="564"/>
    </row>
    <row r="604" spans="1:11" x14ac:dyDescent="0.2">
      <c r="A604" s="517"/>
      <c r="B604" s="517"/>
      <c r="C604" s="517"/>
      <c r="D604" s="517"/>
      <c r="E604" s="517"/>
      <c r="F604" s="517"/>
      <c r="G604" s="517"/>
      <c r="H604" s="517"/>
      <c r="I604" s="517"/>
      <c r="J604" s="517"/>
      <c r="K604" s="564"/>
    </row>
    <row r="605" spans="1:11" x14ac:dyDescent="0.2">
      <c r="A605" s="517"/>
      <c r="B605" s="517"/>
      <c r="C605" s="517"/>
      <c r="D605" s="517"/>
      <c r="E605" s="517"/>
      <c r="F605" s="517"/>
      <c r="G605" s="517"/>
      <c r="H605" s="517"/>
      <c r="I605" s="517"/>
      <c r="J605" s="517"/>
      <c r="K605" s="564"/>
    </row>
    <row r="606" spans="1:11" x14ac:dyDescent="0.2">
      <c r="A606" s="517"/>
      <c r="B606" s="517"/>
      <c r="C606" s="517"/>
      <c r="D606" s="517"/>
      <c r="E606" s="517"/>
      <c r="F606" s="517"/>
      <c r="G606" s="517"/>
      <c r="H606" s="517"/>
      <c r="I606" s="517"/>
      <c r="J606" s="517"/>
      <c r="K606" s="564"/>
    </row>
    <row r="607" spans="1:11" x14ac:dyDescent="0.2">
      <c r="A607" s="517"/>
      <c r="B607" s="517"/>
      <c r="C607" s="517"/>
      <c r="D607" s="517"/>
      <c r="E607" s="517"/>
      <c r="F607" s="517"/>
      <c r="G607" s="517"/>
      <c r="H607" s="517"/>
      <c r="I607" s="517"/>
      <c r="J607" s="517"/>
      <c r="K607" s="564"/>
    </row>
    <row r="608" spans="1:11" x14ac:dyDescent="0.2">
      <c r="A608" s="517"/>
      <c r="B608" s="517"/>
      <c r="C608" s="517"/>
      <c r="D608" s="517"/>
      <c r="E608" s="517"/>
      <c r="F608" s="517"/>
      <c r="G608" s="517"/>
      <c r="H608" s="517"/>
      <c r="I608" s="517"/>
      <c r="J608" s="517"/>
      <c r="K608" s="564"/>
    </row>
    <row r="609" spans="1:11" x14ac:dyDescent="0.2">
      <c r="A609" s="517"/>
      <c r="B609" s="517"/>
      <c r="C609" s="517"/>
      <c r="D609" s="517"/>
      <c r="E609" s="517"/>
      <c r="F609" s="517"/>
      <c r="G609" s="517"/>
      <c r="H609" s="517"/>
      <c r="I609" s="517"/>
      <c r="J609" s="517"/>
      <c r="K609" s="564"/>
    </row>
    <row r="610" spans="1:11" x14ac:dyDescent="0.2">
      <c r="A610" s="517"/>
      <c r="B610" s="517"/>
      <c r="C610" s="517"/>
      <c r="D610" s="517"/>
      <c r="E610" s="517"/>
      <c r="F610" s="517"/>
      <c r="G610" s="517"/>
      <c r="H610" s="517"/>
      <c r="I610" s="517"/>
      <c r="J610" s="517"/>
      <c r="K610" s="564"/>
    </row>
    <row r="611" spans="1:11" x14ac:dyDescent="0.2">
      <c r="A611" s="517"/>
      <c r="B611" s="517"/>
      <c r="C611" s="517"/>
      <c r="D611" s="517"/>
      <c r="E611" s="517"/>
      <c r="F611" s="517"/>
      <c r="G611" s="517"/>
      <c r="H611" s="517"/>
      <c r="I611" s="517"/>
      <c r="J611" s="517"/>
      <c r="K611" s="564"/>
    </row>
    <row r="612" spans="1:11" x14ac:dyDescent="0.2">
      <c r="A612" s="517"/>
      <c r="B612" s="517"/>
      <c r="C612" s="517"/>
      <c r="D612" s="517"/>
      <c r="E612" s="517"/>
      <c r="F612" s="517"/>
      <c r="G612" s="517"/>
      <c r="H612" s="517"/>
      <c r="I612" s="517"/>
      <c r="J612" s="517"/>
      <c r="K612" s="564"/>
    </row>
    <row r="613" spans="1:11" x14ac:dyDescent="0.2">
      <c r="A613" s="517"/>
      <c r="B613" s="517"/>
      <c r="C613" s="517"/>
      <c r="D613" s="517"/>
      <c r="E613" s="517"/>
      <c r="F613" s="517"/>
      <c r="G613" s="517"/>
      <c r="H613" s="517"/>
      <c r="I613" s="517"/>
      <c r="J613" s="517"/>
      <c r="K613" s="564"/>
    </row>
    <row r="614" spans="1:11" x14ac:dyDescent="0.2">
      <c r="A614" s="517"/>
      <c r="B614" s="517"/>
      <c r="C614" s="517"/>
      <c r="D614" s="517"/>
      <c r="E614" s="517"/>
      <c r="F614" s="517"/>
      <c r="G614" s="517"/>
      <c r="H614" s="517"/>
      <c r="I614" s="517"/>
      <c r="J614" s="517"/>
      <c r="K614" s="564"/>
    </row>
    <row r="615" spans="1:11" x14ac:dyDescent="0.2">
      <c r="A615" s="517"/>
      <c r="B615" s="517"/>
      <c r="C615" s="517"/>
      <c r="D615" s="517"/>
      <c r="E615" s="517"/>
      <c r="F615" s="517"/>
      <c r="G615" s="517"/>
      <c r="H615" s="517"/>
      <c r="I615" s="517"/>
      <c r="J615" s="517"/>
      <c r="K615" s="564"/>
    </row>
    <row r="616" spans="1:11" x14ac:dyDescent="0.2">
      <c r="A616" s="517"/>
      <c r="B616" s="517"/>
      <c r="C616" s="517"/>
      <c r="D616" s="517"/>
      <c r="E616" s="517"/>
      <c r="F616" s="517"/>
      <c r="G616" s="517"/>
      <c r="H616" s="517"/>
      <c r="I616" s="517"/>
      <c r="J616" s="517"/>
      <c r="K616" s="564"/>
    </row>
    <row r="617" spans="1:11" x14ac:dyDescent="0.2">
      <c r="A617" s="517"/>
      <c r="B617" s="517"/>
      <c r="C617" s="517"/>
      <c r="D617" s="517"/>
      <c r="E617" s="517"/>
      <c r="F617" s="517"/>
      <c r="G617" s="517"/>
      <c r="H617" s="517"/>
      <c r="I617" s="517"/>
      <c r="J617" s="517"/>
      <c r="K617" s="564"/>
    </row>
    <row r="618" spans="1:11" x14ac:dyDescent="0.2">
      <c r="A618" s="517"/>
      <c r="B618" s="517"/>
      <c r="C618" s="517"/>
      <c r="D618" s="517"/>
      <c r="E618" s="517"/>
      <c r="F618" s="517"/>
      <c r="G618" s="517"/>
      <c r="H618" s="517"/>
      <c r="I618" s="517"/>
      <c r="J618" s="517"/>
      <c r="K618" s="564"/>
    </row>
    <row r="619" spans="1:11" x14ac:dyDescent="0.2">
      <c r="A619" s="517"/>
      <c r="B619" s="517"/>
      <c r="C619" s="517"/>
      <c r="D619" s="517"/>
      <c r="E619" s="517"/>
      <c r="F619" s="517"/>
      <c r="G619" s="517"/>
      <c r="H619" s="517"/>
      <c r="I619" s="517"/>
      <c r="J619" s="517"/>
      <c r="K619" s="564"/>
    </row>
    <row r="620" spans="1:11" x14ac:dyDescent="0.2">
      <c r="A620" s="517"/>
      <c r="B620" s="517"/>
      <c r="C620" s="517"/>
      <c r="D620" s="517"/>
      <c r="E620" s="517"/>
      <c r="F620" s="517"/>
      <c r="G620" s="517"/>
      <c r="H620" s="517"/>
      <c r="I620" s="517"/>
      <c r="J620" s="517"/>
      <c r="K620" s="564"/>
    </row>
    <row r="621" spans="1:11" x14ac:dyDescent="0.2">
      <c r="A621" s="517"/>
      <c r="B621" s="517"/>
      <c r="C621" s="517"/>
      <c r="D621" s="517"/>
      <c r="E621" s="517"/>
      <c r="F621" s="517"/>
      <c r="G621" s="517"/>
      <c r="H621" s="517"/>
      <c r="I621" s="517"/>
      <c r="J621" s="517"/>
      <c r="K621" s="564"/>
    </row>
    <row r="622" spans="1:11" x14ac:dyDescent="0.2">
      <c r="A622" s="517"/>
      <c r="B622" s="517"/>
      <c r="C622" s="517"/>
      <c r="D622" s="517"/>
      <c r="E622" s="517"/>
      <c r="F622" s="517"/>
      <c r="G622" s="517"/>
      <c r="H622" s="517"/>
      <c r="I622" s="517"/>
      <c r="J622" s="517"/>
      <c r="K622" s="564"/>
    </row>
    <row r="623" spans="1:11" x14ac:dyDescent="0.2">
      <c r="A623" s="517"/>
      <c r="B623" s="517"/>
      <c r="C623" s="517"/>
      <c r="D623" s="517"/>
      <c r="E623" s="517"/>
      <c r="F623" s="517"/>
      <c r="G623" s="517"/>
      <c r="H623" s="517"/>
      <c r="I623" s="517"/>
      <c r="J623" s="517"/>
      <c r="K623" s="564"/>
    </row>
    <row r="624" spans="1:11" x14ac:dyDescent="0.2">
      <c r="A624" s="517"/>
      <c r="B624" s="517"/>
      <c r="C624" s="517"/>
      <c r="D624" s="517"/>
      <c r="E624" s="517"/>
      <c r="F624" s="517"/>
      <c r="G624" s="517"/>
      <c r="H624" s="517"/>
      <c r="I624" s="517"/>
      <c r="J624" s="517"/>
      <c r="K624" s="564"/>
    </row>
    <row r="625" spans="1:11" x14ac:dyDescent="0.2">
      <c r="A625" s="517"/>
      <c r="B625" s="517"/>
      <c r="C625" s="517"/>
      <c r="D625" s="517"/>
      <c r="E625" s="517"/>
      <c r="F625" s="517"/>
      <c r="G625" s="517"/>
      <c r="H625" s="517"/>
      <c r="I625" s="517"/>
      <c r="J625" s="517"/>
      <c r="K625" s="564"/>
    </row>
    <row r="626" spans="1:11" x14ac:dyDescent="0.2">
      <c r="A626" s="517"/>
      <c r="B626" s="517"/>
      <c r="C626" s="517"/>
      <c r="D626" s="517"/>
      <c r="E626" s="517"/>
      <c r="F626" s="517"/>
      <c r="G626" s="517"/>
      <c r="H626" s="517"/>
      <c r="I626" s="517"/>
      <c r="J626" s="517"/>
      <c r="K626" s="564"/>
    </row>
    <row r="627" spans="1:11" x14ac:dyDescent="0.2">
      <c r="A627" s="517"/>
      <c r="B627" s="517"/>
      <c r="C627" s="517"/>
      <c r="D627" s="517"/>
      <c r="E627" s="517"/>
      <c r="F627" s="517"/>
      <c r="G627" s="517"/>
      <c r="H627" s="517"/>
      <c r="I627" s="517"/>
      <c r="J627" s="517"/>
      <c r="K627" s="564"/>
    </row>
    <row r="628" spans="1:11" x14ac:dyDescent="0.2">
      <c r="A628" s="517"/>
      <c r="B628" s="517"/>
      <c r="C628" s="517"/>
      <c r="D628" s="517"/>
      <c r="E628" s="517"/>
      <c r="F628" s="517"/>
      <c r="G628" s="517"/>
      <c r="H628" s="517"/>
      <c r="I628" s="517"/>
      <c r="J628" s="517"/>
      <c r="K628" s="564"/>
    </row>
    <row r="629" spans="1:11" x14ac:dyDescent="0.2">
      <c r="A629" s="517"/>
      <c r="B629" s="517"/>
      <c r="C629" s="517"/>
      <c r="D629" s="517"/>
      <c r="E629" s="517"/>
      <c r="F629" s="517"/>
      <c r="G629" s="517"/>
      <c r="H629" s="517"/>
      <c r="I629" s="517"/>
      <c r="J629" s="517"/>
      <c r="K629" s="564"/>
    </row>
    <row r="630" spans="1:11" x14ac:dyDescent="0.2">
      <c r="A630" s="517"/>
      <c r="B630" s="517"/>
      <c r="C630" s="517"/>
      <c r="D630" s="517"/>
      <c r="E630" s="517"/>
      <c r="F630" s="517"/>
      <c r="G630" s="517"/>
      <c r="H630" s="517"/>
      <c r="I630" s="517"/>
      <c r="J630" s="517"/>
      <c r="K630" s="564"/>
    </row>
    <row r="631" spans="1:11" x14ac:dyDescent="0.2">
      <c r="A631" s="517"/>
      <c r="B631" s="517"/>
      <c r="C631" s="517"/>
      <c r="D631" s="517"/>
      <c r="E631" s="517"/>
      <c r="F631" s="517"/>
      <c r="G631" s="517"/>
      <c r="H631" s="517"/>
      <c r="I631" s="517"/>
      <c r="J631" s="517"/>
      <c r="K631" s="564"/>
    </row>
    <row r="632" spans="1:11" x14ac:dyDescent="0.2">
      <c r="A632" s="517"/>
      <c r="B632" s="517"/>
      <c r="C632" s="517"/>
      <c r="D632" s="517"/>
      <c r="E632" s="517"/>
      <c r="F632" s="517"/>
      <c r="G632" s="517"/>
      <c r="H632" s="517"/>
      <c r="I632" s="517"/>
      <c r="J632" s="517"/>
      <c r="K632" s="564"/>
    </row>
    <row r="633" spans="1:11" x14ac:dyDescent="0.2">
      <c r="A633" s="517"/>
      <c r="B633" s="517"/>
      <c r="C633" s="517"/>
      <c r="D633" s="517"/>
      <c r="E633" s="517"/>
      <c r="F633" s="517"/>
      <c r="G633" s="517"/>
      <c r="H633" s="517"/>
      <c r="I633" s="517"/>
      <c r="J633" s="517"/>
      <c r="K633" s="564"/>
    </row>
    <row r="634" spans="1:11" x14ac:dyDescent="0.2">
      <c r="A634" s="517"/>
      <c r="B634" s="517"/>
      <c r="C634" s="517"/>
      <c r="D634" s="517"/>
      <c r="E634" s="517"/>
      <c r="F634" s="517"/>
      <c r="G634" s="517"/>
      <c r="H634" s="517"/>
      <c r="I634" s="517"/>
      <c r="J634" s="517"/>
      <c r="K634" s="564"/>
    </row>
    <row r="635" spans="1:11" x14ac:dyDescent="0.2">
      <c r="A635" s="517"/>
      <c r="B635" s="517"/>
      <c r="C635" s="517"/>
      <c r="D635" s="517"/>
      <c r="E635" s="517"/>
      <c r="F635" s="517"/>
      <c r="G635" s="517"/>
      <c r="H635" s="517"/>
      <c r="I635" s="517"/>
      <c r="J635" s="517"/>
      <c r="K635" s="564"/>
    </row>
    <row r="636" spans="1:11" x14ac:dyDescent="0.2">
      <c r="A636" s="517"/>
      <c r="B636" s="517"/>
      <c r="C636" s="517"/>
      <c r="D636" s="517"/>
      <c r="E636" s="517"/>
      <c r="F636" s="517"/>
      <c r="G636" s="517"/>
      <c r="H636" s="517"/>
      <c r="I636" s="517"/>
      <c r="J636" s="517"/>
      <c r="K636" s="564"/>
    </row>
    <row r="637" spans="1:11" x14ac:dyDescent="0.2">
      <c r="A637" s="517"/>
      <c r="B637" s="517"/>
      <c r="C637" s="517"/>
      <c r="D637" s="517"/>
      <c r="E637" s="517"/>
      <c r="F637" s="517"/>
      <c r="G637" s="517"/>
      <c r="H637" s="517"/>
      <c r="I637" s="517"/>
      <c r="J637" s="517"/>
      <c r="K637" s="564"/>
    </row>
    <row r="638" spans="1:11" x14ac:dyDescent="0.2">
      <c r="A638" s="517"/>
      <c r="B638" s="517"/>
      <c r="C638" s="517"/>
      <c r="D638" s="517"/>
      <c r="E638" s="517"/>
      <c r="F638" s="517"/>
      <c r="G638" s="517"/>
      <c r="H638" s="517"/>
      <c r="I638" s="517"/>
      <c r="J638" s="517"/>
      <c r="K638" s="564"/>
    </row>
    <row r="639" spans="1:11" x14ac:dyDescent="0.2">
      <c r="A639" s="517"/>
      <c r="B639" s="517"/>
      <c r="C639" s="517"/>
      <c r="D639" s="517"/>
      <c r="E639" s="517"/>
      <c r="F639" s="517"/>
      <c r="G639" s="517"/>
      <c r="H639" s="517"/>
      <c r="I639" s="517"/>
      <c r="J639" s="517"/>
      <c r="K639" s="564"/>
    </row>
    <row r="640" spans="1:11" x14ac:dyDescent="0.2">
      <c r="A640" s="517"/>
      <c r="B640" s="517"/>
      <c r="C640" s="517"/>
      <c r="D640" s="517"/>
      <c r="E640" s="517"/>
      <c r="F640" s="517"/>
      <c r="G640" s="517"/>
      <c r="H640" s="517"/>
      <c r="I640" s="517"/>
      <c r="J640" s="517"/>
      <c r="K640" s="564"/>
    </row>
    <row r="641" spans="1:11" x14ac:dyDescent="0.2">
      <c r="A641" s="517"/>
      <c r="B641" s="517"/>
      <c r="C641" s="517"/>
      <c r="D641" s="517"/>
      <c r="E641" s="517"/>
      <c r="F641" s="517"/>
      <c r="G641" s="517"/>
      <c r="H641" s="517"/>
      <c r="I641" s="517"/>
      <c r="J641" s="517"/>
      <c r="K641" s="564"/>
    </row>
    <row r="642" spans="1:11" x14ac:dyDescent="0.2">
      <c r="A642" s="517"/>
      <c r="B642" s="517"/>
      <c r="C642" s="517"/>
      <c r="D642" s="517"/>
      <c r="E642" s="517"/>
      <c r="F642" s="517"/>
      <c r="G642" s="517"/>
      <c r="H642" s="517"/>
      <c r="I642" s="517"/>
      <c r="J642" s="517"/>
      <c r="K642" s="564"/>
    </row>
    <row r="643" spans="1:11" x14ac:dyDescent="0.2">
      <c r="A643" s="517"/>
      <c r="B643" s="517"/>
      <c r="C643" s="517"/>
      <c r="D643" s="517"/>
      <c r="E643" s="517"/>
      <c r="F643" s="517"/>
      <c r="G643" s="517"/>
      <c r="H643" s="517"/>
      <c r="I643" s="517"/>
      <c r="J643" s="517"/>
      <c r="K643" s="564"/>
    </row>
    <row r="644" spans="1:11" x14ac:dyDescent="0.2">
      <c r="A644" s="517"/>
      <c r="B644" s="517"/>
      <c r="C644" s="517"/>
      <c r="D644" s="517"/>
      <c r="E644" s="517"/>
      <c r="F644" s="517"/>
      <c r="G644" s="517"/>
      <c r="H644" s="517"/>
      <c r="I644" s="517"/>
      <c r="J644" s="517"/>
      <c r="K644" s="564"/>
    </row>
    <row r="645" spans="1:11" x14ac:dyDescent="0.2">
      <c r="A645" s="517"/>
      <c r="B645" s="517"/>
      <c r="C645" s="517"/>
      <c r="D645" s="517"/>
      <c r="E645" s="517"/>
      <c r="F645" s="517"/>
      <c r="G645" s="517"/>
      <c r="H645" s="517"/>
      <c r="I645" s="517"/>
      <c r="J645" s="517"/>
      <c r="K645" s="564"/>
    </row>
    <row r="646" spans="1:11" x14ac:dyDescent="0.2">
      <c r="A646" s="517"/>
      <c r="B646" s="517"/>
      <c r="C646" s="517"/>
      <c r="D646" s="517"/>
      <c r="E646" s="517"/>
      <c r="F646" s="517"/>
      <c r="G646" s="517"/>
      <c r="H646" s="517"/>
      <c r="I646" s="517"/>
      <c r="J646" s="517"/>
      <c r="K646" s="564"/>
    </row>
    <row r="647" spans="1:11" x14ac:dyDescent="0.2">
      <c r="A647" s="517"/>
      <c r="B647" s="517"/>
      <c r="C647" s="517"/>
      <c r="D647" s="517"/>
      <c r="E647" s="517"/>
      <c r="F647" s="517"/>
      <c r="G647" s="517"/>
      <c r="H647" s="517"/>
      <c r="I647" s="517"/>
      <c r="J647" s="517"/>
      <c r="K647" s="564"/>
    </row>
    <row r="648" spans="1:11" x14ac:dyDescent="0.2">
      <c r="A648" s="517"/>
      <c r="B648" s="517"/>
      <c r="C648" s="517"/>
      <c r="D648" s="517"/>
      <c r="E648" s="517"/>
      <c r="F648" s="517"/>
      <c r="G648" s="517"/>
      <c r="H648" s="517"/>
      <c r="I648" s="517"/>
      <c r="J648" s="517"/>
      <c r="K648" s="564"/>
    </row>
    <row r="649" spans="1:11" x14ac:dyDescent="0.2">
      <c r="A649" s="517"/>
      <c r="B649" s="517"/>
      <c r="C649" s="517"/>
      <c r="D649" s="517"/>
      <c r="E649" s="517"/>
      <c r="F649" s="517"/>
      <c r="G649" s="517"/>
      <c r="H649" s="517"/>
      <c r="I649" s="517"/>
      <c r="J649" s="517"/>
      <c r="K649" s="564"/>
    </row>
    <row r="650" spans="1:11" x14ac:dyDescent="0.2">
      <c r="A650" s="517"/>
      <c r="B650" s="517"/>
      <c r="C650" s="517"/>
      <c r="D650" s="517"/>
      <c r="E650" s="517"/>
      <c r="F650" s="517"/>
      <c r="G650" s="517"/>
      <c r="H650" s="517"/>
      <c r="I650" s="517"/>
      <c r="J650" s="517"/>
      <c r="K650" s="564"/>
    </row>
    <row r="651" spans="1:11" x14ac:dyDescent="0.2">
      <c r="A651" s="517"/>
      <c r="B651" s="517"/>
      <c r="C651" s="517"/>
      <c r="D651" s="517"/>
      <c r="E651" s="517"/>
      <c r="F651" s="517"/>
      <c r="G651" s="517"/>
      <c r="H651" s="517"/>
      <c r="I651" s="517"/>
      <c r="J651" s="517"/>
      <c r="K651" s="564"/>
    </row>
    <row r="652" spans="1:11" x14ac:dyDescent="0.2">
      <c r="A652" s="517"/>
      <c r="B652" s="517"/>
      <c r="C652" s="517"/>
      <c r="D652" s="517"/>
      <c r="E652" s="517"/>
      <c r="F652" s="517"/>
      <c r="G652" s="517"/>
      <c r="H652" s="517"/>
      <c r="I652" s="517"/>
      <c r="J652" s="517"/>
      <c r="K652" s="564"/>
    </row>
    <row r="653" spans="1:11" x14ac:dyDescent="0.2">
      <c r="A653" s="517"/>
      <c r="B653" s="517"/>
      <c r="C653" s="517"/>
      <c r="D653" s="517"/>
      <c r="E653" s="517"/>
      <c r="F653" s="517"/>
      <c r="G653" s="517"/>
      <c r="H653" s="517"/>
      <c r="I653" s="517"/>
      <c r="J653" s="517"/>
      <c r="K653" s="564"/>
    </row>
    <row r="654" spans="1:11" x14ac:dyDescent="0.2">
      <c r="A654" s="517"/>
      <c r="B654" s="517"/>
      <c r="C654" s="517"/>
      <c r="D654" s="517"/>
      <c r="E654" s="517"/>
      <c r="F654" s="517"/>
      <c r="G654" s="517"/>
      <c r="H654" s="517"/>
      <c r="I654" s="517"/>
      <c r="J654" s="517"/>
      <c r="K654" s="564"/>
    </row>
    <row r="655" spans="1:11" x14ac:dyDescent="0.2">
      <c r="A655" s="517"/>
      <c r="B655" s="517"/>
      <c r="C655" s="517"/>
      <c r="D655" s="517"/>
      <c r="E655" s="517"/>
      <c r="F655" s="517"/>
      <c r="G655" s="517"/>
      <c r="H655" s="517"/>
      <c r="I655" s="517"/>
      <c r="J655" s="517"/>
      <c r="K655" s="564"/>
    </row>
    <row r="656" spans="1:11" x14ac:dyDescent="0.2">
      <c r="A656" s="517"/>
      <c r="B656" s="517"/>
      <c r="C656" s="517"/>
      <c r="D656" s="517"/>
      <c r="E656" s="517"/>
      <c r="F656" s="517"/>
      <c r="G656" s="517"/>
      <c r="H656" s="517"/>
      <c r="I656" s="517"/>
      <c r="J656" s="517"/>
      <c r="K656" s="564"/>
    </row>
    <row r="657" spans="1:11" x14ac:dyDescent="0.2">
      <c r="A657" s="517"/>
      <c r="B657" s="517"/>
      <c r="C657" s="517"/>
      <c r="D657" s="517"/>
      <c r="E657" s="517"/>
      <c r="F657" s="517"/>
      <c r="G657" s="517"/>
      <c r="H657" s="517"/>
      <c r="I657" s="517"/>
      <c r="J657" s="517"/>
      <c r="K657" s="564"/>
    </row>
    <row r="658" spans="1:11" x14ac:dyDescent="0.2">
      <c r="A658" s="517"/>
      <c r="B658" s="517"/>
      <c r="C658" s="517"/>
      <c r="D658" s="517"/>
      <c r="E658" s="517"/>
      <c r="F658" s="517"/>
      <c r="G658" s="517"/>
      <c r="H658" s="517"/>
      <c r="I658" s="517"/>
      <c r="J658" s="517"/>
      <c r="K658" s="564"/>
    </row>
    <row r="659" spans="1:11" x14ac:dyDescent="0.2">
      <c r="A659" s="517"/>
      <c r="B659" s="517"/>
      <c r="C659" s="517"/>
      <c r="D659" s="517"/>
      <c r="E659" s="517"/>
      <c r="F659" s="517"/>
      <c r="G659" s="517"/>
      <c r="H659" s="517"/>
      <c r="I659" s="517"/>
      <c r="J659" s="517"/>
      <c r="K659" s="564"/>
    </row>
    <row r="660" spans="1:11" x14ac:dyDescent="0.2">
      <c r="A660" s="517"/>
      <c r="B660" s="517"/>
      <c r="C660" s="517"/>
      <c r="D660" s="517"/>
      <c r="E660" s="517"/>
      <c r="F660" s="517"/>
      <c r="G660" s="517"/>
      <c r="H660" s="517"/>
      <c r="I660" s="517"/>
      <c r="J660" s="517"/>
      <c r="K660" s="564"/>
    </row>
    <row r="661" spans="1:11" x14ac:dyDescent="0.2">
      <c r="A661" s="517"/>
      <c r="B661" s="517"/>
      <c r="C661" s="517"/>
      <c r="D661" s="517"/>
      <c r="E661" s="517"/>
      <c r="F661" s="517"/>
      <c r="G661" s="517"/>
      <c r="H661" s="517"/>
      <c r="I661" s="517"/>
      <c r="J661" s="517"/>
      <c r="K661" s="564"/>
    </row>
    <row r="662" spans="1:11" x14ac:dyDescent="0.2">
      <c r="A662" s="517"/>
      <c r="B662" s="517"/>
      <c r="C662" s="517"/>
      <c r="D662" s="517"/>
      <c r="E662" s="517"/>
      <c r="F662" s="517"/>
      <c r="G662" s="517"/>
      <c r="H662" s="517"/>
      <c r="I662" s="517"/>
      <c r="J662" s="517"/>
      <c r="K662" s="564"/>
    </row>
    <row r="663" spans="1:11" x14ac:dyDescent="0.2">
      <c r="A663" s="517"/>
      <c r="B663" s="517"/>
      <c r="C663" s="517"/>
      <c r="D663" s="517"/>
      <c r="E663" s="517"/>
      <c r="F663" s="517"/>
      <c r="G663" s="517"/>
      <c r="H663" s="517"/>
      <c r="I663" s="517"/>
      <c r="J663" s="517"/>
      <c r="K663" s="564"/>
    </row>
    <row r="664" spans="1:11" x14ac:dyDescent="0.2">
      <c r="A664" s="517"/>
      <c r="B664" s="517"/>
      <c r="C664" s="517"/>
      <c r="D664" s="517"/>
      <c r="E664" s="517"/>
      <c r="F664" s="517"/>
      <c r="G664" s="517"/>
      <c r="H664" s="517"/>
      <c r="I664" s="517"/>
      <c r="J664" s="517"/>
      <c r="K664" s="564"/>
    </row>
    <row r="665" spans="1:11" x14ac:dyDescent="0.2">
      <c r="A665" s="517"/>
      <c r="B665" s="517"/>
      <c r="C665" s="517"/>
      <c r="D665" s="517"/>
      <c r="E665" s="517"/>
      <c r="F665" s="517"/>
      <c r="G665" s="517"/>
      <c r="H665" s="517"/>
      <c r="I665" s="517"/>
      <c r="J665" s="517"/>
      <c r="K665" s="564"/>
    </row>
    <row r="666" spans="1:11" x14ac:dyDescent="0.2">
      <c r="A666" s="517"/>
      <c r="B666" s="517"/>
      <c r="C666" s="517"/>
      <c r="D666" s="517"/>
      <c r="E666" s="517"/>
      <c r="F666" s="517"/>
      <c r="G666" s="517"/>
      <c r="H666" s="517"/>
      <c r="I666" s="517"/>
      <c r="J666" s="517"/>
      <c r="K666" s="564"/>
    </row>
    <row r="667" spans="1:11" x14ac:dyDescent="0.2">
      <c r="A667" s="517"/>
      <c r="B667" s="517"/>
      <c r="C667" s="517"/>
      <c r="D667" s="517"/>
      <c r="E667" s="517"/>
      <c r="F667" s="517"/>
      <c r="G667" s="517"/>
      <c r="H667" s="517"/>
      <c r="I667" s="517"/>
      <c r="J667" s="517"/>
      <c r="K667" s="564"/>
    </row>
    <row r="668" spans="1:11" x14ac:dyDescent="0.2">
      <c r="A668" s="517"/>
      <c r="B668" s="517"/>
      <c r="C668" s="517"/>
      <c r="D668" s="517"/>
      <c r="E668" s="517"/>
      <c r="F668" s="517"/>
      <c r="G668" s="517"/>
      <c r="H668" s="517"/>
      <c r="I668" s="517"/>
      <c r="J668" s="517"/>
      <c r="K668" s="564"/>
    </row>
    <row r="669" spans="1:11" x14ac:dyDescent="0.2">
      <c r="A669" s="517"/>
      <c r="B669" s="517"/>
      <c r="C669" s="517"/>
      <c r="D669" s="517"/>
      <c r="E669" s="517"/>
      <c r="F669" s="517"/>
      <c r="G669" s="517"/>
      <c r="H669" s="517"/>
      <c r="I669" s="517"/>
      <c r="J669" s="517"/>
      <c r="K669" s="564"/>
    </row>
    <row r="670" spans="1:11" x14ac:dyDescent="0.2">
      <c r="A670" s="517"/>
      <c r="B670" s="517"/>
      <c r="C670" s="517"/>
      <c r="D670" s="517"/>
      <c r="E670" s="517"/>
      <c r="F670" s="517"/>
      <c r="G670" s="517"/>
      <c r="H670" s="517"/>
      <c r="I670" s="517"/>
      <c r="J670" s="517"/>
      <c r="K670" s="564"/>
    </row>
    <row r="671" spans="1:11" x14ac:dyDescent="0.2">
      <c r="A671" s="517"/>
      <c r="B671" s="517"/>
      <c r="C671" s="517"/>
      <c r="D671" s="517"/>
      <c r="E671" s="517"/>
      <c r="F671" s="517"/>
      <c r="G671" s="517"/>
      <c r="H671" s="517"/>
      <c r="I671" s="517"/>
      <c r="J671" s="517"/>
      <c r="K671" s="564"/>
    </row>
    <row r="672" spans="1:11" x14ac:dyDescent="0.2">
      <c r="A672" s="517"/>
      <c r="B672" s="517"/>
      <c r="C672" s="517"/>
      <c r="D672" s="517"/>
      <c r="E672" s="517"/>
      <c r="F672" s="517"/>
      <c r="G672" s="517"/>
      <c r="H672" s="517"/>
      <c r="I672" s="517"/>
      <c r="J672" s="517"/>
      <c r="K672" s="564"/>
    </row>
    <row r="673" spans="1:11" x14ac:dyDescent="0.2">
      <c r="A673" s="517"/>
      <c r="B673" s="517"/>
      <c r="C673" s="517"/>
      <c r="D673" s="517"/>
      <c r="E673" s="517"/>
      <c r="F673" s="517"/>
      <c r="G673" s="517"/>
      <c r="H673" s="517"/>
      <c r="I673" s="517"/>
      <c r="J673" s="517"/>
      <c r="K673" s="564"/>
    </row>
    <row r="674" spans="1:11" x14ac:dyDescent="0.2">
      <c r="A674" s="517"/>
      <c r="B674" s="517"/>
      <c r="C674" s="517"/>
      <c r="D674" s="517"/>
      <c r="E674" s="517"/>
      <c r="F674" s="517"/>
      <c r="G674" s="517"/>
      <c r="H674" s="517"/>
      <c r="I674" s="517"/>
      <c r="J674" s="517"/>
      <c r="K674" s="564"/>
    </row>
    <row r="675" spans="1:11" x14ac:dyDescent="0.2">
      <c r="A675" s="517"/>
      <c r="B675" s="517"/>
      <c r="C675" s="517"/>
      <c r="D675" s="517"/>
      <c r="E675" s="517"/>
      <c r="F675" s="517"/>
      <c r="G675" s="517"/>
      <c r="H675" s="517"/>
      <c r="I675" s="517"/>
      <c r="J675" s="517"/>
      <c r="K675" s="564"/>
    </row>
    <row r="676" spans="1:11" x14ac:dyDescent="0.2">
      <c r="A676" s="517"/>
      <c r="B676" s="517"/>
      <c r="C676" s="517"/>
      <c r="D676" s="517"/>
      <c r="E676" s="517"/>
      <c r="F676" s="517"/>
      <c r="G676" s="517"/>
      <c r="H676" s="517"/>
      <c r="I676" s="517"/>
      <c r="J676" s="517"/>
      <c r="K676" s="564"/>
    </row>
    <row r="677" spans="1:11" x14ac:dyDescent="0.2">
      <c r="A677" s="517"/>
      <c r="B677" s="517"/>
      <c r="C677" s="517"/>
      <c r="D677" s="517"/>
      <c r="E677" s="517"/>
      <c r="F677" s="517"/>
      <c r="G677" s="517"/>
      <c r="H677" s="517"/>
      <c r="I677" s="517"/>
      <c r="J677" s="517"/>
      <c r="K677" s="564"/>
    </row>
    <row r="678" spans="1:11" x14ac:dyDescent="0.2">
      <c r="A678" s="517"/>
      <c r="B678" s="517"/>
      <c r="C678" s="517"/>
      <c r="D678" s="517"/>
      <c r="E678" s="517"/>
      <c r="F678" s="517"/>
      <c r="G678" s="517"/>
      <c r="H678" s="517"/>
      <c r="I678" s="517"/>
      <c r="J678" s="517"/>
      <c r="K678" s="564"/>
    </row>
    <row r="679" spans="1:11" x14ac:dyDescent="0.2">
      <c r="A679" s="517"/>
      <c r="B679" s="517"/>
      <c r="F679" s="517"/>
      <c r="G679" s="517"/>
      <c r="H679" s="517"/>
      <c r="I679" s="517"/>
      <c r="J679" s="517"/>
      <c r="K679" s="564"/>
    </row>
    <row r="680" spans="1:11" x14ac:dyDescent="0.2">
      <c r="A680" s="517"/>
      <c r="B680" s="517"/>
      <c r="F680" s="517"/>
      <c r="G680" s="517"/>
      <c r="H680" s="517"/>
      <c r="I680" s="517"/>
      <c r="J680" s="517"/>
      <c r="K680" s="564"/>
    </row>
    <row r="681" spans="1:11" x14ac:dyDescent="0.2">
      <c r="A681" s="517"/>
      <c r="B681" s="517"/>
      <c r="F681" s="517"/>
      <c r="G681" s="517"/>
      <c r="H681" s="517"/>
      <c r="I681" s="517"/>
      <c r="J681" s="517"/>
      <c r="K681" s="564"/>
    </row>
    <row r="682" spans="1:11" x14ac:dyDescent="0.2">
      <c r="A682" s="517"/>
      <c r="B682" s="517"/>
      <c r="F682" s="517"/>
      <c r="G682" s="517"/>
      <c r="H682" s="517"/>
      <c r="I682" s="517"/>
      <c r="J682" s="517"/>
      <c r="K682" s="564"/>
    </row>
    <row r="683" spans="1:11" x14ac:dyDescent="0.2">
      <c r="A683" s="517"/>
      <c r="B683" s="517"/>
      <c r="F683" s="517"/>
      <c r="G683" s="517"/>
      <c r="H683" s="517"/>
      <c r="I683" s="517"/>
      <c r="J683" s="517"/>
      <c r="K683" s="564"/>
    </row>
    <row r="684" spans="1:11" x14ac:dyDescent="0.2">
      <c r="A684" s="517"/>
      <c r="B684" s="517"/>
      <c r="F684" s="517"/>
      <c r="G684" s="517"/>
      <c r="H684" s="517"/>
      <c r="I684" s="517"/>
      <c r="J684" s="517"/>
      <c r="K684" s="564"/>
    </row>
    <row r="685" spans="1:11" x14ac:dyDescent="0.2">
      <c r="A685" s="517"/>
      <c r="B685" s="517"/>
      <c r="F685" s="517"/>
      <c r="G685" s="517"/>
      <c r="H685" s="517"/>
      <c r="I685" s="517"/>
      <c r="J685" s="517"/>
      <c r="K685" s="564"/>
    </row>
    <row r="686" spans="1:11" x14ac:dyDescent="0.2">
      <c r="A686" s="517"/>
      <c r="B686" s="517"/>
      <c r="F686" s="517"/>
      <c r="G686" s="517"/>
      <c r="H686" s="517"/>
      <c r="I686" s="517"/>
      <c r="J686" s="517"/>
      <c r="K686" s="564"/>
    </row>
    <row r="687" spans="1:11" x14ac:dyDescent="0.2">
      <c r="A687" s="517"/>
      <c r="B687" s="517"/>
      <c r="F687" s="517"/>
      <c r="G687" s="517"/>
      <c r="H687" s="517"/>
      <c r="I687" s="517"/>
      <c r="J687" s="517"/>
      <c r="K687" s="564"/>
    </row>
  </sheetData>
  <mergeCells count="7">
    <mergeCell ref="A46:B46"/>
    <mergeCell ref="A1:E1"/>
    <mergeCell ref="A2:F2"/>
    <mergeCell ref="A5:A7"/>
    <mergeCell ref="B5:D5"/>
    <mergeCell ref="E5:E6"/>
    <mergeCell ref="E7:E14"/>
  </mergeCells>
  <printOptions horizontalCentered="1" verticalCentered="1"/>
  <pageMargins left="0.39370078740157483" right="0.39370078740157483" top="0" bottom="0.27559055118110237" header="0" footer="0.15748031496062992"/>
  <pageSetup paperSize="9" scale="75" firstPageNumber="0" orientation="portrait" horizontalDpi="300" verticalDpi="300" r:id="rId1"/>
  <headerFooter alignWithMargins="0">
    <oddHeader>&amp;C2022. évi költségvetés
&amp;R&amp;A</oddHeader>
    <oddFooter>&amp;C&amp;9&amp;P/&amp;N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Z96"/>
  <sheetViews>
    <sheetView view="pageBreakPreview" zoomScaleNormal="100" zoomScaleSheetLayoutView="100" workbookViewId="0">
      <pane xSplit="2" ySplit="2" topLeftCell="C51" activePane="bottomRight" state="frozen"/>
      <selection activeCell="G30" sqref="G30"/>
      <selection pane="topRight" activeCell="G30" sqref="G30"/>
      <selection pane="bottomLeft" activeCell="G30" sqref="G30"/>
      <selection pane="bottomRight" activeCell="C1" sqref="C1:K1"/>
    </sheetView>
  </sheetViews>
  <sheetFormatPr defaultRowHeight="12.75" x14ac:dyDescent="0.2"/>
  <cols>
    <col min="1" max="1" width="5.5703125" customWidth="1"/>
    <col min="2" max="2" width="66.140625" customWidth="1"/>
    <col min="3" max="3" width="15.7109375" bestFit="1" customWidth="1"/>
    <col min="4" max="23" width="14.85546875" customWidth="1"/>
    <col min="24" max="24" width="15" customWidth="1"/>
    <col min="25" max="25" width="12.28515625" bestFit="1" customWidth="1"/>
  </cols>
  <sheetData>
    <row r="1" spans="1:23" ht="36.6" customHeight="1" x14ac:dyDescent="0.2">
      <c r="A1" s="566"/>
      <c r="B1" s="567"/>
      <c r="C1" s="2206" t="s">
        <v>1278</v>
      </c>
      <c r="D1" s="2206"/>
      <c r="E1" s="2206"/>
      <c r="F1" s="2206"/>
      <c r="G1" s="2206"/>
      <c r="H1" s="2206"/>
      <c r="I1" s="2206"/>
      <c r="J1" s="2206"/>
      <c r="K1" s="2206"/>
      <c r="L1" s="2206" t="s">
        <v>1278</v>
      </c>
      <c r="M1" s="2206"/>
      <c r="N1" s="2206"/>
      <c r="O1" s="2206"/>
      <c r="P1" s="2206"/>
      <c r="Q1" s="2206"/>
      <c r="R1" s="2206"/>
      <c r="S1" s="2206"/>
      <c r="T1" s="2206"/>
      <c r="U1" s="2206"/>
      <c r="V1" s="568"/>
    </row>
    <row r="2" spans="1:23" s="129" customFormat="1" ht="35.25" customHeight="1" x14ac:dyDescent="0.2">
      <c r="A2" s="569" t="s">
        <v>37</v>
      </c>
      <c r="B2" s="570" t="s">
        <v>2</v>
      </c>
      <c r="C2" s="569" t="s">
        <v>998</v>
      </c>
      <c r="D2" s="569" t="s">
        <v>999</v>
      </c>
      <c r="E2" s="569" t="s">
        <v>1000</v>
      </c>
      <c r="F2" s="569" t="s">
        <v>1025</v>
      </c>
      <c r="G2" s="569" t="s">
        <v>1103</v>
      </c>
      <c r="H2" s="569" t="s">
        <v>1104</v>
      </c>
      <c r="I2" s="569" t="s">
        <v>1105</v>
      </c>
      <c r="J2" s="569" t="s">
        <v>1106</v>
      </c>
      <c r="K2" s="569" t="s">
        <v>1107</v>
      </c>
      <c r="L2" s="569" t="s">
        <v>1108</v>
      </c>
      <c r="M2" s="569" t="s">
        <v>1109</v>
      </c>
      <c r="N2" s="569" t="s">
        <v>1110</v>
      </c>
      <c r="O2" s="569" t="s">
        <v>1111</v>
      </c>
      <c r="P2" s="569" t="s">
        <v>1112</v>
      </c>
      <c r="Q2" s="569" t="s">
        <v>1113</v>
      </c>
      <c r="R2" s="569" t="s">
        <v>1114</v>
      </c>
      <c r="S2" s="569" t="s">
        <v>1115</v>
      </c>
      <c r="T2" s="569" t="s">
        <v>1116</v>
      </c>
      <c r="U2" s="569" t="s">
        <v>119</v>
      </c>
    </row>
    <row r="3" spans="1:23" s="500" customFormat="1" ht="21" customHeight="1" x14ac:dyDescent="0.2">
      <c r="A3" s="571" t="s">
        <v>188</v>
      </c>
      <c r="B3" s="571" t="s">
        <v>1117</v>
      </c>
      <c r="C3" s="572" t="e">
        <f>+C56</f>
        <v>#REF!</v>
      </c>
      <c r="D3" s="572" t="e">
        <f t="shared" ref="D3:S3" si="0">+C3*1.001</f>
        <v>#REF!</v>
      </c>
      <c r="E3" s="572" t="e">
        <f t="shared" si="0"/>
        <v>#REF!</v>
      </c>
      <c r="F3" s="572" t="e">
        <f t="shared" si="0"/>
        <v>#REF!</v>
      </c>
      <c r="G3" s="572" t="e">
        <f t="shared" si="0"/>
        <v>#REF!</v>
      </c>
      <c r="H3" s="572" t="e">
        <f t="shared" si="0"/>
        <v>#REF!</v>
      </c>
      <c r="I3" s="572" t="e">
        <f t="shared" si="0"/>
        <v>#REF!</v>
      </c>
      <c r="J3" s="572" t="e">
        <f t="shared" si="0"/>
        <v>#REF!</v>
      </c>
      <c r="K3" s="572" t="e">
        <f t="shared" si="0"/>
        <v>#REF!</v>
      </c>
      <c r="L3" s="572" t="e">
        <f t="shared" si="0"/>
        <v>#REF!</v>
      </c>
      <c r="M3" s="572" t="e">
        <f t="shared" si="0"/>
        <v>#REF!</v>
      </c>
      <c r="N3" s="572" t="e">
        <f t="shared" si="0"/>
        <v>#REF!</v>
      </c>
      <c r="O3" s="572" t="e">
        <f t="shared" si="0"/>
        <v>#REF!</v>
      </c>
      <c r="P3" s="572" t="e">
        <f t="shared" si="0"/>
        <v>#REF!</v>
      </c>
      <c r="Q3" s="572" t="e">
        <f t="shared" si="0"/>
        <v>#REF!</v>
      </c>
      <c r="R3" s="572" t="e">
        <f t="shared" si="0"/>
        <v>#REF!</v>
      </c>
      <c r="S3" s="572" t="e">
        <f t="shared" si="0"/>
        <v>#REF!</v>
      </c>
      <c r="T3" s="572" t="e">
        <f>+S3*1.001</f>
        <v>#REF!</v>
      </c>
      <c r="U3" s="573" t="e">
        <f t="shared" ref="U3:U17" si="1">SUM(C3:T3)</f>
        <v>#REF!</v>
      </c>
    </row>
    <row r="4" spans="1:23" s="500" customFormat="1" ht="21" customHeight="1" x14ac:dyDescent="0.2">
      <c r="A4" s="571" t="s">
        <v>189</v>
      </c>
      <c r="B4" s="571" t="s">
        <v>1118</v>
      </c>
      <c r="C4" s="572">
        <v>0</v>
      </c>
      <c r="D4" s="572">
        <v>0</v>
      </c>
      <c r="E4" s="572">
        <v>0</v>
      </c>
      <c r="F4" s="572">
        <v>0</v>
      </c>
      <c r="G4" s="572">
        <v>0</v>
      </c>
      <c r="H4" s="572">
        <v>0</v>
      </c>
      <c r="I4" s="572">
        <v>0</v>
      </c>
      <c r="J4" s="572">
        <v>0</v>
      </c>
      <c r="K4" s="572">
        <v>0</v>
      </c>
      <c r="L4" s="572">
        <v>0</v>
      </c>
      <c r="M4" s="572">
        <v>0</v>
      </c>
      <c r="N4" s="572">
        <v>0</v>
      </c>
      <c r="O4" s="572">
        <v>0</v>
      </c>
      <c r="P4" s="572">
        <v>0</v>
      </c>
      <c r="Q4" s="572">
        <v>0</v>
      </c>
      <c r="R4" s="572">
        <v>0</v>
      </c>
      <c r="S4" s="572">
        <v>0</v>
      </c>
      <c r="T4" s="572">
        <v>0</v>
      </c>
      <c r="U4" s="573">
        <f t="shared" si="1"/>
        <v>0</v>
      </c>
    </row>
    <row r="5" spans="1:23" s="500" customFormat="1" ht="21" customHeight="1" x14ac:dyDescent="0.2">
      <c r="A5" s="571" t="s">
        <v>190</v>
      </c>
      <c r="B5" s="571" t="s">
        <v>1119</v>
      </c>
      <c r="C5" s="572">
        <f>+C63</f>
        <v>4000000</v>
      </c>
      <c r="D5" s="572">
        <v>3000000</v>
      </c>
      <c r="E5" s="572">
        <v>3000000</v>
      </c>
      <c r="F5" s="572">
        <v>3000000</v>
      </c>
      <c r="G5" s="572">
        <v>3000000</v>
      </c>
      <c r="H5" s="572">
        <v>3000000</v>
      </c>
      <c r="I5" s="572">
        <v>3000000</v>
      </c>
      <c r="J5" s="572">
        <v>3000000</v>
      </c>
      <c r="K5" s="572">
        <v>3000000</v>
      </c>
      <c r="L5" s="572">
        <v>3000000</v>
      </c>
      <c r="M5" s="572">
        <v>3000000</v>
      </c>
      <c r="N5" s="572">
        <v>3000000</v>
      </c>
      <c r="O5" s="572">
        <v>3000000</v>
      </c>
      <c r="P5" s="572">
        <v>3000000</v>
      </c>
      <c r="Q5" s="572">
        <v>3000000</v>
      </c>
      <c r="R5" s="572">
        <v>3000000</v>
      </c>
      <c r="S5" s="572">
        <v>3000000</v>
      </c>
      <c r="T5" s="572">
        <v>3000000</v>
      </c>
      <c r="U5" s="573">
        <f t="shared" si="1"/>
        <v>55000000</v>
      </c>
    </row>
    <row r="6" spans="1:23" s="500" customFormat="1" ht="33.75" customHeight="1" x14ac:dyDescent="0.2">
      <c r="A6" s="571" t="s">
        <v>191</v>
      </c>
      <c r="B6" s="571" t="s">
        <v>1120</v>
      </c>
      <c r="C6" s="572" t="e">
        <f>+C81</f>
        <v>#REF!</v>
      </c>
      <c r="D6" s="572" t="e">
        <f t="shared" ref="D6:T6" si="2">+C6*1.005</f>
        <v>#REF!</v>
      </c>
      <c r="E6" s="572" t="e">
        <f t="shared" si="2"/>
        <v>#REF!</v>
      </c>
      <c r="F6" s="572" t="e">
        <f t="shared" si="2"/>
        <v>#REF!</v>
      </c>
      <c r="G6" s="572" t="e">
        <f t="shared" si="2"/>
        <v>#REF!</v>
      </c>
      <c r="H6" s="572" t="e">
        <f t="shared" si="2"/>
        <v>#REF!</v>
      </c>
      <c r="I6" s="572" t="e">
        <f t="shared" si="2"/>
        <v>#REF!</v>
      </c>
      <c r="J6" s="572" t="e">
        <f t="shared" si="2"/>
        <v>#REF!</v>
      </c>
      <c r="K6" s="572" t="e">
        <f t="shared" si="2"/>
        <v>#REF!</v>
      </c>
      <c r="L6" s="572" t="e">
        <f t="shared" si="2"/>
        <v>#REF!</v>
      </c>
      <c r="M6" s="572" t="e">
        <f t="shared" si="2"/>
        <v>#REF!</v>
      </c>
      <c r="N6" s="572" t="e">
        <f t="shared" si="2"/>
        <v>#REF!</v>
      </c>
      <c r="O6" s="572" t="e">
        <f t="shared" si="2"/>
        <v>#REF!</v>
      </c>
      <c r="P6" s="572" t="e">
        <f t="shared" si="2"/>
        <v>#REF!</v>
      </c>
      <c r="Q6" s="572" t="e">
        <f t="shared" si="2"/>
        <v>#REF!</v>
      </c>
      <c r="R6" s="572" t="e">
        <f t="shared" si="2"/>
        <v>#REF!</v>
      </c>
      <c r="S6" s="572" t="e">
        <f t="shared" si="2"/>
        <v>#REF!</v>
      </c>
      <c r="T6" s="572" t="e">
        <f t="shared" si="2"/>
        <v>#REF!</v>
      </c>
      <c r="U6" s="573" t="e">
        <f t="shared" si="1"/>
        <v>#REF!</v>
      </c>
    </row>
    <row r="7" spans="1:23" s="500" customFormat="1" ht="21" customHeight="1" x14ac:dyDescent="0.2">
      <c r="A7" s="571" t="s">
        <v>192</v>
      </c>
      <c r="B7" s="571" t="s">
        <v>1121</v>
      </c>
      <c r="C7" s="572">
        <v>0</v>
      </c>
      <c r="D7" s="572">
        <v>0</v>
      </c>
      <c r="E7" s="572">
        <v>0</v>
      </c>
      <c r="F7" s="572">
        <v>0</v>
      </c>
      <c r="G7" s="572">
        <v>0</v>
      </c>
      <c r="H7" s="572">
        <v>0</v>
      </c>
      <c r="I7" s="572">
        <v>0</v>
      </c>
      <c r="J7" s="572">
        <v>0</v>
      </c>
      <c r="K7" s="572">
        <v>0</v>
      </c>
      <c r="L7" s="572">
        <v>0</v>
      </c>
      <c r="M7" s="572">
        <v>0</v>
      </c>
      <c r="N7" s="572">
        <v>0</v>
      </c>
      <c r="O7" s="572">
        <v>0</v>
      </c>
      <c r="P7" s="572">
        <v>0</v>
      </c>
      <c r="Q7" s="572">
        <v>0</v>
      </c>
      <c r="R7" s="572">
        <v>0</v>
      </c>
      <c r="S7" s="572">
        <v>0</v>
      </c>
      <c r="T7" s="572">
        <v>0</v>
      </c>
      <c r="U7" s="573">
        <f t="shared" si="1"/>
        <v>0</v>
      </c>
    </row>
    <row r="8" spans="1:23" s="500" customFormat="1" ht="21" customHeight="1" x14ac:dyDescent="0.2">
      <c r="A8" s="571" t="s">
        <v>193</v>
      </c>
      <c r="B8" s="571" t="s">
        <v>1122</v>
      </c>
      <c r="C8" s="572">
        <v>0</v>
      </c>
      <c r="D8" s="572">
        <v>0</v>
      </c>
      <c r="E8" s="572">
        <v>0</v>
      </c>
      <c r="F8" s="572">
        <v>0</v>
      </c>
      <c r="G8" s="572">
        <v>0</v>
      </c>
      <c r="H8" s="572">
        <v>0</v>
      </c>
      <c r="I8" s="572">
        <v>0</v>
      </c>
      <c r="J8" s="572">
        <v>0</v>
      </c>
      <c r="K8" s="572">
        <v>0</v>
      </c>
      <c r="L8" s="572">
        <v>0</v>
      </c>
      <c r="M8" s="572">
        <v>0</v>
      </c>
      <c r="N8" s="572">
        <v>0</v>
      </c>
      <c r="O8" s="572">
        <v>0</v>
      </c>
      <c r="P8" s="572">
        <v>0</v>
      </c>
      <c r="Q8" s="572">
        <v>0</v>
      </c>
      <c r="R8" s="572">
        <v>0</v>
      </c>
      <c r="S8" s="572">
        <v>0</v>
      </c>
      <c r="T8" s="572">
        <v>0</v>
      </c>
      <c r="U8" s="573">
        <f t="shared" si="1"/>
        <v>0</v>
      </c>
    </row>
    <row r="9" spans="1:23" s="500" customFormat="1" ht="21" customHeight="1" x14ac:dyDescent="0.2">
      <c r="A9" s="571" t="s">
        <v>194</v>
      </c>
      <c r="B9" s="571" t="s">
        <v>1123</v>
      </c>
      <c r="C9" s="572">
        <v>0</v>
      </c>
      <c r="D9" s="572">
        <v>0</v>
      </c>
      <c r="E9" s="572">
        <v>0</v>
      </c>
      <c r="F9" s="572">
        <v>0</v>
      </c>
      <c r="G9" s="572">
        <v>0</v>
      </c>
      <c r="H9" s="572">
        <v>0</v>
      </c>
      <c r="I9" s="572">
        <v>0</v>
      </c>
      <c r="J9" s="572">
        <v>0</v>
      </c>
      <c r="K9" s="572">
        <v>0</v>
      </c>
      <c r="L9" s="572">
        <v>0</v>
      </c>
      <c r="M9" s="572">
        <v>0</v>
      </c>
      <c r="N9" s="572">
        <v>0</v>
      </c>
      <c r="O9" s="572">
        <v>0</v>
      </c>
      <c r="P9" s="572">
        <v>0</v>
      </c>
      <c r="Q9" s="572">
        <v>0</v>
      </c>
      <c r="R9" s="572">
        <v>0</v>
      </c>
      <c r="S9" s="572">
        <v>0</v>
      </c>
      <c r="T9" s="572">
        <v>0</v>
      </c>
      <c r="U9" s="573">
        <f t="shared" si="1"/>
        <v>0</v>
      </c>
    </row>
    <row r="10" spans="1:23" s="500" customFormat="1" ht="21" customHeight="1" x14ac:dyDescent="0.2">
      <c r="A10" s="571" t="s">
        <v>195</v>
      </c>
      <c r="B10" s="570" t="s">
        <v>1124</v>
      </c>
      <c r="C10" s="573" t="e">
        <f t="shared" ref="C10:T10" si="3">SUM(C3:C9)</f>
        <v>#REF!</v>
      </c>
      <c r="D10" s="573" t="e">
        <f t="shared" si="3"/>
        <v>#REF!</v>
      </c>
      <c r="E10" s="573" t="e">
        <f t="shared" si="3"/>
        <v>#REF!</v>
      </c>
      <c r="F10" s="573" t="e">
        <f t="shared" si="3"/>
        <v>#REF!</v>
      </c>
      <c r="G10" s="573" t="e">
        <f t="shared" si="3"/>
        <v>#REF!</v>
      </c>
      <c r="H10" s="573" t="e">
        <f t="shared" si="3"/>
        <v>#REF!</v>
      </c>
      <c r="I10" s="573" t="e">
        <f t="shared" si="3"/>
        <v>#REF!</v>
      </c>
      <c r="J10" s="573" t="e">
        <f t="shared" si="3"/>
        <v>#REF!</v>
      </c>
      <c r="K10" s="573" t="e">
        <f t="shared" si="3"/>
        <v>#REF!</v>
      </c>
      <c r="L10" s="573" t="e">
        <f t="shared" si="3"/>
        <v>#REF!</v>
      </c>
      <c r="M10" s="573" t="e">
        <f t="shared" si="3"/>
        <v>#REF!</v>
      </c>
      <c r="N10" s="573" t="e">
        <f t="shared" si="3"/>
        <v>#REF!</v>
      </c>
      <c r="O10" s="573" t="e">
        <f t="shared" si="3"/>
        <v>#REF!</v>
      </c>
      <c r="P10" s="573" t="e">
        <f t="shared" si="3"/>
        <v>#REF!</v>
      </c>
      <c r="Q10" s="573" t="e">
        <f t="shared" si="3"/>
        <v>#REF!</v>
      </c>
      <c r="R10" s="573" t="e">
        <f t="shared" si="3"/>
        <v>#REF!</v>
      </c>
      <c r="S10" s="573" t="e">
        <f t="shared" si="3"/>
        <v>#REF!</v>
      </c>
      <c r="T10" s="573" t="e">
        <f t="shared" si="3"/>
        <v>#REF!</v>
      </c>
      <c r="U10" s="573" t="e">
        <f t="shared" si="1"/>
        <v>#REF!</v>
      </c>
    </row>
    <row r="11" spans="1:23" s="500" customFormat="1" ht="21" customHeight="1" x14ac:dyDescent="0.2">
      <c r="A11" s="571" t="s">
        <v>196</v>
      </c>
      <c r="B11" s="570" t="s">
        <v>1125</v>
      </c>
      <c r="C11" s="573" t="e">
        <f t="shared" ref="C11:T11" si="4">C10*0.5</f>
        <v>#REF!</v>
      </c>
      <c r="D11" s="573" t="e">
        <f t="shared" si="4"/>
        <v>#REF!</v>
      </c>
      <c r="E11" s="573" t="e">
        <f t="shared" si="4"/>
        <v>#REF!</v>
      </c>
      <c r="F11" s="573" t="e">
        <f t="shared" si="4"/>
        <v>#REF!</v>
      </c>
      <c r="G11" s="573" t="e">
        <f t="shared" si="4"/>
        <v>#REF!</v>
      </c>
      <c r="H11" s="573" t="e">
        <f t="shared" si="4"/>
        <v>#REF!</v>
      </c>
      <c r="I11" s="573" t="e">
        <f t="shared" si="4"/>
        <v>#REF!</v>
      </c>
      <c r="J11" s="573" t="e">
        <f t="shared" si="4"/>
        <v>#REF!</v>
      </c>
      <c r="K11" s="573" t="e">
        <f t="shared" si="4"/>
        <v>#REF!</v>
      </c>
      <c r="L11" s="573" t="e">
        <f t="shared" si="4"/>
        <v>#REF!</v>
      </c>
      <c r="M11" s="573" t="e">
        <f t="shared" si="4"/>
        <v>#REF!</v>
      </c>
      <c r="N11" s="573" t="e">
        <f t="shared" si="4"/>
        <v>#REF!</v>
      </c>
      <c r="O11" s="573" t="e">
        <f t="shared" si="4"/>
        <v>#REF!</v>
      </c>
      <c r="P11" s="573" t="e">
        <f t="shared" si="4"/>
        <v>#REF!</v>
      </c>
      <c r="Q11" s="573" t="e">
        <f t="shared" si="4"/>
        <v>#REF!</v>
      </c>
      <c r="R11" s="573" t="e">
        <f t="shared" si="4"/>
        <v>#REF!</v>
      </c>
      <c r="S11" s="573" t="e">
        <f t="shared" si="4"/>
        <v>#REF!</v>
      </c>
      <c r="T11" s="573" t="e">
        <f t="shared" si="4"/>
        <v>#REF!</v>
      </c>
      <c r="U11" s="573" t="e">
        <f t="shared" si="1"/>
        <v>#REF!</v>
      </c>
    </row>
    <row r="12" spans="1:23" s="500" customFormat="1" ht="30" x14ac:dyDescent="0.2">
      <c r="A12" s="571" t="s">
        <v>197</v>
      </c>
      <c r="B12" s="570" t="s">
        <v>1126</v>
      </c>
      <c r="C12" s="573">
        <f t="shared" ref="C12:T12" si="5">C13+C22+C23+C24+C25+C26+C27+C28</f>
        <v>52664921</v>
      </c>
      <c r="D12" s="573">
        <f t="shared" si="5"/>
        <v>51255790</v>
      </c>
      <c r="E12" s="573">
        <f t="shared" si="5"/>
        <v>49846659</v>
      </c>
      <c r="F12" s="573">
        <f t="shared" si="5"/>
        <v>48437528</v>
      </c>
      <c r="G12" s="573">
        <f t="shared" si="5"/>
        <v>47028396</v>
      </c>
      <c r="H12" s="573">
        <f>H13+H22+H23+H24+H25+H26+H27+H28</f>
        <v>45619265</v>
      </c>
      <c r="I12" s="573">
        <f t="shared" si="5"/>
        <v>44210134</v>
      </c>
      <c r="J12" s="573">
        <f t="shared" si="5"/>
        <v>42801003</v>
      </c>
      <c r="K12" s="573">
        <f t="shared" si="5"/>
        <v>41391872</v>
      </c>
      <c r="L12" s="573">
        <f t="shared" si="5"/>
        <v>39982740</v>
      </c>
      <c r="M12" s="573">
        <f t="shared" si="5"/>
        <v>38573609</v>
      </c>
      <c r="N12" s="573">
        <f t="shared" si="5"/>
        <v>37164478</v>
      </c>
      <c r="O12" s="573">
        <f t="shared" si="5"/>
        <v>35755347</v>
      </c>
      <c r="P12" s="573">
        <f t="shared" si="5"/>
        <v>34346216</v>
      </c>
      <c r="Q12" s="573">
        <f t="shared" si="5"/>
        <v>32937084</v>
      </c>
      <c r="R12" s="573">
        <f t="shared" si="5"/>
        <v>31527953</v>
      </c>
      <c r="S12" s="573">
        <f t="shared" si="5"/>
        <v>30118821</v>
      </c>
      <c r="T12" s="573">
        <f t="shared" si="5"/>
        <v>21680822</v>
      </c>
      <c r="U12" s="573">
        <f t="shared" si="1"/>
        <v>725342638</v>
      </c>
    </row>
    <row r="13" spans="1:23" ht="21" customHeight="1" x14ac:dyDescent="0.2">
      <c r="A13" s="571" t="s">
        <v>198</v>
      </c>
      <c r="B13" s="571" t="s">
        <v>1127</v>
      </c>
      <c r="C13" s="572">
        <f t="shared" ref="C13:T13" si="6">+C14+C18</f>
        <v>52664921</v>
      </c>
      <c r="D13" s="572">
        <f t="shared" si="6"/>
        <v>51255790</v>
      </c>
      <c r="E13" s="572">
        <f t="shared" si="6"/>
        <v>49846659</v>
      </c>
      <c r="F13" s="572">
        <f t="shared" si="6"/>
        <v>48437528</v>
      </c>
      <c r="G13" s="572">
        <f t="shared" si="6"/>
        <v>47028396</v>
      </c>
      <c r="H13" s="572">
        <f t="shared" si="6"/>
        <v>45619265</v>
      </c>
      <c r="I13" s="572">
        <f t="shared" si="6"/>
        <v>44210134</v>
      </c>
      <c r="J13" s="572">
        <f t="shared" si="6"/>
        <v>42801003</v>
      </c>
      <c r="K13" s="572">
        <f t="shared" si="6"/>
        <v>41391872</v>
      </c>
      <c r="L13" s="572">
        <f t="shared" si="6"/>
        <v>39982740</v>
      </c>
      <c r="M13" s="572">
        <f t="shared" si="6"/>
        <v>38573609</v>
      </c>
      <c r="N13" s="572">
        <f t="shared" si="6"/>
        <v>37164478</v>
      </c>
      <c r="O13" s="572">
        <f t="shared" si="6"/>
        <v>35755347</v>
      </c>
      <c r="P13" s="572">
        <f t="shared" si="6"/>
        <v>34346216</v>
      </c>
      <c r="Q13" s="572">
        <f t="shared" si="6"/>
        <v>32937084</v>
      </c>
      <c r="R13" s="572">
        <f t="shared" si="6"/>
        <v>31527953</v>
      </c>
      <c r="S13" s="572">
        <f t="shared" si="6"/>
        <v>30118821</v>
      </c>
      <c r="T13" s="572">
        <f t="shared" si="6"/>
        <v>21680822</v>
      </c>
      <c r="U13" s="573">
        <f t="shared" si="1"/>
        <v>725342638</v>
      </c>
    </row>
    <row r="14" spans="1:23" ht="21" customHeight="1" x14ac:dyDescent="0.2">
      <c r="A14" s="571" t="s">
        <v>225</v>
      </c>
      <c r="B14" s="571" t="s">
        <v>1128</v>
      </c>
      <c r="C14" s="572">
        <f>+C15+C16+C17</f>
        <v>28182624</v>
      </c>
      <c r="D14" s="572">
        <f t="shared" ref="D14:T14" si="7">+D15+D16+D17</f>
        <v>28182624</v>
      </c>
      <c r="E14" s="572">
        <f t="shared" si="7"/>
        <v>28182624</v>
      </c>
      <c r="F14" s="572">
        <f t="shared" si="7"/>
        <v>28182624</v>
      </c>
      <c r="G14" s="572">
        <f t="shared" si="7"/>
        <v>28182624</v>
      </c>
      <c r="H14" s="572">
        <f t="shared" si="7"/>
        <v>28182624</v>
      </c>
      <c r="I14" s="572">
        <f t="shared" si="7"/>
        <v>28182624</v>
      </c>
      <c r="J14" s="572">
        <f t="shared" si="7"/>
        <v>28182624</v>
      </c>
      <c r="K14" s="572">
        <f t="shared" si="7"/>
        <v>28182624</v>
      </c>
      <c r="L14" s="572">
        <f t="shared" si="7"/>
        <v>28182624</v>
      </c>
      <c r="M14" s="572">
        <f t="shared" si="7"/>
        <v>28182624</v>
      </c>
      <c r="N14" s="572">
        <f t="shared" si="7"/>
        <v>28182624</v>
      </c>
      <c r="O14" s="572">
        <f t="shared" si="7"/>
        <v>28182624</v>
      </c>
      <c r="P14" s="572">
        <f t="shared" si="7"/>
        <v>28182624</v>
      </c>
      <c r="Q14" s="572">
        <f t="shared" si="7"/>
        <v>28182624</v>
      </c>
      <c r="R14" s="572">
        <f t="shared" si="7"/>
        <v>28182624</v>
      </c>
      <c r="S14" s="572">
        <f t="shared" si="7"/>
        <v>28182624</v>
      </c>
      <c r="T14" s="572">
        <f t="shared" si="7"/>
        <v>21109809</v>
      </c>
      <c r="U14" s="573">
        <f t="shared" si="1"/>
        <v>500214417</v>
      </c>
    </row>
    <row r="15" spans="1:23" ht="15.75" customHeight="1" x14ac:dyDescent="0.2">
      <c r="A15" s="571" t="s">
        <v>1129</v>
      </c>
      <c r="B15" s="571" t="s">
        <v>1130</v>
      </c>
      <c r="C15" s="572">
        <v>9743592</v>
      </c>
      <c r="D15" s="572">
        <v>9743592</v>
      </c>
      <c r="E15" s="572">
        <v>9743592</v>
      </c>
      <c r="F15" s="572">
        <v>9743592</v>
      </c>
      <c r="G15" s="572">
        <v>9743592</v>
      </c>
      <c r="H15" s="572">
        <v>9743592</v>
      </c>
      <c r="I15" s="572">
        <v>9743592</v>
      </c>
      <c r="J15" s="572">
        <v>9743592</v>
      </c>
      <c r="K15" s="572">
        <v>9743592</v>
      </c>
      <c r="L15" s="572">
        <v>9743592</v>
      </c>
      <c r="M15" s="572">
        <v>9743592</v>
      </c>
      <c r="N15" s="572">
        <v>9743592</v>
      </c>
      <c r="O15" s="572">
        <v>9743592</v>
      </c>
      <c r="P15" s="572">
        <v>9743592</v>
      </c>
      <c r="Q15" s="572">
        <v>9743592</v>
      </c>
      <c r="R15" s="572">
        <v>9743592</v>
      </c>
      <c r="S15" s="572">
        <v>9743592</v>
      </c>
      <c r="T15" s="572">
        <v>9743629</v>
      </c>
      <c r="U15" s="573">
        <f t="shared" si="1"/>
        <v>175384693</v>
      </c>
      <c r="V15" s="679">
        <f>+'5.sz.tájék.táb Adósságszolgálat'!C24+'5.sz.tájék.táb Adósságszolgálat'!C25+'5.sz.tájék.táb Adósságszolgálat'!C26+'5.sz.tájék.táb Adósságszolgálat'!C27+'5.sz.tájék.táb Adósságszolgálat'!C28+'5.sz.tájék.táb Adósságszolgálat'!C29+'5.sz.tájék.táb Adósságszolgálat'!C30+'5.sz.tájék.táb Adósságszolgálat'!C31+'5.sz.tájék.táb Adósságszolgálat'!C32+'5.sz.tájék.táb Adósságszolgálat'!C33+'5.sz.tájék.táb Adósságszolgálat'!C34+'5.sz.tájék.táb Adósságszolgálat'!C35+'5.sz.tájék.táb Adósságszolgálat'!C36+'5.sz.tájék.táb Adósságszolgálat'!C37+'5.sz.tájék.táb Adósságszolgálat'!C38+'5.sz.tájék.táb Adósságszolgálat'!C39+'5.sz.tájék.táb Adósságszolgálat'!C40+'5.sz.tájék.táb Adósságszolgálat'!C41</f>
        <v>175384693</v>
      </c>
      <c r="W15" s="574">
        <f t="shared" ref="W15:W21" si="8">SUM(C15:T15)</f>
        <v>175384693</v>
      </c>
    </row>
    <row r="16" spans="1:23" ht="30" x14ac:dyDescent="0.2">
      <c r="A16" s="571" t="s">
        <v>1131</v>
      </c>
      <c r="B16" s="571" t="s">
        <v>1132</v>
      </c>
      <c r="C16" s="572">
        <v>4376000</v>
      </c>
      <c r="D16" s="572">
        <v>4376000</v>
      </c>
      <c r="E16" s="572">
        <v>4376000</v>
      </c>
      <c r="F16" s="572">
        <v>4376000</v>
      </c>
      <c r="G16" s="572">
        <v>4376000</v>
      </c>
      <c r="H16" s="572">
        <v>4376000</v>
      </c>
      <c r="I16" s="572">
        <v>4376000</v>
      </c>
      <c r="J16" s="572">
        <v>4376000</v>
      </c>
      <c r="K16" s="572">
        <v>4376000</v>
      </c>
      <c r="L16" s="572">
        <v>4376000</v>
      </c>
      <c r="M16" s="572">
        <v>4376000</v>
      </c>
      <c r="N16" s="572">
        <v>4376000</v>
      </c>
      <c r="O16" s="572">
        <v>4376000</v>
      </c>
      <c r="P16" s="572">
        <v>4376000</v>
      </c>
      <c r="Q16" s="572">
        <v>4376000</v>
      </c>
      <c r="R16" s="572">
        <v>4376000</v>
      </c>
      <c r="S16" s="572">
        <v>4376000</v>
      </c>
      <c r="T16" s="572">
        <v>4334633</v>
      </c>
      <c r="U16" s="573">
        <f t="shared" si="1"/>
        <v>78726633</v>
      </c>
      <c r="V16" s="679">
        <f>+'5.sz.tájék.táb Adósságszolgálat'!D24+'5.sz.tájék.táb Adósságszolgálat'!D25+'5.sz.tájék.táb Adósságszolgálat'!D26+'5.sz.tájék.táb Adósságszolgálat'!D27+'5.sz.tájék.táb Adósságszolgálat'!D28+'5.sz.tájék.táb Adósságszolgálat'!D29+'5.sz.tájék.táb Adósságszolgálat'!D30+'5.sz.tájék.táb Adósságszolgálat'!D31+'5.sz.tájék.táb Adósságszolgálat'!D32+'5.sz.tájék.táb Adósságszolgálat'!D33+'5.sz.tájék.táb Adósságszolgálat'!D34+'5.sz.tájék.táb Adósságszolgálat'!D35+'5.sz.tájék.táb Adósságszolgálat'!D36+'5.sz.tájék.táb Adósságszolgálat'!D37+'5.sz.tájék.táb Adósságszolgálat'!D38+'5.sz.tájék.táb Adósságszolgálat'!D39+'5.sz.tájék.táb Adósságszolgálat'!D40+'5.sz.tájék.táb Adósságszolgálat'!D41</f>
        <v>78726633</v>
      </c>
      <c r="W16" s="574">
        <f t="shared" si="8"/>
        <v>78726633</v>
      </c>
    </row>
    <row r="17" spans="1:23" ht="17.25" customHeight="1" x14ac:dyDescent="0.2">
      <c r="A17" s="571" t="s">
        <v>1133</v>
      </c>
      <c r="B17" s="571" t="s">
        <v>1134</v>
      </c>
      <c r="C17" s="572">
        <v>14063032</v>
      </c>
      <c r="D17" s="572">
        <v>14063032</v>
      </c>
      <c r="E17" s="572">
        <v>14063032</v>
      </c>
      <c r="F17" s="572">
        <v>14063032</v>
      </c>
      <c r="G17" s="572">
        <v>14063032</v>
      </c>
      <c r="H17" s="572">
        <v>14063032</v>
      </c>
      <c r="I17" s="572">
        <v>14063032</v>
      </c>
      <c r="J17" s="572">
        <v>14063032</v>
      </c>
      <c r="K17" s="572">
        <v>14063032</v>
      </c>
      <c r="L17" s="572">
        <v>14063032</v>
      </c>
      <c r="M17" s="572">
        <v>14063032</v>
      </c>
      <c r="N17" s="572">
        <v>14063032</v>
      </c>
      <c r="O17" s="572">
        <v>14063032</v>
      </c>
      <c r="P17" s="572">
        <v>14063032</v>
      </c>
      <c r="Q17" s="572">
        <v>14063032</v>
      </c>
      <c r="R17" s="572">
        <v>14063032</v>
      </c>
      <c r="S17" s="572">
        <v>14063032</v>
      </c>
      <c r="T17" s="572">
        <v>7031547</v>
      </c>
      <c r="U17" s="573">
        <f t="shared" si="1"/>
        <v>246103091</v>
      </c>
      <c r="V17" s="679">
        <f>+'5.sz.tájék.táb Adósságszolgálat'!B24+'5.sz.tájék.táb Adósságszolgálat'!B25+'5.sz.tájék.táb Adósságszolgálat'!B26+'5.sz.tájék.táb Adósságszolgálat'!B27+'5.sz.tájék.táb Adósságszolgálat'!B28+'5.sz.tájék.táb Adósságszolgálat'!B29+'5.sz.tájék.táb Adósságszolgálat'!B30+'5.sz.tájék.táb Adósságszolgálat'!B31+'5.sz.tájék.táb Adósságszolgálat'!B32+'5.sz.tájék.táb Adósságszolgálat'!B33+'5.sz.tájék.táb Adósságszolgálat'!B34+'5.sz.tájék.táb Adósságszolgálat'!B35+'5.sz.tájék.táb Adósságszolgálat'!B36+'5.sz.tájék.táb Adósságszolgálat'!B37+'5.sz.tájék.táb Adósságszolgálat'!B38+'5.sz.tájék.táb Adósságszolgálat'!B39+'5.sz.tájék.táb Adósságszolgálat'!B40+'5.sz.tájék.táb Adósságszolgálat'!B41</f>
        <v>246103091</v>
      </c>
      <c r="W17" s="574">
        <f t="shared" si="8"/>
        <v>246103091</v>
      </c>
    </row>
    <row r="18" spans="1:23" ht="15.75" customHeight="1" x14ac:dyDescent="0.2">
      <c r="A18" s="571" t="s">
        <v>226</v>
      </c>
      <c r="B18" s="571" t="s">
        <v>1135</v>
      </c>
      <c r="C18" s="572">
        <f t="shared" ref="C18:U18" si="9">SUM(C19:C21)</f>
        <v>24482297</v>
      </c>
      <c r="D18" s="572">
        <f t="shared" si="9"/>
        <v>23073166</v>
      </c>
      <c r="E18" s="572">
        <f t="shared" si="9"/>
        <v>21664035</v>
      </c>
      <c r="F18" s="572">
        <f t="shared" si="9"/>
        <v>20254904</v>
      </c>
      <c r="G18" s="572">
        <f t="shared" si="9"/>
        <v>18845772</v>
      </c>
      <c r="H18" s="572">
        <f t="shared" si="9"/>
        <v>17436641</v>
      </c>
      <c r="I18" s="572">
        <f t="shared" si="9"/>
        <v>16027510</v>
      </c>
      <c r="J18" s="572">
        <f t="shared" si="9"/>
        <v>14618379</v>
      </c>
      <c r="K18" s="572">
        <f>SUM(K19:K21)</f>
        <v>13209248</v>
      </c>
      <c r="L18" s="572">
        <f t="shared" si="9"/>
        <v>11800116</v>
      </c>
      <c r="M18" s="572">
        <f t="shared" si="9"/>
        <v>10390985</v>
      </c>
      <c r="N18" s="572">
        <f t="shared" si="9"/>
        <v>8981854</v>
      </c>
      <c r="O18" s="572">
        <f t="shared" si="9"/>
        <v>7572723</v>
      </c>
      <c r="P18" s="572">
        <f t="shared" si="9"/>
        <v>6163592</v>
      </c>
      <c r="Q18" s="572">
        <f t="shared" si="9"/>
        <v>4754460</v>
      </c>
      <c r="R18" s="572">
        <f t="shared" si="9"/>
        <v>3345329</v>
      </c>
      <c r="S18" s="572">
        <f t="shared" si="9"/>
        <v>1936197</v>
      </c>
      <c r="T18" s="572">
        <f t="shared" si="9"/>
        <v>571013</v>
      </c>
      <c r="U18" s="573">
        <f t="shared" si="9"/>
        <v>225128221</v>
      </c>
      <c r="W18" s="574">
        <f t="shared" si="8"/>
        <v>225128221</v>
      </c>
    </row>
    <row r="19" spans="1:23" ht="17.25" customHeight="1" x14ac:dyDescent="0.2">
      <c r="A19" s="571" t="s">
        <v>1136</v>
      </c>
      <c r="B19" s="571" t="s">
        <v>1130</v>
      </c>
      <c r="C19" s="572">
        <v>8586542</v>
      </c>
      <c r="D19" s="572">
        <v>8099363</v>
      </c>
      <c r="E19" s="572">
        <v>7612183</v>
      </c>
      <c r="F19" s="572">
        <v>7125004</v>
      </c>
      <c r="G19" s="572">
        <v>6637824</v>
      </c>
      <c r="H19" s="572">
        <v>6150644</v>
      </c>
      <c r="I19" s="572">
        <v>5663465</v>
      </c>
      <c r="J19" s="572">
        <v>5176285</v>
      </c>
      <c r="K19" s="572">
        <v>4689106</v>
      </c>
      <c r="L19" s="572">
        <v>4201926</v>
      </c>
      <c r="M19" s="572">
        <v>3714746</v>
      </c>
      <c r="N19" s="572">
        <v>3227567</v>
      </c>
      <c r="O19" s="572">
        <v>2740387</v>
      </c>
      <c r="P19" s="572">
        <v>2253208</v>
      </c>
      <c r="Q19" s="572">
        <v>1766028</v>
      </c>
      <c r="R19" s="572">
        <v>1278848</v>
      </c>
      <c r="S19" s="572">
        <v>791669</v>
      </c>
      <c r="T19" s="572">
        <v>304489</v>
      </c>
      <c r="U19" s="573">
        <f t="shared" ref="U19:U31" si="10">SUM(C19:T19)</f>
        <v>80019284</v>
      </c>
      <c r="W19" s="574">
        <f t="shared" si="8"/>
        <v>80019284</v>
      </c>
    </row>
    <row r="20" spans="1:23" ht="30" x14ac:dyDescent="0.2">
      <c r="A20" s="571" t="s">
        <v>1137</v>
      </c>
      <c r="B20" s="571" t="s">
        <v>1132</v>
      </c>
      <c r="C20" s="572">
        <v>3854282</v>
      </c>
      <c r="D20" s="572">
        <v>3635482</v>
      </c>
      <c r="E20" s="572">
        <v>3416682</v>
      </c>
      <c r="F20" s="572">
        <v>3197882</v>
      </c>
      <c r="G20" s="572">
        <v>2979082</v>
      </c>
      <c r="H20" s="572">
        <v>2760282</v>
      </c>
      <c r="I20" s="572">
        <v>2541482</v>
      </c>
      <c r="J20" s="572">
        <v>2322682</v>
      </c>
      <c r="K20" s="572">
        <v>2103882</v>
      </c>
      <c r="L20" s="572">
        <v>1885082</v>
      </c>
      <c r="M20" s="572">
        <v>1666282</v>
      </c>
      <c r="N20" s="572">
        <v>1447482</v>
      </c>
      <c r="O20" s="572">
        <v>1228682</v>
      </c>
      <c r="P20" s="572">
        <v>1009882</v>
      </c>
      <c r="Q20" s="572">
        <v>791082</v>
      </c>
      <c r="R20" s="572">
        <v>572282</v>
      </c>
      <c r="S20" s="572">
        <v>353482</v>
      </c>
      <c r="T20">
        <v>134682</v>
      </c>
      <c r="U20" s="573">
        <f>SUM(C20:T20)</f>
        <v>35900676</v>
      </c>
      <c r="W20" s="574">
        <f>SUM(C20:T20)</f>
        <v>35900676</v>
      </c>
    </row>
    <row r="21" spans="1:23" ht="15" x14ac:dyDescent="0.2">
      <c r="A21" s="571" t="s">
        <v>1138</v>
      </c>
      <c r="B21" s="571" t="s">
        <v>1134</v>
      </c>
      <c r="C21" s="572">
        <v>12041473</v>
      </c>
      <c r="D21" s="572">
        <v>11338321</v>
      </c>
      <c r="E21" s="572">
        <v>10635170</v>
      </c>
      <c r="F21" s="572">
        <v>9932018</v>
      </c>
      <c r="G21" s="572">
        <v>9228866</v>
      </c>
      <c r="H21" s="572">
        <v>8525715</v>
      </c>
      <c r="I21" s="572">
        <v>7822563</v>
      </c>
      <c r="J21" s="572">
        <v>7119412</v>
      </c>
      <c r="K21" s="572">
        <v>6416260</v>
      </c>
      <c r="L21" s="572">
        <v>5713108</v>
      </c>
      <c r="M21" s="572">
        <v>5009957</v>
      </c>
      <c r="N21" s="572">
        <v>4306805</v>
      </c>
      <c r="O21" s="572">
        <v>3603654</v>
      </c>
      <c r="P21" s="572">
        <v>2900502</v>
      </c>
      <c r="Q21" s="572">
        <v>2197350</v>
      </c>
      <c r="R21" s="572">
        <v>1494199</v>
      </c>
      <c r="S21" s="572">
        <v>791046</v>
      </c>
      <c r="T21" s="572">
        <v>131842</v>
      </c>
      <c r="U21" s="573">
        <f t="shared" si="10"/>
        <v>109208261</v>
      </c>
      <c r="W21" s="574">
        <f t="shared" si="8"/>
        <v>109208261</v>
      </c>
    </row>
    <row r="22" spans="1:23" ht="20.25" customHeight="1" x14ac:dyDescent="0.2">
      <c r="A22" s="571" t="s">
        <v>227</v>
      </c>
      <c r="B22" s="571" t="s">
        <v>1139</v>
      </c>
      <c r="C22" s="572"/>
      <c r="D22" s="572"/>
      <c r="E22" s="572"/>
      <c r="F22" s="572"/>
      <c r="G22" s="572"/>
      <c r="H22" s="572"/>
      <c r="I22" s="572"/>
      <c r="J22" s="572"/>
      <c r="K22" s="572"/>
      <c r="L22" s="572"/>
      <c r="M22" s="572"/>
      <c r="N22" s="572"/>
      <c r="O22" s="572"/>
      <c r="P22" s="572"/>
      <c r="Q22" s="572"/>
      <c r="R22" s="572"/>
      <c r="S22" s="572"/>
      <c r="T22" s="572"/>
      <c r="U22" s="573">
        <f t="shared" si="10"/>
        <v>0</v>
      </c>
    </row>
    <row r="23" spans="1:23" ht="21" customHeight="1" x14ac:dyDescent="0.2">
      <c r="A23" s="571" t="s">
        <v>228</v>
      </c>
      <c r="B23" s="571" t="s">
        <v>1140</v>
      </c>
      <c r="C23" s="572"/>
      <c r="D23" s="572"/>
      <c r="E23" s="572"/>
      <c r="F23" s="572"/>
      <c r="G23" s="572"/>
      <c r="H23" s="572"/>
      <c r="I23" s="572"/>
      <c r="J23" s="572"/>
      <c r="K23" s="572"/>
      <c r="L23" s="572"/>
      <c r="M23" s="572"/>
      <c r="N23" s="572"/>
      <c r="O23" s="572"/>
      <c r="P23" s="572"/>
      <c r="Q23" s="572"/>
      <c r="R23" s="572"/>
      <c r="S23" s="572"/>
      <c r="T23" s="572"/>
      <c r="U23" s="573">
        <f t="shared" si="10"/>
        <v>0</v>
      </c>
    </row>
    <row r="24" spans="1:23" ht="21" customHeight="1" x14ac:dyDescent="0.2">
      <c r="A24" s="571" t="s">
        <v>229</v>
      </c>
      <c r="B24" s="571" t="s">
        <v>1141</v>
      </c>
      <c r="C24" s="572"/>
      <c r="D24" s="572"/>
      <c r="E24" s="572"/>
      <c r="F24" s="572"/>
      <c r="G24" s="572"/>
      <c r="H24" s="572"/>
      <c r="I24" s="572"/>
      <c r="J24" s="572"/>
      <c r="K24" s="572"/>
      <c r="L24" s="572"/>
      <c r="M24" s="572"/>
      <c r="N24" s="572"/>
      <c r="O24" s="572"/>
      <c r="P24" s="572"/>
      <c r="Q24" s="572"/>
      <c r="R24" s="572"/>
      <c r="S24" s="572"/>
      <c r="T24" s="572"/>
      <c r="U24" s="573">
        <f t="shared" si="10"/>
        <v>0</v>
      </c>
    </row>
    <row r="25" spans="1:23" ht="20.25" customHeight="1" x14ac:dyDescent="0.2">
      <c r="A25" s="571" t="s">
        <v>230</v>
      </c>
      <c r="B25" s="571" t="s">
        <v>1142</v>
      </c>
      <c r="C25" s="572"/>
      <c r="D25" s="572"/>
      <c r="E25" s="572"/>
      <c r="F25" s="572"/>
      <c r="G25" s="572"/>
      <c r="H25" s="572"/>
      <c r="I25" s="572"/>
      <c r="J25" s="572"/>
      <c r="K25" s="572"/>
      <c r="L25" s="572"/>
      <c r="M25" s="572"/>
      <c r="N25" s="572"/>
      <c r="O25" s="572"/>
      <c r="P25" s="572"/>
      <c r="Q25" s="572"/>
      <c r="R25" s="572"/>
      <c r="S25" s="572"/>
      <c r="T25" s="572"/>
      <c r="U25" s="573">
        <f t="shared" si="10"/>
        <v>0</v>
      </c>
    </row>
    <row r="26" spans="1:23" ht="20.25" customHeight="1" x14ac:dyDescent="0.2">
      <c r="A26" s="571" t="s">
        <v>231</v>
      </c>
      <c r="B26" s="571" t="s">
        <v>1143</v>
      </c>
      <c r="C26" s="572"/>
      <c r="D26" s="572"/>
      <c r="E26" s="572"/>
      <c r="F26" s="572"/>
      <c r="G26" s="572"/>
      <c r="H26" s="572"/>
      <c r="I26" s="572"/>
      <c r="J26" s="572"/>
      <c r="K26" s="572"/>
      <c r="L26" s="572"/>
      <c r="M26" s="572"/>
      <c r="N26" s="572"/>
      <c r="O26" s="572"/>
      <c r="P26" s="572"/>
      <c r="Q26" s="572"/>
      <c r="R26" s="572"/>
      <c r="S26" s="572"/>
      <c r="T26" s="572"/>
      <c r="U26" s="573">
        <f t="shared" si="10"/>
        <v>0</v>
      </c>
    </row>
    <row r="27" spans="1:23" ht="22.5" customHeight="1" x14ac:dyDescent="0.2">
      <c r="A27" s="571" t="s">
        <v>232</v>
      </c>
      <c r="B27" s="571" t="s">
        <v>1144</v>
      </c>
      <c r="C27" s="572"/>
      <c r="D27" s="572"/>
      <c r="E27" s="572"/>
      <c r="F27" s="572"/>
      <c r="G27" s="572"/>
      <c r="H27" s="572"/>
      <c r="I27" s="572"/>
      <c r="J27" s="572"/>
      <c r="K27" s="572"/>
      <c r="L27" s="572"/>
      <c r="M27" s="572"/>
      <c r="N27" s="572"/>
      <c r="O27" s="572"/>
      <c r="P27" s="572"/>
      <c r="Q27" s="572"/>
      <c r="R27" s="572"/>
      <c r="S27" s="572"/>
      <c r="T27" s="572"/>
      <c r="U27" s="573">
        <f t="shared" si="10"/>
        <v>0</v>
      </c>
    </row>
    <row r="28" spans="1:23" ht="22.5" customHeight="1" x14ac:dyDescent="0.2">
      <c r="A28" s="571" t="s">
        <v>233</v>
      </c>
      <c r="B28" s="571" t="s">
        <v>1145</v>
      </c>
      <c r="C28" s="572"/>
      <c r="D28" s="572"/>
      <c r="E28" s="572"/>
      <c r="F28" s="572"/>
      <c r="G28" s="572"/>
      <c r="H28" s="572"/>
      <c r="I28" s="572"/>
      <c r="J28" s="572"/>
      <c r="K28" s="572"/>
      <c r="L28" s="572"/>
      <c r="M28" s="572"/>
      <c r="N28" s="572"/>
      <c r="O28" s="572"/>
      <c r="P28" s="572"/>
      <c r="Q28" s="572"/>
      <c r="R28" s="572"/>
      <c r="S28" s="572"/>
      <c r="T28" s="572"/>
      <c r="U28" s="573">
        <f t="shared" si="10"/>
        <v>0</v>
      </c>
    </row>
    <row r="29" spans="1:23" ht="30" x14ac:dyDescent="0.2">
      <c r="A29" s="571" t="s">
        <v>260</v>
      </c>
      <c r="B29" s="570" t="s">
        <v>1146</v>
      </c>
      <c r="C29" s="573">
        <f t="shared" ref="C29:T29" si="11">C30+C39+C40+C41+C42+C43+C44+C45</f>
        <v>0</v>
      </c>
      <c r="D29" s="573">
        <f t="shared" si="11"/>
        <v>0</v>
      </c>
      <c r="E29" s="573">
        <f t="shared" si="11"/>
        <v>0</v>
      </c>
      <c r="F29" s="573">
        <f t="shared" si="11"/>
        <v>0</v>
      </c>
      <c r="G29" s="573">
        <f t="shared" si="11"/>
        <v>0</v>
      </c>
      <c r="H29" s="573">
        <f t="shared" si="11"/>
        <v>0</v>
      </c>
      <c r="I29" s="573">
        <f t="shared" si="11"/>
        <v>0</v>
      </c>
      <c r="J29" s="573">
        <f t="shared" si="11"/>
        <v>0</v>
      </c>
      <c r="K29" s="573">
        <f t="shared" si="11"/>
        <v>0</v>
      </c>
      <c r="L29" s="573">
        <f t="shared" si="11"/>
        <v>0</v>
      </c>
      <c r="M29" s="573">
        <f t="shared" si="11"/>
        <v>0</v>
      </c>
      <c r="N29" s="573">
        <f t="shared" si="11"/>
        <v>0</v>
      </c>
      <c r="O29" s="573">
        <f t="shared" si="11"/>
        <v>0</v>
      </c>
      <c r="P29" s="573">
        <f t="shared" si="11"/>
        <v>0</v>
      </c>
      <c r="Q29" s="573">
        <f t="shared" si="11"/>
        <v>0</v>
      </c>
      <c r="R29" s="573">
        <f t="shared" si="11"/>
        <v>0</v>
      </c>
      <c r="S29" s="573">
        <f t="shared" si="11"/>
        <v>0</v>
      </c>
      <c r="T29" s="573">
        <f t="shared" si="11"/>
        <v>0</v>
      </c>
      <c r="U29" s="573">
        <f t="shared" si="10"/>
        <v>0</v>
      </c>
    </row>
    <row r="30" spans="1:23" ht="18.75" customHeight="1" x14ac:dyDescent="0.2">
      <c r="A30" s="571" t="s">
        <v>261</v>
      </c>
      <c r="B30" s="571" t="s">
        <v>1147</v>
      </c>
      <c r="C30" s="572">
        <f t="shared" ref="C30:T30" si="12">SUM(C31:C35)</f>
        <v>0</v>
      </c>
      <c r="D30" s="572">
        <f t="shared" si="12"/>
        <v>0</v>
      </c>
      <c r="E30" s="572">
        <f t="shared" si="12"/>
        <v>0</v>
      </c>
      <c r="F30" s="572">
        <f t="shared" si="12"/>
        <v>0</v>
      </c>
      <c r="G30" s="572">
        <f t="shared" si="12"/>
        <v>0</v>
      </c>
      <c r="H30" s="572">
        <f t="shared" si="12"/>
        <v>0</v>
      </c>
      <c r="I30" s="572">
        <f t="shared" si="12"/>
        <v>0</v>
      </c>
      <c r="J30" s="572">
        <f t="shared" si="12"/>
        <v>0</v>
      </c>
      <c r="K30" s="572">
        <f t="shared" si="12"/>
        <v>0</v>
      </c>
      <c r="L30" s="572">
        <f t="shared" si="12"/>
        <v>0</v>
      </c>
      <c r="M30" s="572">
        <f t="shared" si="12"/>
        <v>0</v>
      </c>
      <c r="N30" s="572">
        <f t="shared" si="12"/>
        <v>0</v>
      </c>
      <c r="O30" s="572">
        <f t="shared" si="12"/>
        <v>0</v>
      </c>
      <c r="P30" s="572">
        <f t="shared" si="12"/>
        <v>0</v>
      </c>
      <c r="Q30" s="572">
        <f t="shared" si="12"/>
        <v>0</v>
      </c>
      <c r="R30" s="572">
        <f t="shared" si="12"/>
        <v>0</v>
      </c>
      <c r="S30" s="572">
        <f t="shared" si="12"/>
        <v>0</v>
      </c>
      <c r="T30" s="572">
        <f t="shared" si="12"/>
        <v>0</v>
      </c>
      <c r="U30" s="573">
        <f t="shared" si="10"/>
        <v>0</v>
      </c>
    </row>
    <row r="31" spans="1:23" ht="18.75" customHeight="1" x14ac:dyDescent="0.2">
      <c r="A31" s="571" t="s">
        <v>262</v>
      </c>
      <c r="B31" s="571" t="s">
        <v>1148</v>
      </c>
      <c r="C31" s="572">
        <f t="shared" ref="C31:T31" si="13">+C32+C33+C34</f>
        <v>0</v>
      </c>
      <c r="D31" s="572">
        <f t="shared" si="13"/>
        <v>0</v>
      </c>
      <c r="E31" s="572">
        <f t="shared" si="13"/>
        <v>0</v>
      </c>
      <c r="F31" s="572">
        <f t="shared" si="13"/>
        <v>0</v>
      </c>
      <c r="G31" s="572">
        <f t="shared" si="13"/>
        <v>0</v>
      </c>
      <c r="H31" s="572">
        <f t="shared" si="13"/>
        <v>0</v>
      </c>
      <c r="I31" s="572">
        <f t="shared" si="13"/>
        <v>0</v>
      </c>
      <c r="J31" s="572">
        <f t="shared" si="13"/>
        <v>0</v>
      </c>
      <c r="K31" s="572">
        <f t="shared" si="13"/>
        <v>0</v>
      </c>
      <c r="L31" s="572">
        <f t="shared" si="13"/>
        <v>0</v>
      </c>
      <c r="M31" s="572">
        <f t="shared" si="13"/>
        <v>0</v>
      </c>
      <c r="N31" s="572">
        <f t="shared" si="13"/>
        <v>0</v>
      </c>
      <c r="O31" s="572">
        <f t="shared" si="13"/>
        <v>0</v>
      </c>
      <c r="P31" s="572">
        <f t="shared" si="13"/>
        <v>0</v>
      </c>
      <c r="Q31" s="572">
        <f t="shared" si="13"/>
        <v>0</v>
      </c>
      <c r="R31" s="572">
        <f t="shared" si="13"/>
        <v>0</v>
      </c>
      <c r="S31" s="572">
        <f t="shared" si="13"/>
        <v>0</v>
      </c>
      <c r="T31" s="572">
        <f t="shared" si="13"/>
        <v>0</v>
      </c>
      <c r="U31" s="573">
        <f t="shared" si="10"/>
        <v>0</v>
      </c>
    </row>
    <row r="32" spans="1:23" ht="19.5" customHeight="1" x14ac:dyDescent="0.2">
      <c r="A32" s="571" t="s">
        <v>1149</v>
      </c>
      <c r="B32" s="571" t="s">
        <v>1130</v>
      </c>
      <c r="C32" s="572"/>
      <c r="D32" s="572"/>
      <c r="E32" s="572"/>
      <c r="F32" s="572"/>
      <c r="G32" s="572"/>
      <c r="H32" s="572"/>
      <c r="I32" s="572"/>
      <c r="J32" s="572"/>
      <c r="K32" s="572"/>
      <c r="L32" s="572"/>
      <c r="M32" s="572"/>
      <c r="N32" s="572"/>
      <c r="O32" s="572"/>
      <c r="P32" s="572"/>
      <c r="Q32" s="572"/>
      <c r="R32" s="572"/>
      <c r="S32" s="572"/>
      <c r="T32" s="572"/>
      <c r="U32" s="573"/>
    </row>
    <row r="33" spans="1:24" ht="30" x14ac:dyDescent="0.2">
      <c r="A33" s="571" t="s">
        <v>1150</v>
      </c>
      <c r="B33" s="571" t="s">
        <v>1132</v>
      </c>
      <c r="C33" s="572"/>
      <c r="D33" s="572"/>
      <c r="E33" s="572"/>
      <c r="F33" s="572"/>
      <c r="G33" s="572"/>
      <c r="H33" s="572"/>
      <c r="I33" s="572"/>
      <c r="J33" s="572"/>
      <c r="K33" s="572"/>
      <c r="L33" s="572"/>
      <c r="M33" s="572"/>
      <c r="N33" s="572"/>
      <c r="O33" s="572"/>
      <c r="P33" s="572"/>
      <c r="Q33" s="572"/>
      <c r="R33" s="572"/>
      <c r="S33" s="572"/>
      <c r="T33" s="572"/>
      <c r="U33" s="573"/>
    </row>
    <row r="34" spans="1:24" ht="18" customHeight="1" x14ac:dyDescent="0.2">
      <c r="A34" s="571" t="s">
        <v>1151</v>
      </c>
      <c r="B34" s="571" t="s">
        <v>1134</v>
      </c>
      <c r="C34" s="572"/>
      <c r="D34" s="572"/>
      <c r="E34" s="572"/>
      <c r="F34" s="572"/>
      <c r="G34" s="572"/>
      <c r="H34" s="572"/>
      <c r="I34" s="572"/>
      <c r="J34" s="572"/>
      <c r="K34" s="572"/>
      <c r="L34" s="572"/>
      <c r="M34" s="572"/>
      <c r="N34" s="572"/>
      <c r="O34" s="572"/>
      <c r="P34" s="572"/>
      <c r="Q34" s="572"/>
      <c r="R34" s="572"/>
      <c r="S34" s="572"/>
      <c r="T34" s="572"/>
      <c r="U34" s="573"/>
    </row>
    <row r="35" spans="1:24" ht="18" customHeight="1" x14ac:dyDescent="0.2">
      <c r="A35" s="571" t="s">
        <v>263</v>
      </c>
      <c r="B35" s="571" t="s">
        <v>1152</v>
      </c>
      <c r="C35" s="572">
        <f t="shared" ref="C35:T35" si="14">+C36+C37+C38</f>
        <v>0</v>
      </c>
      <c r="D35" s="572">
        <f t="shared" si="14"/>
        <v>0</v>
      </c>
      <c r="E35" s="572">
        <f t="shared" si="14"/>
        <v>0</v>
      </c>
      <c r="F35" s="572">
        <f t="shared" si="14"/>
        <v>0</v>
      </c>
      <c r="G35" s="572">
        <f t="shared" si="14"/>
        <v>0</v>
      </c>
      <c r="H35" s="572">
        <f t="shared" si="14"/>
        <v>0</v>
      </c>
      <c r="I35" s="572">
        <f t="shared" si="14"/>
        <v>0</v>
      </c>
      <c r="J35" s="572">
        <f t="shared" si="14"/>
        <v>0</v>
      </c>
      <c r="K35" s="572">
        <f t="shared" si="14"/>
        <v>0</v>
      </c>
      <c r="L35" s="572">
        <f t="shared" si="14"/>
        <v>0</v>
      </c>
      <c r="M35" s="572">
        <f t="shared" si="14"/>
        <v>0</v>
      </c>
      <c r="N35" s="572">
        <f t="shared" si="14"/>
        <v>0</v>
      </c>
      <c r="O35" s="572">
        <f t="shared" si="14"/>
        <v>0</v>
      </c>
      <c r="P35" s="572">
        <f t="shared" si="14"/>
        <v>0</v>
      </c>
      <c r="Q35" s="572">
        <f t="shared" si="14"/>
        <v>0</v>
      </c>
      <c r="R35" s="572">
        <f t="shared" si="14"/>
        <v>0</v>
      </c>
      <c r="S35" s="572">
        <f t="shared" si="14"/>
        <v>0</v>
      </c>
      <c r="T35" s="572">
        <f t="shared" si="14"/>
        <v>0</v>
      </c>
      <c r="U35" s="573">
        <f>SUM(C35:T35)</f>
        <v>0</v>
      </c>
    </row>
    <row r="36" spans="1:24" ht="18" customHeight="1" x14ac:dyDescent="0.2">
      <c r="A36" s="571" t="s">
        <v>1153</v>
      </c>
      <c r="B36" s="571" t="s">
        <v>1130</v>
      </c>
      <c r="C36" s="572"/>
      <c r="D36" s="572"/>
      <c r="E36" s="572"/>
      <c r="F36" s="572"/>
      <c r="G36" s="572"/>
      <c r="H36" s="572"/>
      <c r="I36" s="572"/>
      <c r="J36" s="572"/>
      <c r="K36" s="572"/>
      <c r="L36" s="572"/>
      <c r="M36" s="572"/>
      <c r="N36" s="572"/>
      <c r="O36" s="572"/>
      <c r="P36" s="572"/>
      <c r="Q36" s="572"/>
      <c r="R36" s="572"/>
      <c r="S36" s="572"/>
      <c r="T36" s="572"/>
      <c r="U36" s="573"/>
    </row>
    <row r="37" spans="1:24" ht="30" x14ac:dyDescent="0.2">
      <c r="A37" s="571" t="s">
        <v>1154</v>
      </c>
      <c r="B37" s="571" t="s">
        <v>1132</v>
      </c>
      <c r="C37" s="572"/>
      <c r="D37" s="572"/>
      <c r="E37" s="572"/>
      <c r="F37" s="572"/>
      <c r="G37" s="572"/>
      <c r="H37" s="572"/>
      <c r="I37" s="572"/>
      <c r="J37" s="572"/>
      <c r="K37" s="572"/>
      <c r="L37" s="572"/>
      <c r="M37" s="572"/>
      <c r="N37" s="572"/>
      <c r="O37" s="572"/>
      <c r="P37" s="572"/>
      <c r="Q37" s="572"/>
      <c r="R37" s="572"/>
      <c r="S37" s="572"/>
      <c r="T37" s="572"/>
      <c r="U37" s="573"/>
    </row>
    <row r="38" spans="1:24" ht="17.25" customHeight="1" x14ac:dyDescent="0.2">
      <c r="A38" s="571" t="s">
        <v>1155</v>
      </c>
      <c r="B38" s="571" t="s">
        <v>1134</v>
      </c>
      <c r="C38" s="572"/>
      <c r="D38" s="572"/>
      <c r="E38" s="572"/>
      <c r="F38" s="572"/>
      <c r="G38" s="572"/>
      <c r="H38" s="572"/>
      <c r="I38" s="572"/>
      <c r="J38" s="572"/>
      <c r="K38" s="572"/>
      <c r="L38" s="572"/>
      <c r="M38" s="572"/>
      <c r="N38" s="572"/>
      <c r="O38" s="572"/>
      <c r="P38" s="572"/>
      <c r="Q38" s="572"/>
      <c r="R38" s="572"/>
      <c r="S38" s="572"/>
      <c r="T38" s="572"/>
      <c r="U38" s="573"/>
    </row>
    <row r="39" spans="1:24" ht="17.25" customHeight="1" x14ac:dyDescent="0.2">
      <c r="A39" s="571" t="s">
        <v>264</v>
      </c>
      <c r="B39" s="571" t="s">
        <v>1139</v>
      </c>
      <c r="C39" s="572"/>
      <c r="D39" s="572"/>
      <c r="E39" s="572"/>
      <c r="F39" s="572"/>
      <c r="G39" s="572"/>
      <c r="H39" s="572"/>
      <c r="I39" s="572"/>
      <c r="J39" s="572"/>
      <c r="K39" s="572"/>
      <c r="L39" s="572"/>
      <c r="M39" s="572"/>
      <c r="N39" s="572"/>
      <c r="O39" s="572"/>
      <c r="P39" s="572"/>
      <c r="Q39" s="572"/>
      <c r="R39" s="572"/>
      <c r="S39" s="572"/>
      <c r="T39" s="572"/>
      <c r="U39" s="573">
        <f t="shared" ref="U39:U47" si="15">SUM(C39:T39)</f>
        <v>0</v>
      </c>
    </row>
    <row r="40" spans="1:24" ht="17.25" customHeight="1" x14ac:dyDescent="0.2">
      <c r="A40" s="571" t="s">
        <v>265</v>
      </c>
      <c r="B40" s="571" t="s">
        <v>1140</v>
      </c>
      <c r="C40" s="572"/>
      <c r="D40" s="572"/>
      <c r="E40" s="572"/>
      <c r="F40" s="572"/>
      <c r="G40" s="572"/>
      <c r="H40" s="572"/>
      <c r="I40" s="572"/>
      <c r="J40" s="572"/>
      <c r="K40" s="572"/>
      <c r="L40" s="572"/>
      <c r="M40" s="572"/>
      <c r="N40" s="572"/>
      <c r="O40" s="572"/>
      <c r="P40" s="572"/>
      <c r="Q40" s="572"/>
      <c r="R40" s="572"/>
      <c r="S40" s="572"/>
      <c r="T40" s="572"/>
      <c r="U40" s="573">
        <f t="shared" si="15"/>
        <v>0</v>
      </c>
    </row>
    <row r="41" spans="1:24" ht="20.25" customHeight="1" x14ac:dyDescent="0.2">
      <c r="A41" s="571" t="s">
        <v>266</v>
      </c>
      <c r="B41" s="571" t="s">
        <v>1141</v>
      </c>
      <c r="C41" s="572"/>
      <c r="D41" s="572"/>
      <c r="E41" s="572"/>
      <c r="F41" s="572"/>
      <c r="G41" s="572"/>
      <c r="H41" s="572"/>
      <c r="I41" s="572"/>
      <c r="J41" s="572"/>
      <c r="K41" s="572"/>
      <c r="L41" s="572"/>
      <c r="M41" s="572"/>
      <c r="N41" s="572"/>
      <c r="O41" s="572"/>
      <c r="P41" s="572"/>
      <c r="Q41" s="572"/>
      <c r="R41" s="572"/>
      <c r="S41" s="572"/>
      <c r="T41" s="572"/>
      <c r="U41" s="573">
        <f t="shared" si="15"/>
        <v>0</v>
      </c>
    </row>
    <row r="42" spans="1:24" ht="20.25" customHeight="1" x14ac:dyDescent="0.2">
      <c r="A42" s="571" t="s">
        <v>267</v>
      </c>
      <c r="B42" s="571" t="s">
        <v>1142</v>
      </c>
      <c r="C42" s="572"/>
      <c r="D42" s="572"/>
      <c r="E42" s="572"/>
      <c r="F42" s="572"/>
      <c r="G42" s="572"/>
      <c r="H42" s="572"/>
      <c r="I42" s="572"/>
      <c r="J42" s="572"/>
      <c r="K42" s="572"/>
      <c r="L42" s="572"/>
      <c r="M42" s="572"/>
      <c r="N42" s="572"/>
      <c r="O42" s="572"/>
      <c r="P42" s="572"/>
      <c r="Q42" s="572"/>
      <c r="R42" s="572"/>
      <c r="S42" s="572"/>
      <c r="T42" s="572"/>
      <c r="U42" s="573">
        <f t="shared" si="15"/>
        <v>0</v>
      </c>
    </row>
    <row r="43" spans="1:24" ht="20.25" customHeight="1" x14ac:dyDescent="0.2">
      <c r="A43" s="571" t="s">
        <v>268</v>
      </c>
      <c r="B43" s="571" t="s">
        <v>1143</v>
      </c>
      <c r="C43" s="572"/>
      <c r="D43" s="572"/>
      <c r="E43" s="572"/>
      <c r="F43" s="572"/>
      <c r="G43" s="572"/>
      <c r="H43" s="572"/>
      <c r="I43" s="572"/>
      <c r="J43" s="572"/>
      <c r="K43" s="572"/>
      <c r="L43" s="572"/>
      <c r="M43" s="572"/>
      <c r="N43" s="572"/>
      <c r="O43" s="572"/>
      <c r="P43" s="572"/>
      <c r="Q43" s="572"/>
      <c r="R43" s="572"/>
      <c r="S43" s="572"/>
      <c r="T43" s="572"/>
      <c r="U43" s="573">
        <f t="shared" si="15"/>
        <v>0</v>
      </c>
    </row>
    <row r="44" spans="1:24" ht="20.25" customHeight="1" x14ac:dyDescent="0.2">
      <c r="A44" s="571" t="s">
        <v>269</v>
      </c>
      <c r="B44" s="571" t="s">
        <v>1144</v>
      </c>
      <c r="C44" s="572"/>
      <c r="D44" s="572"/>
      <c r="E44" s="572"/>
      <c r="F44" s="572"/>
      <c r="G44" s="572"/>
      <c r="H44" s="572"/>
      <c r="I44" s="572"/>
      <c r="J44" s="572"/>
      <c r="K44" s="572"/>
      <c r="L44" s="572"/>
      <c r="M44" s="572"/>
      <c r="N44" s="572"/>
      <c r="O44" s="572"/>
      <c r="P44" s="572"/>
      <c r="Q44" s="572"/>
      <c r="R44" s="572"/>
      <c r="S44" s="572"/>
      <c r="T44" s="572"/>
      <c r="U44" s="573">
        <f t="shared" si="15"/>
        <v>0</v>
      </c>
    </row>
    <row r="45" spans="1:24" ht="20.25" customHeight="1" x14ac:dyDescent="0.2">
      <c r="A45" s="571" t="s">
        <v>270</v>
      </c>
      <c r="B45" s="571" t="s">
        <v>1145</v>
      </c>
      <c r="C45" s="572"/>
      <c r="D45" s="572"/>
      <c r="E45" s="572"/>
      <c r="F45" s="572"/>
      <c r="G45" s="572"/>
      <c r="H45" s="572"/>
      <c r="I45" s="572"/>
      <c r="J45" s="572"/>
      <c r="K45" s="572"/>
      <c r="L45" s="572"/>
      <c r="M45" s="572"/>
      <c r="N45" s="572"/>
      <c r="O45" s="572"/>
      <c r="P45" s="572"/>
      <c r="Q45" s="572"/>
      <c r="R45" s="572"/>
      <c r="S45" s="572"/>
      <c r="T45" s="572"/>
      <c r="U45" s="573">
        <f t="shared" si="15"/>
        <v>0</v>
      </c>
    </row>
    <row r="46" spans="1:24" ht="20.25" customHeight="1" x14ac:dyDescent="0.2">
      <c r="A46" s="571" t="s">
        <v>271</v>
      </c>
      <c r="B46" s="570" t="s">
        <v>1156</v>
      </c>
      <c r="C46" s="573">
        <f t="shared" ref="C46:T46" si="16">SUM(C12+C29)</f>
        <v>52664921</v>
      </c>
      <c r="D46" s="573">
        <f t="shared" si="16"/>
        <v>51255790</v>
      </c>
      <c r="E46" s="573">
        <f t="shared" si="16"/>
        <v>49846659</v>
      </c>
      <c r="F46" s="573">
        <f t="shared" si="16"/>
        <v>48437528</v>
      </c>
      <c r="G46" s="573">
        <f t="shared" si="16"/>
        <v>47028396</v>
      </c>
      <c r="H46" s="573">
        <f t="shared" si="16"/>
        <v>45619265</v>
      </c>
      <c r="I46" s="573">
        <f t="shared" si="16"/>
        <v>44210134</v>
      </c>
      <c r="J46" s="573">
        <f t="shared" si="16"/>
        <v>42801003</v>
      </c>
      <c r="K46" s="573">
        <f t="shared" si="16"/>
        <v>41391872</v>
      </c>
      <c r="L46" s="573">
        <f t="shared" si="16"/>
        <v>39982740</v>
      </c>
      <c r="M46" s="573">
        <f t="shared" si="16"/>
        <v>38573609</v>
      </c>
      <c r="N46" s="573">
        <f t="shared" si="16"/>
        <v>37164478</v>
      </c>
      <c r="O46" s="573">
        <f t="shared" si="16"/>
        <v>35755347</v>
      </c>
      <c r="P46" s="573">
        <f t="shared" si="16"/>
        <v>34346216</v>
      </c>
      <c r="Q46" s="573">
        <f t="shared" si="16"/>
        <v>32937084</v>
      </c>
      <c r="R46" s="573">
        <f t="shared" si="16"/>
        <v>31527953</v>
      </c>
      <c r="S46" s="573">
        <f t="shared" si="16"/>
        <v>30118821</v>
      </c>
      <c r="T46" s="573">
        <f t="shared" si="16"/>
        <v>21680822</v>
      </c>
      <c r="U46" s="573">
        <f t="shared" si="15"/>
        <v>725342638</v>
      </c>
    </row>
    <row r="47" spans="1:24" ht="21" customHeight="1" x14ac:dyDescent="0.2">
      <c r="A47" s="571" t="s">
        <v>272</v>
      </c>
      <c r="B47" s="570" t="s">
        <v>1157</v>
      </c>
      <c r="C47" s="573" t="e">
        <f t="shared" ref="C47:T47" si="17">C11-C46</f>
        <v>#REF!</v>
      </c>
      <c r="D47" s="573" t="e">
        <f t="shared" si="17"/>
        <v>#REF!</v>
      </c>
      <c r="E47" s="573" t="e">
        <f t="shared" si="17"/>
        <v>#REF!</v>
      </c>
      <c r="F47" s="573" t="e">
        <f t="shared" si="17"/>
        <v>#REF!</v>
      </c>
      <c r="G47" s="573" t="e">
        <f t="shared" si="17"/>
        <v>#REF!</v>
      </c>
      <c r="H47" s="573" t="e">
        <f t="shared" si="17"/>
        <v>#REF!</v>
      </c>
      <c r="I47" s="573" t="e">
        <f t="shared" si="17"/>
        <v>#REF!</v>
      </c>
      <c r="J47" s="573" t="e">
        <f t="shared" si="17"/>
        <v>#REF!</v>
      </c>
      <c r="K47" s="573" t="e">
        <f t="shared" si="17"/>
        <v>#REF!</v>
      </c>
      <c r="L47" s="573" t="e">
        <f t="shared" si="17"/>
        <v>#REF!</v>
      </c>
      <c r="M47" s="573" t="e">
        <f t="shared" si="17"/>
        <v>#REF!</v>
      </c>
      <c r="N47" s="573" t="e">
        <f t="shared" si="17"/>
        <v>#REF!</v>
      </c>
      <c r="O47" s="573" t="e">
        <f t="shared" si="17"/>
        <v>#REF!</v>
      </c>
      <c r="P47" s="573" t="e">
        <f t="shared" si="17"/>
        <v>#REF!</v>
      </c>
      <c r="Q47" s="573" t="e">
        <f t="shared" si="17"/>
        <v>#REF!</v>
      </c>
      <c r="R47" s="573" t="e">
        <f t="shared" si="17"/>
        <v>#REF!</v>
      </c>
      <c r="S47" s="573" t="e">
        <f t="shared" si="17"/>
        <v>#REF!</v>
      </c>
      <c r="T47" s="573" t="e">
        <f t="shared" si="17"/>
        <v>#REF!</v>
      </c>
      <c r="U47" s="573" t="e">
        <f t="shared" si="15"/>
        <v>#REF!</v>
      </c>
    </row>
    <row r="48" spans="1:24" ht="15" x14ac:dyDescent="0.2">
      <c r="A48" s="575"/>
      <c r="B48" s="575" t="s">
        <v>1158</v>
      </c>
      <c r="C48" s="575"/>
      <c r="D48" s="576"/>
      <c r="E48" s="576"/>
      <c r="F48" s="576"/>
      <c r="G48" s="576"/>
      <c r="H48" s="576"/>
      <c r="I48" s="576"/>
      <c r="J48" s="576"/>
      <c r="K48" s="576"/>
      <c r="L48" s="576"/>
      <c r="M48" s="576"/>
      <c r="N48" s="576"/>
      <c r="O48" s="576"/>
      <c r="P48" s="576"/>
      <c r="Q48" s="576"/>
      <c r="R48" s="576"/>
      <c r="S48" s="576"/>
      <c r="T48" s="576"/>
      <c r="U48" s="576"/>
      <c r="V48" s="576"/>
      <c r="W48" s="576"/>
      <c r="X48" s="577"/>
    </row>
    <row r="49" spans="1:26" ht="30" x14ac:dyDescent="0.2">
      <c r="A49" s="2027"/>
      <c r="B49" s="571" t="s">
        <v>701</v>
      </c>
      <c r="C49" s="578" t="e">
        <f>+'1.a sz. Önkormányzat  '!#REF!</f>
        <v>#REF!</v>
      </c>
      <c r="D49" s="572" t="s">
        <v>1159</v>
      </c>
      <c r="E49" s="572"/>
      <c r="F49" s="571"/>
      <c r="G49" s="575"/>
      <c r="H49" s="576"/>
      <c r="I49" s="576"/>
      <c r="J49" s="579" t="s">
        <v>1160</v>
      </c>
      <c r="K49" s="580"/>
      <c r="L49" s="576"/>
      <c r="M49" s="576"/>
      <c r="N49" s="576"/>
      <c r="O49" s="576"/>
      <c r="P49" s="576"/>
      <c r="Q49" s="576"/>
      <c r="R49" s="576"/>
      <c r="S49" s="576"/>
      <c r="T49" s="576"/>
      <c r="U49" s="576"/>
      <c r="V49" s="576"/>
      <c r="W49" s="576"/>
      <c r="X49" s="577"/>
    </row>
    <row r="50" spans="1:26" ht="43.15" customHeight="1" x14ac:dyDescent="0.2">
      <c r="A50" s="2028"/>
      <c r="B50" s="571" t="s">
        <v>1161</v>
      </c>
      <c r="C50" s="578" t="e">
        <f>+'1.a sz. Önkormányzat  '!#REF!</f>
        <v>#REF!</v>
      </c>
      <c r="D50" s="572" t="s">
        <v>1162</v>
      </c>
      <c r="E50" s="572"/>
      <c r="F50" s="572"/>
      <c r="G50" s="576"/>
      <c r="H50" s="576"/>
      <c r="I50" s="576"/>
      <c r="J50" s="581" t="s">
        <v>1163</v>
      </c>
      <c r="K50" s="582"/>
      <c r="L50" s="575"/>
      <c r="M50" s="576"/>
      <c r="N50" s="576"/>
      <c r="O50" s="576"/>
      <c r="P50" s="576"/>
      <c r="Q50" s="576"/>
      <c r="R50" s="576"/>
      <c r="S50" s="576"/>
      <c r="T50" s="576"/>
      <c r="U50" s="576"/>
      <c r="V50" s="576"/>
      <c r="W50" s="576"/>
      <c r="X50" s="577"/>
      <c r="Y50" s="576"/>
      <c r="Z50" s="576"/>
    </row>
    <row r="51" spans="1:26" ht="15" x14ac:dyDescent="0.2">
      <c r="A51" s="2028"/>
      <c r="B51" s="571" t="s">
        <v>1164</v>
      </c>
      <c r="C51" s="578" t="e">
        <f>+'1.a sz. Önkormányzat  '!#REF!</f>
        <v>#REF!</v>
      </c>
      <c r="D51" s="572" t="s">
        <v>1165</v>
      </c>
      <c r="E51" s="572"/>
      <c r="F51" s="572"/>
      <c r="G51" s="576"/>
      <c r="H51" s="576"/>
      <c r="I51" s="576"/>
      <c r="J51" s="581" t="s">
        <v>1166</v>
      </c>
      <c r="K51" s="582"/>
      <c r="L51" s="576"/>
      <c r="M51" s="576"/>
      <c r="N51" s="576"/>
      <c r="O51" s="576"/>
      <c r="P51" s="576"/>
      <c r="Q51" s="576"/>
      <c r="R51" s="576"/>
      <c r="S51" s="576"/>
      <c r="T51" s="576"/>
      <c r="U51" s="576"/>
      <c r="V51" s="576"/>
      <c r="W51" s="576"/>
      <c r="X51" s="577"/>
      <c r="Y51" s="576"/>
      <c r="Z51" s="576"/>
    </row>
    <row r="52" spans="1:26" ht="15" x14ac:dyDescent="0.2">
      <c r="A52" s="2028"/>
      <c r="B52" s="571" t="s">
        <v>1167</v>
      </c>
      <c r="C52" s="578" t="e">
        <f>+'1.a sz. Önkormányzat  '!#REF!</f>
        <v>#REF!</v>
      </c>
      <c r="D52" s="572" t="s">
        <v>1168</v>
      </c>
      <c r="E52" s="572"/>
      <c r="F52" s="572"/>
      <c r="G52" s="576"/>
      <c r="H52" s="576"/>
      <c r="I52" s="576"/>
      <c r="J52" s="581"/>
      <c r="K52" s="582"/>
      <c r="L52" s="576"/>
      <c r="M52" s="576"/>
      <c r="N52" s="576"/>
      <c r="O52" s="576"/>
      <c r="P52" s="576"/>
      <c r="Q52" s="576"/>
      <c r="R52" s="576"/>
      <c r="S52" s="576"/>
      <c r="T52" s="576"/>
      <c r="U52" s="576"/>
      <c r="V52" s="576"/>
      <c r="W52" s="576"/>
      <c r="X52" s="577"/>
      <c r="Y52" s="576"/>
      <c r="Z52" s="576"/>
    </row>
    <row r="53" spans="1:26" ht="45" x14ac:dyDescent="0.2">
      <c r="A53" s="2028"/>
      <c r="B53" s="571" t="s">
        <v>704</v>
      </c>
      <c r="C53" s="578" t="e">
        <f>+'1.a sz. Önkormányzat  '!#REF!</f>
        <v>#REF!</v>
      </c>
      <c r="D53" s="572" t="s">
        <v>1169</v>
      </c>
      <c r="E53" s="572"/>
      <c r="F53" s="572" t="s">
        <v>1170</v>
      </c>
      <c r="G53" s="576" t="s">
        <v>1171</v>
      </c>
      <c r="H53" s="576">
        <v>112472000</v>
      </c>
      <c r="I53" s="576"/>
      <c r="J53" s="581"/>
      <c r="K53" s="582"/>
      <c r="L53" s="576"/>
      <c r="M53" s="576"/>
      <c r="N53" s="576"/>
      <c r="O53" s="576"/>
      <c r="P53" s="576"/>
      <c r="Q53" s="576"/>
      <c r="R53" s="576"/>
      <c r="S53" s="576"/>
      <c r="T53" s="576"/>
      <c r="U53" s="576"/>
      <c r="V53" s="576"/>
      <c r="W53" s="576"/>
      <c r="X53" s="577"/>
    </row>
    <row r="54" spans="1:26" ht="30" x14ac:dyDescent="0.2">
      <c r="A54" s="2028"/>
      <c r="B54" s="571" t="s">
        <v>1172</v>
      </c>
      <c r="C54" s="578" t="e">
        <f>+'1.a sz. Önkormányzat  '!#REF!</f>
        <v>#REF!</v>
      </c>
      <c r="D54" s="572" t="s">
        <v>1173</v>
      </c>
      <c r="E54" s="572"/>
      <c r="F54" s="572"/>
      <c r="G54" s="576"/>
      <c r="H54" s="576"/>
      <c r="I54" s="576"/>
      <c r="J54" s="581" t="s">
        <v>1174</v>
      </c>
      <c r="K54" s="582"/>
      <c r="L54" s="576"/>
      <c r="M54" s="576"/>
      <c r="N54" s="576"/>
      <c r="O54" s="576"/>
      <c r="P54" s="576"/>
      <c r="Q54" s="576"/>
      <c r="R54" s="576"/>
      <c r="S54" s="576"/>
      <c r="T54" s="576"/>
      <c r="U54" s="576"/>
      <c r="V54" s="576"/>
      <c r="W54" s="576"/>
      <c r="X54" s="577"/>
    </row>
    <row r="55" spans="1:26" ht="15" x14ac:dyDescent="0.2">
      <c r="A55" s="2028"/>
      <c r="B55" s="571"/>
      <c r="C55" s="578"/>
      <c r="D55" s="572"/>
      <c r="E55" s="572"/>
      <c r="F55" s="572"/>
      <c r="G55" s="576"/>
      <c r="H55" s="576"/>
      <c r="I55" s="576"/>
      <c r="J55" s="581"/>
      <c r="K55" s="582"/>
      <c r="L55" s="576"/>
      <c r="M55" s="576"/>
      <c r="N55" s="576"/>
      <c r="O55" s="576"/>
      <c r="P55" s="576"/>
      <c r="Q55" s="576"/>
      <c r="R55" s="576"/>
      <c r="S55" s="576"/>
      <c r="T55" s="576"/>
      <c r="U55" s="576"/>
      <c r="V55" s="576"/>
      <c r="W55" s="576"/>
      <c r="X55" s="577"/>
    </row>
    <row r="56" spans="1:26" ht="30" x14ac:dyDescent="0.2">
      <c r="A56" s="2028"/>
      <c r="B56" s="570" t="s">
        <v>119</v>
      </c>
      <c r="C56" s="583" t="e">
        <f>SUM(C49:C55)</f>
        <v>#REF!</v>
      </c>
      <c r="D56" s="572" t="s">
        <v>1175</v>
      </c>
      <c r="E56" s="572"/>
      <c r="F56" s="572"/>
      <c r="G56" s="576"/>
      <c r="H56" s="576"/>
      <c r="I56" s="576"/>
      <c r="J56" s="581" t="s">
        <v>1176</v>
      </c>
      <c r="K56" s="582"/>
      <c r="L56" s="576"/>
      <c r="M56" s="576"/>
      <c r="N56" s="576"/>
      <c r="O56" s="576"/>
      <c r="P56" s="576"/>
      <c r="Q56" s="576"/>
      <c r="R56" s="576"/>
      <c r="S56" s="576"/>
      <c r="T56" s="576"/>
      <c r="U56" s="576"/>
      <c r="V56" s="576"/>
      <c r="W56" s="576"/>
      <c r="X56" s="577"/>
    </row>
    <row r="57" spans="1:26" ht="15" x14ac:dyDescent="0.2">
      <c r="A57" s="584"/>
      <c r="B57" s="571" t="s">
        <v>1177</v>
      </c>
      <c r="C57" s="578"/>
      <c r="D57" s="572" t="s">
        <v>1178</v>
      </c>
      <c r="E57" s="572"/>
      <c r="F57" s="572"/>
      <c r="G57" s="576"/>
      <c r="H57" s="576"/>
      <c r="I57" s="576"/>
      <c r="J57" s="581" t="s">
        <v>1179</v>
      </c>
      <c r="K57" s="582"/>
      <c r="L57" s="576"/>
      <c r="M57" s="576"/>
      <c r="N57" s="576"/>
      <c r="O57" s="576"/>
      <c r="P57" s="576"/>
      <c r="Q57" s="576"/>
      <c r="R57" s="576"/>
      <c r="S57" s="576"/>
      <c r="T57" s="576"/>
      <c r="U57" s="576"/>
      <c r="V57" s="576"/>
      <c r="W57" s="576"/>
      <c r="X57" s="577"/>
    </row>
    <row r="58" spans="1:26" ht="15" x14ac:dyDescent="0.2">
      <c r="A58" s="584"/>
      <c r="B58" s="571" t="s">
        <v>1180</v>
      </c>
      <c r="C58" s="578"/>
      <c r="D58" s="572" t="s">
        <v>1181</v>
      </c>
      <c r="E58" s="572"/>
      <c r="F58" s="572"/>
      <c r="G58" s="576"/>
      <c r="H58" s="576"/>
      <c r="I58" s="576"/>
      <c r="J58" s="581"/>
      <c r="K58" s="582"/>
      <c r="L58" s="576"/>
      <c r="M58" s="576"/>
      <c r="N58" s="576"/>
      <c r="O58" s="576"/>
      <c r="P58" s="576"/>
      <c r="Q58" s="576"/>
      <c r="R58" s="576"/>
      <c r="S58" s="576"/>
      <c r="T58" s="576"/>
      <c r="U58" s="576"/>
      <c r="V58" s="576"/>
      <c r="W58" s="576"/>
      <c r="X58" s="577"/>
    </row>
    <row r="59" spans="1:26" ht="15" x14ac:dyDescent="0.2">
      <c r="A59" s="584"/>
      <c r="B59" s="571" t="s">
        <v>1182</v>
      </c>
      <c r="C59" s="578"/>
      <c r="D59" s="572"/>
      <c r="E59" s="572"/>
      <c r="F59" s="572"/>
      <c r="G59" s="576"/>
      <c r="H59" s="576"/>
      <c r="I59" s="576"/>
      <c r="J59" s="581"/>
      <c r="K59" s="582"/>
      <c r="L59" s="576"/>
      <c r="M59" s="576"/>
      <c r="N59" s="576"/>
      <c r="O59" s="576"/>
      <c r="P59" s="576"/>
      <c r="Q59" s="576"/>
      <c r="R59" s="576"/>
      <c r="S59" s="576"/>
      <c r="T59" s="576"/>
      <c r="U59" s="576"/>
      <c r="V59" s="576"/>
      <c r="W59" s="576"/>
      <c r="X59" s="577"/>
    </row>
    <row r="60" spans="1:26" ht="15" x14ac:dyDescent="0.2">
      <c r="A60" s="584"/>
      <c r="B60" s="571" t="s">
        <v>1183</v>
      </c>
      <c r="C60" s="578">
        <f>+'2.1. sz. PMH'!J33</f>
        <v>4000000</v>
      </c>
      <c r="D60" s="572" t="s">
        <v>119</v>
      </c>
      <c r="E60" s="572"/>
      <c r="F60" s="572"/>
      <c r="G60" s="576"/>
      <c r="H60" s="576"/>
      <c r="I60" s="576"/>
      <c r="J60" s="585" t="s">
        <v>1184</v>
      </c>
      <c r="K60" s="586"/>
      <c r="L60" s="576"/>
      <c r="M60" s="576"/>
      <c r="N60" s="576"/>
      <c r="O60" s="576"/>
      <c r="P60" s="576"/>
      <c r="Q60" s="576"/>
      <c r="R60" s="576"/>
      <c r="S60" s="576"/>
      <c r="T60" s="576"/>
      <c r="U60" s="576"/>
      <c r="V60" s="576"/>
      <c r="W60" s="576"/>
      <c r="X60" s="577"/>
    </row>
    <row r="61" spans="1:26" ht="15" x14ac:dyDescent="0.2">
      <c r="A61" s="584"/>
      <c r="B61" s="571" t="s">
        <v>1185</v>
      </c>
      <c r="C61" s="578"/>
      <c r="D61" s="572"/>
      <c r="E61" s="572"/>
      <c r="F61" s="572"/>
      <c r="G61" s="576"/>
      <c r="H61" s="576"/>
      <c r="I61" s="576"/>
      <c r="J61" s="576"/>
      <c r="K61" s="576"/>
      <c r="L61" s="576"/>
      <c r="M61" s="576"/>
      <c r="N61" s="576"/>
      <c r="O61" s="576"/>
      <c r="P61" s="576"/>
      <c r="Q61" s="576"/>
      <c r="R61" s="576"/>
      <c r="S61" s="576"/>
      <c r="T61" s="576"/>
      <c r="U61" s="576"/>
      <c r="V61" s="576"/>
      <c r="W61" s="576"/>
      <c r="X61" s="577"/>
    </row>
    <row r="62" spans="1:26" ht="15" x14ac:dyDescent="0.2">
      <c r="A62" s="584"/>
      <c r="B62" s="571"/>
      <c r="C62" s="578"/>
      <c r="D62" s="572"/>
      <c r="E62" s="572"/>
      <c r="F62" s="572"/>
      <c r="G62" s="576"/>
      <c r="H62" s="576"/>
      <c r="I62" s="576"/>
      <c r="J62" s="576"/>
      <c r="K62" s="576"/>
      <c r="L62" s="576"/>
      <c r="M62" s="576"/>
      <c r="N62" s="576"/>
      <c r="O62" s="576"/>
      <c r="P62" s="576"/>
      <c r="Q62" s="576"/>
      <c r="R62" s="576"/>
      <c r="S62" s="576"/>
      <c r="T62" s="576"/>
      <c r="U62" s="576"/>
      <c r="V62" s="576"/>
      <c r="W62" s="576"/>
      <c r="X62" s="577"/>
    </row>
    <row r="63" spans="1:26" ht="15" x14ac:dyDescent="0.2">
      <c r="A63" s="587"/>
      <c r="B63" s="570" t="s">
        <v>119</v>
      </c>
      <c r="C63" s="583">
        <f>SUM(C58:C62)</f>
        <v>4000000</v>
      </c>
      <c r="D63" s="572"/>
      <c r="E63" s="572"/>
      <c r="F63" s="572"/>
      <c r="G63" s="576"/>
      <c r="H63" s="576"/>
      <c r="I63" s="576"/>
      <c r="J63" s="576"/>
      <c r="K63" s="576"/>
      <c r="L63" s="576"/>
      <c r="M63" s="576"/>
      <c r="N63" s="576"/>
      <c r="O63" s="576"/>
      <c r="P63" s="576"/>
      <c r="Q63" s="576"/>
      <c r="R63" s="576"/>
      <c r="S63" s="576"/>
      <c r="T63" s="576"/>
      <c r="U63" s="576"/>
      <c r="V63" s="576"/>
      <c r="W63" s="576"/>
      <c r="X63" s="577"/>
    </row>
    <row r="64" spans="1:26" ht="30" x14ac:dyDescent="0.2">
      <c r="A64" s="584"/>
      <c r="B64" s="571" t="s">
        <v>1186</v>
      </c>
      <c r="C64" s="578"/>
      <c r="D64" s="572" t="s">
        <v>1172</v>
      </c>
      <c r="E64" s="572"/>
      <c r="F64" s="572" t="s">
        <v>1187</v>
      </c>
      <c r="G64" s="576"/>
      <c r="H64" s="576"/>
      <c r="I64" s="576"/>
      <c r="J64" s="576"/>
      <c r="K64" s="576"/>
      <c r="L64" s="576"/>
      <c r="M64" s="576"/>
      <c r="N64" s="576"/>
      <c r="O64" s="576"/>
      <c r="P64" s="576"/>
      <c r="Q64" s="576"/>
      <c r="R64" s="576"/>
      <c r="S64" s="576"/>
      <c r="T64" s="576"/>
      <c r="U64" s="576"/>
      <c r="V64" s="576"/>
      <c r="W64" s="576"/>
      <c r="X64" s="577"/>
    </row>
    <row r="65" spans="1:24" ht="15" x14ac:dyDescent="0.2">
      <c r="A65" s="584"/>
      <c r="B65" s="571" t="s">
        <v>1188</v>
      </c>
      <c r="C65" s="578">
        <f>+'1.a sz. Önkormányzat  '!Z34</f>
        <v>51854877</v>
      </c>
      <c r="D65" s="572"/>
      <c r="E65" s="572"/>
      <c r="F65" s="572"/>
      <c r="G65" s="576"/>
      <c r="H65" s="576"/>
      <c r="I65" s="576"/>
      <c r="J65" s="576"/>
      <c r="K65" s="576"/>
      <c r="L65" s="576"/>
      <c r="M65" s="576"/>
      <c r="N65" s="576"/>
      <c r="O65" s="576"/>
      <c r="P65" s="576"/>
      <c r="Q65" s="576"/>
      <c r="R65" s="576"/>
      <c r="S65" s="576"/>
      <c r="T65" s="576"/>
      <c r="U65" s="576"/>
      <c r="V65" s="576"/>
      <c r="W65" s="576"/>
      <c r="X65" s="577"/>
    </row>
    <row r="66" spans="1:24" ht="15" x14ac:dyDescent="0.2">
      <c r="A66" s="584"/>
      <c r="B66" s="571" t="s">
        <v>1189</v>
      </c>
      <c r="C66" s="578"/>
      <c r="D66" s="572"/>
      <c r="E66" s="572"/>
      <c r="F66" s="572"/>
      <c r="G66" s="576"/>
      <c r="H66" s="576"/>
      <c r="I66" s="576"/>
      <c r="J66" s="576"/>
      <c r="K66" s="576"/>
      <c r="L66" s="576"/>
      <c r="M66" s="576"/>
      <c r="N66" s="576"/>
      <c r="O66" s="576"/>
      <c r="P66" s="576"/>
      <c r="Q66" s="576"/>
      <c r="R66" s="576"/>
      <c r="S66" s="576"/>
      <c r="T66" s="576"/>
      <c r="U66" s="576"/>
      <c r="V66" s="576"/>
      <c r="W66" s="576"/>
      <c r="X66" s="577"/>
    </row>
    <row r="67" spans="1:24" ht="15" x14ac:dyDescent="0.2">
      <c r="A67" s="584"/>
      <c r="B67" s="571" t="s">
        <v>1263</v>
      </c>
      <c r="C67" s="578" t="e">
        <f>+'1.a sz. Önkormányzat  '!#REF!</f>
        <v>#REF!</v>
      </c>
      <c r="D67" s="572"/>
      <c r="E67" s="572"/>
      <c r="F67" s="572"/>
      <c r="G67" s="576"/>
      <c r="H67" s="576"/>
      <c r="I67" s="576"/>
      <c r="J67" s="576"/>
      <c r="K67" s="576"/>
      <c r="L67" s="576"/>
      <c r="M67" s="576"/>
      <c r="N67" s="576"/>
      <c r="O67" s="576"/>
      <c r="P67" s="576"/>
      <c r="Q67" s="576"/>
      <c r="R67" s="576"/>
      <c r="S67" s="576"/>
      <c r="T67" s="576"/>
      <c r="U67" s="576"/>
      <c r="V67" s="576"/>
      <c r="W67" s="576"/>
      <c r="X67" s="577"/>
    </row>
    <row r="68" spans="1:24" ht="15" x14ac:dyDescent="0.2">
      <c r="A68" s="584"/>
      <c r="B68" s="571" t="s">
        <v>1190</v>
      </c>
      <c r="C68" s="578">
        <f>+'1.a sz. Önkormányzat  '!CT33</f>
        <v>14738681</v>
      </c>
      <c r="D68" s="572"/>
      <c r="E68" s="572"/>
      <c r="F68" s="572"/>
      <c r="G68" s="576"/>
      <c r="H68" s="576"/>
      <c r="I68" s="576"/>
      <c r="J68" s="576"/>
      <c r="K68" s="576"/>
      <c r="L68" s="576"/>
      <c r="M68" s="576"/>
      <c r="N68" s="576"/>
      <c r="O68" s="576"/>
      <c r="P68" s="576"/>
      <c r="Q68" s="576"/>
      <c r="R68" s="576"/>
      <c r="S68" s="576"/>
      <c r="T68" s="576"/>
      <c r="U68" s="576"/>
      <c r="V68" s="576"/>
      <c r="W68" s="576"/>
      <c r="X68" s="577"/>
    </row>
    <row r="69" spans="1:24" ht="15" x14ac:dyDescent="0.2">
      <c r="A69" s="584"/>
      <c r="B69" s="571" t="s">
        <v>1191</v>
      </c>
      <c r="C69" s="578">
        <f>+'1.a sz. Önkormányzat  '!CV33</f>
        <v>677580</v>
      </c>
      <c r="D69" s="572"/>
      <c r="E69" s="572"/>
      <c r="F69" s="572"/>
      <c r="G69" s="576"/>
      <c r="H69" s="576"/>
      <c r="I69" s="576"/>
      <c r="J69" s="576"/>
      <c r="K69" s="576"/>
      <c r="L69" s="576"/>
      <c r="M69" s="576"/>
      <c r="N69" s="576"/>
      <c r="O69" s="576"/>
      <c r="P69" s="576"/>
      <c r="Q69" s="576"/>
      <c r="R69" s="576"/>
      <c r="S69" s="576"/>
      <c r="T69" s="576"/>
      <c r="U69" s="576"/>
      <c r="V69" s="576"/>
      <c r="W69" s="576"/>
      <c r="X69" s="577"/>
    </row>
    <row r="70" spans="1:24" ht="15" x14ac:dyDescent="0.2">
      <c r="A70" s="584"/>
      <c r="B70" s="571" t="s">
        <v>1192</v>
      </c>
      <c r="C70" s="578"/>
      <c r="D70" s="572"/>
      <c r="E70" s="572"/>
      <c r="F70" s="572"/>
      <c r="G70" s="576"/>
      <c r="H70" s="576"/>
      <c r="I70" s="576"/>
      <c r="J70" s="576"/>
      <c r="K70" s="576"/>
      <c r="L70" s="576"/>
      <c r="M70" s="576"/>
      <c r="N70" s="576"/>
      <c r="O70" s="576"/>
      <c r="P70" s="576"/>
      <c r="Q70" s="576"/>
      <c r="R70" s="576"/>
      <c r="S70" s="576"/>
      <c r="T70" s="576"/>
      <c r="U70" s="576"/>
      <c r="V70" s="576"/>
      <c r="W70" s="576"/>
      <c r="X70" s="577"/>
    </row>
    <row r="71" spans="1:24" ht="15" x14ac:dyDescent="0.2">
      <c r="A71" s="584"/>
      <c r="B71" s="571" t="s">
        <v>1168</v>
      </c>
      <c r="C71" s="578">
        <f>+'1.a sz. Önkormányzat  '!CZ33</f>
        <v>5280000</v>
      </c>
      <c r="D71" s="572"/>
      <c r="E71" s="572"/>
      <c r="F71" s="572"/>
      <c r="G71" s="576"/>
      <c r="H71" s="576"/>
      <c r="I71" s="576"/>
      <c r="J71" s="576"/>
      <c r="K71" s="576"/>
      <c r="L71" s="576"/>
      <c r="M71" s="576"/>
      <c r="N71" s="576"/>
      <c r="O71" s="576"/>
      <c r="P71" s="576"/>
      <c r="Q71" s="576"/>
      <c r="R71" s="576"/>
      <c r="S71" s="576"/>
      <c r="T71" s="576"/>
      <c r="U71" s="576"/>
      <c r="V71" s="576"/>
      <c r="W71" s="576"/>
      <c r="X71" s="577"/>
    </row>
    <row r="72" spans="1:24" ht="15" x14ac:dyDescent="0.2">
      <c r="A72" s="584"/>
      <c r="B72" s="571" t="s">
        <v>1193</v>
      </c>
      <c r="C72" s="578">
        <f>+'1.a sz. Önkormányzat  '!EF33+'1.a sz. Önkormányzat  '!EL33</f>
        <v>130000000</v>
      </c>
      <c r="D72" s="572"/>
      <c r="E72" s="572"/>
      <c r="F72" s="572"/>
      <c r="G72" s="576"/>
      <c r="H72" s="576"/>
      <c r="I72" s="576"/>
      <c r="J72" s="576"/>
      <c r="K72" s="576"/>
      <c r="L72" s="576"/>
      <c r="M72" s="576"/>
      <c r="N72" s="576"/>
      <c r="O72" s="576"/>
      <c r="P72" s="576"/>
      <c r="Q72" s="576"/>
      <c r="R72" s="576"/>
      <c r="S72" s="576"/>
      <c r="T72" s="576"/>
      <c r="U72" s="576"/>
      <c r="V72" s="576"/>
      <c r="W72" s="576"/>
      <c r="X72" s="577"/>
    </row>
    <row r="73" spans="1:24" ht="15" x14ac:dyDescent="0.2">
      <c r="A73" s="584"/>
      <c r="B73" s="571" t="s">
        <v>1194</v>
      </c>
      <c r="C73" s="578"/>
      <c r="D73" s="572"/>
      <c r="E73" s="572"/>
      <c r="F73" s="572"/>
      <c r="G73" s="576"/>
      <c r="H73" s="576"/>
      <c r="I73" s="576"/>
      <c r="J73" s="576"/>
      <c r="K73" s="576"/>
      <c r="L73" s="576"/>
      <c r="M73" s="576"/>
      <c r="N73" s="576"/>
      <c r="O73" s="576"/>
      <c r="P73" s="576"/>
      <c r="Q73" s="576"/>
      <c r="R73" s="576"/>
      <c r="S73" s="576"/>
      <c r="T73" s="576"/>
      <c r="U73" s="576"/>
      <c r="V73" s="576"/>
      <c r="W73" s="576"/>
      <c r="X73" s="577"/>
    </row>
    <row r="74" spans="1:24" ht="15" x14ac:dyDescent="0.2">
      <c r="A74" s="584"/>
      <c r="B74" s="571" t="s">
        <v>1195</v>
      </c>
      <c r="C74" s="578">
        <f>+'1.a sz. Önkormányzat  '!DL33</f>
        <v>10000000</v>
      </c>
      <c r="D74" s="572"/>
      <c r="E74" s="572"/>
      <c r="F74" s="572"/>
      <c r="G74" s="576"/>
      <c r="H74" s="576"/>
      <c r="I74" s="576"/>
      <c r="J74" s="576"/>
      <c r="K74" s="576"/>
      <c r="L74" s="576"/>
      <c r="M74" s="576"/>
      <c r="N74" s="576"/>
      <c r="O74" s="576"/>
      <c r="P74" s="576"/>
      <c r="Q74" s="576"/>
      <c r="R74" s="576"/>
      <c r="S74" s="576"/>
      <c r="T74" s="576"/>
      <c r="U74" s="576"/>
      <c r="V74" s="576"/>
      <c r="W74" s="576"/>
      <c r="X74" s="577"/>
    </row>
    <row r="75" spans="1:24" ht="15" x14ac:dyDescent="0.2">
      <c r="A75" s="584"/>
      <c r="B75" s="571" t="s">
        <v>1264</v>
      </c>
      <c r="C75" s="578">
        <f>+'1.a sz. Önkormányzat  '!CB33</f>
        <v>2034400</v>
      </c>
      <c r="D75" s="572" t="s">
        <v>119</v>
      </c>
      <c r="E75" s="572"/>
      <c r="F75" s="572"/>
      <c r="G75" s="576"/>
      <c r="H75" s="576"/>
      <c r="I75" s="576"/>
      <c r="J75" s="576"/>
      <c r="K75" s="576"/>
      <c r="L75" s="576"/>
      <c r="M75" s="576"/>
      <c r="N75" s="576"/>
      <c r="O75" s="576"/>
      <c r="P75" s="576"/>
      <c r="Q75" s="576"/>
      <c r="R75" s="576"/>
      <c r="S75" s="576"/>
      <c r="T75" s="576"/>
      <c r="U75" s="576"/>
      <c r="V75" s="576"/>
      <c r="W75" s="576"/>
      <c r="X75" s="577"/>
    </row>
    <row r="76" spans="1:24" ht="15" x14ac:dyDescent="0.2">
      <c r="A76" s="584"/>
      <c r="B76" s="571" t="s">
        <v>1265</v>
      </c>
      <c r="C76" s="578">
        <f>+'1.a sz. Önkormányzat  '!BZ33</f>
        <v>42800000</v>
      </c>
      <c r="D76" s="572"/>
      <c r="E76" s="572"/>
      <c r="F76" s="572"/>
      <c r="G76" s="576"/>
      <c r="H76" s="576"/>
      <c r="I76" s="576"/>
      <c r="J76" s="576"/>
      <c r="K76" s="576"/>
      <c r="L76" s="576"/>
      <c r="M76" s="576"/>
      <c r="N76" s="576"/>
      <c r="O76" s="576"/>
      <c r="P76" s="576"/>
      <c r="Q76" s="576"/>
      <c r="R76" s="576"/>
      <c r="S76" s="576"/>
      <c r="T76" s="576"/>
      <c r="U76" s="576"/>
      <c r="V76" s="576"/>
      <c r="W76" s="576"/>
      <c r="X76" s="577"/>
    </row>
    <row r="77" spans="1:24" ht="15" x14ac:dyDescent="0.2">
      <c r="A77" s="584"/>
      <c r="B77" s="571" t="s">
        <v>1196</v>
      </c>
      <c r="C77" s="578"/>
      <c r="D77" s="572"/>
      <c r="E77" s="572"/>
      <c r="F77" s="572"/>
      <c r="G77" s="576"/>
      <c r="H77" s="576"/>
      <c r="I77" s="576"/>
      <c r="J77" s="576"/>
      <c r="K77" s="576"/>
      <c r="L77" s="576"/>
      <c r="M77" s="576"/>
      <c r="N77" s="576"/>
      <c r="O77" s="576"/>
      <c r="P77" s="576"/>
      <c r="Q77" s="576"/>
      <c r="R77" s="576"/>
      <c r="S77" s="576"/>
      <c r="T77" s="576"/>
      <c r="U77" s="576"/>
      <c r="V77" s="576"/>
      <c r="W77" s="576"/>
      <c r="X77" s="577"/>
    </row>
    <row r="78" spans="1:24" ht="15" x14ac:dyDescent="0.2">
      <c r="A78" s="584"/>
      <c r="B78" s="571" t="s">
        <v>1197</v>
      </c>
      <c r="C78" s="578">
        <f>+'2.2. sz. Hétszínvirág Óvoda'!T34</f>
        <v>300030</v>
      </c>
      <c r="D78" s="572"/>
      <c r="E78" s="572"/>
      <c r="F78" s="572"/>
      <c r="G78" s="576"/>
      <c r="H78" s="576"/>
      <c r="I78" s="576"/>
      <c r="J78" s="576"/>
      <c r="K78" s="576"/>
      <c r="L78" s="576"/>
      <c r="M78" s="576"/>
      <c r="N78" s="576"/>
      <c r="O78" s="576"/>
      <c r="P78" s="576"/>
      <c r="Q78" s="576"/>
      <c r="R78" s="576"/>
      <c r="S78" s="576"/>
      <c r="T78" s="576"/>
      <c r="U78" s="576"/>
      <c r="V78" s="576"/>
      <c r="W78" s="576"/>
      <c r="X78" s="577"/>
    </row>
    <row r="79" spans="1:24" ht="15" x14ac:dyDescent="0.2">
      <c r="A79" s="584"/>
      <c r="B79" s="571" t="s">
        <v>1198</v>
      </c>
      <c r="C79" s="578">
        <f>+'2.3. sz. Mese Óvoda'!P34</f>
        <v>631020</v>
      </c>
      <c r="D79" s="572"/>
      <c r="E79" s="572"/>
      <c r="F79" s="572"/>
      <c r="G79" s="576"/>
      <c r="H79" s="576"/>
      <c r="I79" s="576"/>
      <c r="J79" s="576"/>
      <c r="K79" s="576"/>
      <c r="L79" s="576"/>
      <c r="M79" s="576"/>
      <c r="N79" s="576"/>
      <c r="O79" s="576"/>
      <c r="P79" s="576"/>
      <c r="Q79" s="576"/>
      <c r="R79" s="576"/>
      <c r="S79" s="576"/>
      <c r="T79" s="576"/>
      <c r="U79" s="576"/>
      <c r="V79" s="576"/>
      <c r="W79" s="576"/>
      <c r="X79" s="577"/>
    </row>
    <row r="80" spans="1:24" ht="15" x14ac:dyDescent="0.2">
      <c r="A80" s="584"/>
      <c r="B80" s="571" t="s">
        <v>1199</v>
      </c>
      <c r="C80" s="578">
        <f>+'2.8. sz. Műv.Ház'!H34+'2.8. sz. Műv.Ház'!L34</f>
        <v>6795198</v>
      </c>
      <c r="D80" s="572"/>
      <c r="E80" s="572"/>
      <c r="F80" s="572"/>
      <c r="G80" s="576"/>
      <c r="H80" s="576"/>
      <c r="I80" s="576"/>
      <c r="J80" s="576"/>
      <c r="K80" s="576"/>
      <c r="L80" s="576"/>
      <c r="M80" s="576"/>
      <c r="N80" s="576"/>
      <c r="O80" s="576"/>
      <c r="P80" s="576"/>
      <c r="Q80" s="576"/>
      <c r="R80" s="576"/>
      <c r="S80" s="576"/>
      <c r="T80" s="576"/>
      <c r="U80" s="576"/>
      <c r="V80" s="576"/>
      <c r="W80" s="576"/>
      <c r="X80" s="577"/>
    </row>
    <row r="81" spans="1:24" ht="15" x14ac:dyDescent="0.2">
      <c r="A81" s="575"/>
      <c r="B81" s="571" t="s">
        <v>119</v>
      </c>
      <c r="C81" s="583" t="e">
        <f>SUM(C65:C80)</f>
        <v>#REF!</v>
      </c>
      <c r="D81" s="572"/>
      <c r="E81" s="572"/>
      <c r="F81" s="572"/>
      <c r="G81" s="576"/>
      <c r="H81" s="576"/>
      <c r="I81" s="576"/>
      <c r="J81" s="576"/>
      <c r="K81" s="576"/>
      <c r="L81" s="576"/>
      <c r="M81" s="576"/>
      <c r="N81" s="576"/>
      <c r="O81" s="576"/>
      <c r="P81" s="576"/>
      <c r="Q81" s="576"/>
      <c r="R81" s="576"/>
      <c r="S81" s="576"/>
      <c r="T81" s="576"/>
      <c r="U81" s="576"/>
      <c r="V81" s="576"/>
      <c r="W81" s="576"/>
      <c r="X81" s="577"/>
    </row>
    <row r="82" spans="1:24" ht="15" x14ac:dyDescent="0.2">
      <c r="A82" s="575"/>
      <c r="B82" s="571"/>
      <c r="C82" s="578"/>
      <c r="D82" s="572"/>
      <c r="E82" s="572"/>
      <c r="F82" s="572"/>
      <c r="G82" s="576"/>
      <c r="H82" s="576"/>
      <c r="I82" s="576"/>
      <c r="J82" s="576"/>
      <c r="K82" s="576"/>
      <c r="L82" s="576"/>
      <c r="M82" s="576"/>
      <c r="N82" s="576"/>
      <c r="O82" s="576"/>
      <c r="P82" s="576"/>
      <c r="Q82" s="576"/>
      <c r="R82" s="576"/>
      <c r="S82" s="576"/>
      <c r="T82" s="576"/>
      <c r="U82" s="576"/>
      <c r="V82" s="576"/>
      <c r="W82" s="576"/>
      <c r="X82" s="577"/>
    </row>
    <row r="83" spans="1:24" ht="15" x14ac:dyDescent="0.2">
      <c r="A83" s="575"/>
      <c r="B83" s="571" t="s">
        <v>1200</v>
      </c>
      <c r="C83" s="578"/>
      <c r="D83" s="572"/>
      <c r="E83" s="572"/>
      <c r="F83" s="572"/>
      <c r="G83" s="576"/>
      <c r="H83" s="576"/>
      <c r="I83" s="576"/>
      <c r="J83" s="576"/>
      <c r="K83" s="576"/>
      <c r="L83" s="576"/>
      <c r="M83" s="576"/>
      <c r="N83" s="576"/>
      <c r="O83" s="576"/>
      <c r="P83" s="576"/>
      <c r="Q83" s="576"/>
      <c r="R83" s="576"/>
      <c r="S83" s="576"/>
      <c r="T83" s="576"/>
      <c r="U83" s="576"/>
      <c r="V83" s="576"/>
      <c r="W83" s="576"/>
      <c r="X83" s="577"/>
    </row>
    <row r="84" spans="1:24" ht="15" x14ac:dyDescent="0.2">
      <c r="A84" s="566"/>
      <c r="B84" s="570" t="s">
        <v>1201</v>
      </c>
      <c r="C84" s="583"/>
      <c r="D84" s="572"/>
      <c r="E84" s="572"/>
      <c r="F84" s="572"/>
      <c r="G84" s="576"/>
      <c r="H84" s="576"/>
      <c r="I84" s="576"/>
      <c r="J84" s="576"/>
      <c r="K84" s="576"/>
      <c r="L84" s="576"/>
      <c r="M84" s="576"/>
      <c r="N84" s="576"/>
      <c r="O84" s="576"/>
      <c r="P84" s="576"/>
      <c r="Q84" s="576"/>
      <c r="R84" s="576"/>
      <c r="S84" s="576"/>
      <c r="T84" s="576"/>
      <c r="U84" s="576"/>
      <c r="V84" s="576"/>
      <c r="W84" s="576"/>
      <c r="X84" s="577"/>
    </row>
    <row r="85" spans="1:24" ht="15" x14ac:dyDescent="0.2">
      <c r="A85" s="575"/>
      <c r="B85" s="571"/>
      <c r="C85" s="578"/>
      <c r="D85" s="572"/>
      <c r="E85" s="572"/>
      <c r="F85" s="572"/>
      <c r="G85" s="576"/>
      <c r="H85" s="576"/>
      <c r="I85" s="576"/>
      <c r="J85" s="576"/>
      <c r="K85" s="576"/>
      <c r="L85" s="576"/>
      <c r="M85" s="576"/>
      <c r="N85" s="576"/>
      <c r="O85" s="576"/>
      <c r="P85" s="576"/>
      <c r="Q85" s="576"/>
      <c r="R85" s="576"/>
      <c r="S85" s="576"/>
      <c r="T85" s="576"/>
      <c r="U85" s="576"/>
      <c r="V85" s="576"/>
      <c r="W85" s="576"/>
      <c r="X85" s="577"/>
    </row>
    <row r="86" spans="1:24" ht="15" x14ac:dyDescent="0.2">
      <c r="A86" s="575"/>
      <c r="B86" s="571" t="s">
        <v>1202</v>
      </c>
      <c r="C86" s="578"/>
      <c r="D86" s="572"/>
      <c r="E86" s="572"/>
      <c r="F86" s="572"/>
      <c r="G86" s="576"/>
      <c r="H86" s="576"/>
      <c r="I86" s="576"/>
      <c r="J86" s="576"/>
      <c r="K86" s="576"/>
      <c r="L86" s="576"/>
      <c r="M86" s="576"/>
      <c r="N86" s="576"/>
      <c r="O86" s="576"/>
      <c r="P86" s="576"/>
      <c r="Q86" s="576"/>
      <c r="R86" s="576"/>
      <c r="S86" s="576"/>
      <c r="T86" s="576"/>
      <c r="U86" s="576"/>
      <c r="V86" s="576"/>
      <c r="W86" s="576"/>
      <c r="X86" s="577"/>
    </row>
    <row r="87" spans="1:24" ht="15" x14ac:dyDescent="0.2">
      <c r="A87" s="575"/>
      <c r="B87" s="571"/>
      <c r="C87" s="578"/>
      <c r="D87" s="572"/>
      <c r="E87" s="572"/>
      <c r="F87" s="572"/>
      <c r="G87" s="576"/>
      <c r="H87" s="576"/>
      <c r="I87" s="576"/>
      <c r="J87" s="576"/>
      <c r="K87" s="576"/>
      <c r="L87" s="576"/>
      <c r="M87" s="576"/>
      <c r="N87" s="576"/>
      <c r="O87" s="576"/>
      <c r="P87" s="576"/>
      <c r="Q87" s="576"/>
      <c r="R87" s="576"/>
      <c r="S87" s="576"/>
      <c r="T87" s="576"/>
      <c r="U87" s="576"/>
      <c r="V87" s="576"/>
      <c r="W87" s="577"/>
    </row>
    <row r="88" spans="1:24" ht="15" x14ac:dyDescent="0.2">
      <c r="A88" s="575"/>
      <c r="B88" s="575"/>
      <c r="C88" s="588"/>
      <c r="D88" s="576"/>
      <c r="E88" s="576"/>
      <c r="F88" s="576"/>
      <c r="G88" s="576"/>
      <c r="H88" s="576"/>
      <c r="I88" s="576"/>
      <c r="J88" s="576"/>
      <c r="K88" s="576"/>
      <c r="L88" s="576"/>
      <c r="M88" s="576"/>
      <c r="N88" s="576"/>
      <c r="O88" s="576"/>
      <c r="P88" s="576"/>
      <c r="Q88" s="576"/>
      <c r="R88" s="576"/>
      <c r="S88" s="576"/>
      <c r="T88" s="576"/>
      <c r="U88" s="576"/>
      <c r="V88" s="576"/>
      <c r="W88" s="577"/>
    </row>
    <row r="89" spans="1:24" ht="15" x14ac:dyDescent="0.2">
      <c r="A89" s="575"/>
      <c r="B89" s="575"/>
      <c r="C89" s="576"/>
      <c r="D89" s="576"/>
      <c r="E89" s="576"/>
      <c r="F89" s="576"/>
      <c r="G89" s="576"/>
      <c r="H89" s="576"/>
      <c r="I89" s="576"/>
      <c r="J89" s="576"/>
      <c r="K89" s="576"/>
      <c r="L89" s="576"/>
      <c r="M89" s="576"/>
      <c r="N89" s="576"/>
      <c r="O89" s="576"/>
      <c r="P89" s="576"/>
      <c r="Q89" s="576"/>
      <c r="R89" s="576"/>
      <c r="S89" s="576"/>
      <c r="T89" s="576"/>
      <c r="U89" s="576"/>
      <c r="V89" s="576"/>
      <c r="W89" s="577"/>
    </row>
    <row r="90" spans="1:24" ht="15" x14ac:dyDescent="0.2">
      <c r="A90" s="575"/>
      <c r="B90" s="575"/>
      <c r="C90" s="576"/>
      <c r="D90" s="576"/>
      <c r="E90" s="576"/>
      <c r="F90" s="576"/>
      <c r="G90" s="576"/>
      <c r="H90" s="576"/>
      <c r="I90" s="576"/>
      <c r="J90" s="576"/>
      <c r="K90" s="576"/>
      <c r="L90" s="576"/>
      <c r="M90" s="576"/>
      <c r="N90" s="576"/>
      <c r="O90" s="576"/>
      <c r="P90" s="576"/>
      <c r="Q90" s="576"/>
      <c r="R90" s="576"/>
      <c r="S90" s="576"/>
      <c r="T90" s="576"/>
      <c r="U90" s="576"/>
      <c r="V90" s="576"/>
      <c r="W90" s="577"/>
    </row>
    <row r="91" spans="1:24" ht="15" x14ac:dyDescent="0.2">
      <c r="A91" s="575"/>
      <c r="B91" s="575"/>
      <c r="C91" s="576"/>
      <c r="D91" s="576"/>
      <c r="E91" s="576"/>
      <c r="F91" s="576"/>
      <c r="G91" s="576"/>
      <c r="H91" s="576"/>
      <c r="I91" s="576"/>
      <c r="J91" s="576"/>
      <c r="K91" s="576"/>
      <c r="L91" s="576"/>
      <c r="M91" s="576"/>
      <c r="N91" s="576"/>
      <c r="O91" s="576"/>
      <c r="P91" s="576"/>
      <c r="Q91" s="576"/>
      <c r="R91" s="576"/>
      <c r="S91" s="576"/>
      <c r="T91" s="576"/>
      <c r="U91" s="576"/>
      <c r="V91" s="576"/>
      <c r="W91" s="577"/>
    </row>
    <row r="92" spans="1:24" ht="15" x14ac:dyDescent="0.2">
      <c r="A92" s="575"/>
      <c r="B92" s="575"/>
      <c r="C92" s="576"/>
      <c r="D92" s="576"/>
      <c r="E92" s="576"/>
      <c r="F92" s="576"/>
      <c r="G92" s="576"/>
      <c r="H92" s="576"/>
      <c r="I92" s="576"/>
      <c r="J92" s="576"/>
      <c r="K92" s="576"/>
      <c r="L92" s="576"/>
      <c r="M92" s="576"/>
      <c r="N92" s="576"/>
      <c r="O92" s="576"/>
      <c r="P92" s="576"/>
      <c r="Q92" s="576"/>
      <c r="R92" s="576"/>
      <c r="S92" s="576"/>
      <c r="T92" s="576"/>
      <c r="U92" s="576"/>
      <c r="V92" s="576"/>
      <c r="W92" s="577"/>
    </row>
    <row r="93" spans="1:24" ht="15" x14ac:dyDescent="0.2">
      <c r="A93" s="575"/>
      <c r="B93" s="575"/>
      <c r="C93" s="576"/>
      <c r="D93" s="576"/>
      <c r="E93" s="576"/>
      <c r="F93" s="576"/>
      <c r="G93" s="576"/>
      <c r="H93" s="576"/>
      <c r="I93" s="576"/>
      <c r="J93" s="576"/>
      <c r="K93" s="576"/>
      <c r="L93" s="576"/>
      <c r="M93" s="576"/>
      <c r="N93" s="576"/>
      <c r="O93" s="576"/>
      <c r="P93" s="576"/>
      <c r="Q93" s="576"/>
      <c r="R93" s="576"/>
      <c r="S93" s="576"/>
      <c r="T93" s="576"/>
      <c r="U93" s="576"/>
      <c r="V93" s="576"/>
      <c r="W93" s="577"/>
    </row>
    <row r="94" spans="1:24" ht="15" x14ac:dyDescent="0.2">
      <c r="A94" s="575"/>
      <c r="B94" s="575"/>
      <c r="C94" s="576"/>
      <c r="D94" s="576"/>
      <c r="E94" s="576"/>
      <c r="F94" s="576"/>
      <c r="G94" s="576"/>
      <c r="H94" s="576"/>
      <c r="I94" s="576"/>
      <c r="J94" s="576"/>
      <c r="K94" s="576"/>
      <c r="L94" s="576"/>
      <c r="M94" s="576"/>
      <c r="N94" s="576"/>
      <c r="O94" s="576"/>
      <c r="P94" s="576"/>
      <c r="Q94" s="576"/>
      <c r="R94" s="576"/>
      <c r="S94" s="576"/>
      <c r="T94" s="576"/>
      <c r="U94" s="576"/>
      <c r="V94" s="576"/>
      <c r="W94" s="577"/>
    </row>
    <row r="95" spans="1:24" ht="15" x14ac:dyDescent="0.2">
      <c r="A95" s="575"/>
      <c r="B95" s="575"/>
      <c r="C95" s="576"/>
      <c r="D95" s="576"/>
      <c r="E95" s="576"/>
      <c r="F95" s="576"/>
      <c r="G95" s="576"/>
      <c r="H95" s="576"/>
      <c r="I95" s="576"/>
      <c r="J95" s="576"/>
      <c r="K95" s="576"/>
      <c r="L95" s="576"/>
      <c r="M95" s="576"/>
      <c r="N95" s="576"/>
      <c r="O95" s="576"/>
      <c r="P95" s="576"/>
      <c r="Q95" s="576"/>
      <c r="R95" s="576"/>
      <c r="S95" s="576"/>
      <c r="T95" s="576"/>
      <c r="U95" s="576"/>
      <c r="V95" s="576"/>
      <c r="W95" s="577"/>
    </row>
    <row r="96" spans="1:24" ht="15" x14ac:dyDescent="0.2">
      <c r="A96" s="575"/>
      <c r="B96" s="575"/>
      <c r="C96" s="576"/>
      <c r="D96" s="576"/>
      <c r="E96" s="576"/>
      <c r="F96" s="576"/>
      <c r="G96" s="576"/>
      <c r="H96" s="576"/>
      <c r="I96" s="576"/>
      <c r="J96" s="576"/>
      <c r="K96" s="576"/>
      <c r="L96" s="576"/>
      <c r="M96" s="576"/>
      <c r="N96" s="576"/>
      <c r="O96" s="576"/>
      <c r="P96" s="576"/>
      <c r="Q96" s="576"/>
      <c r="R96" s="576"/>
      <c r="S96" s="576"/>
      <c r="T96" s="576"/>
      <c r="U96" s="576"/>
      <c r="V96" s="576"/>
      <c r="W96" s="577"/>
    </row>
  </sheetData>
  <mergeCells count="3">
    <mergeCell ref="C1:K1"/>
    <mergeCell ref="L1:U1"/>
    <mergeCell ref="A49:A56"/>
  </mergeCells>
  <phoneticPr fontId="50" type="noConversion"/>
  <printOptions horizontalCentered="1" verticalCentered="1"/>
  <pageMargins left="0.19685039370078741" right="0.19685039370078741" top="0" bottom="0" header="0.31496062992125984" footer="0.31496062992125984"/>
  <pageSetup paperSize="9" scale="53" orientation="landscape" r:id="rId1"/>
  <headerFooter>
    <oddHeader>&amp;C2022. évi költségvetés &amp;R&amp;A</oddHeader>
    <oddFooter xml:space="preserve">&amp;C&amp;P/&amp;N
</oddFooter>
  </headerFooter>
  <rowBreaks count="1" manualBreakCount="1">
    <brk id="47" max="16383" man="1"/>
  </rowBreaks>
  <colBreaks count="1" manualBreakCount="1">
    <brk id="11" max="46"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V32"/>
  <sheetViews>
    <sheetView view="pageBreakPreview" zoomScale="80" zoomScaleNormal="80" zoomScaleSheetLayoutView="80" workbookViewId="0">
      <selection sqref="A1:P1"/>
    </sheetView>
  </sheetViews>
  <sheetFormatPr defaultRowHeight="12.75" x14ac:dyDescent="0.2"/>
  <cols>
    <col min="1" max="1" width="6" customWidth="1"/>
    <col min="2" max="2" width="40.140625" customWidth="1"/>
    <col min="3" max="3" width="6.140625" customWidth="1"/>
    <col min="4" max="4" width="14.140625" style="348" customWidth="1"/>
    <col min="5" max="5" width="14.85546875" style="348" customWidth="1"/>
    <col min="6" max="6" width="15.140625" style="348" customWidth="1"/>
    <col min="7" max="7" width="15.85546875" customWidth="1"/>
    <col min="8" max="8" width="15.140625" bestFit="1" customWidth="1"/>
    <col min="9" max="9" width="14.7109375" customWidth="1"/>
    <col min="10" max="10" width="14.42578125" customWidth="1"/>
    <col min="11" max="11" width="14.5703125" customWidth="1"/>
    <col min="12" max="13" width="15.140625" customWidth="1"/>
    <col min="14" max="14" width="14.5703125" customWidth="1"/>
    <col min="15" max="15" width="15.140625" bestFit="1" customWidth="1"/>
    <col min="16" max="16" width="16.42578125" bestFit="1" customWidth="1"/>
    <col min="17" max="17" width="13.28515625" style="10" customWidth="1"/>
    <col min="18" max="18" width="20.7109375" customWidth="1"/>
    <col min="19" max="19" width="12" bestFit="1" customWidth="1"/>
    <col min="20" max="20" width="13.5703125" bestFit="1" customWidth="1"/>
    <col min="22" max="22" width="17.28515625" style="590" bestFit="1" customWidth="1"/>
  </cols>
  <sheetData>
    <row r="1" spans="1:22" ht="15.75" x14ac:dyDescent="0.2">
      <c r="A1" s="2035" t="s">
        <v>1316</v>
      </c>
      <c r="B1" s="2035"/>
      <c r="C1" s="2035"/>
      <c r="D1" s="2035"/>
      <c r="E1" s="2035"/>
      <c r="F1" s="2035"/>
      <c r="G1" s="2035"/>
      <c r="H1" s="2035"/>
      <c r="I1" s="2035"/>
      <c r="J1" s="2035"/>
      <c r="K1" s="2035"/>
      <c r="L1" s="2035"/>
      <c r="M1" s="2035"/>
      <c r="N1" s="2035"/>
      <c r="O1" s="2035"/>
      <c r="P1" s="2035"/>
    </row>
    <row r="2" spans="1:22" ht="20.25" customHeight="1" x14ac:dyDescent="0.2">
      <c r="A2" s="591"/>
      <c r="B2" s="591"/>
      <c r="C2" s="589"/>
      <c r="D2" s="592"/>
      <c r="E2" s="592"/>
      <c r="F2" s="592"/>
      <c r="G2" s="591"/>
      <c r="H2" s="591"/>
      <c r="I2" s="591"/>
      <c r="J2" s="591"/>
      <c r="K2" s="591"/>
      <c r="L2" s="591"/>
      <c r="M2" s="591"/>
      <c r="N2" s="591"/>
      <c r="O2" s="591"/>
      <c r="P2" s="591"/>
    </row>
    <row r="3" spans="1:22" ht="30" customHeight="1" x14ac:dyDescent="0.2">
      <c r="A3" s="593" t="s">
        <v>37</v>
      </c>
      <c r="B3" s="570" t="s">
        <v>2</v>
      </c>
      <c r="C3" s="594" t="s">
        <v>1203</v>
      </c>
      <c r="D3" s="595" t="s">
        <v>94</v>
      </c>
      <c r="E3" s="595" t="s">
        <v>95</v>
      </c>
      <c r="F3" s="595" t="s">
        <v>98</v>
      </c>
      <c r="G3" s="596" t="s">
        <v>1204</v>
      </c>
      <c r="H3" s="596" t="s">
        <v>1205</v>
      </c>
      <c r="I3" s="596" t="s">
        <v>1206</v>
      </c>
      <c r="J3" s="596" t="s">
        <v>1207</v>
      </c>
      <c r="K3" s="596" t="s">
        <v>1208</v>
      </c>
      <c r="L3" s="596" t="s">
        <v>1209</v>
      </c>
      <c r="M3" s="596" t="s">
        <v>1210</v>
      </c>
      <c r="N3" s="596" t="s">
        <v>1211</v>
      </c>
      <c r="O3" s="596" t="s">
        <v>1212</v>
      </c>
      <c r="P3" s="569" t="s">
        <v>119</v>
      </c>
    </row>
    <row r="4" spans="1:22" ht="22.5" customHeight="1" x14ac:dyDescent="0.2">
      <c r="A4" s="597"/>
      <c r="B4" s="598" t="s">
        <v>971</v>
      </c>
      <c r="C4" s="594"/>
      <c r="D4" s="595"/>
      <c r="E4" s="595"/>
      <c r="F4" s="595"/>
      <c r="G4" s="596"/>
      <c r="H4" s="596"/>
      <c r="I4" s="596"/>
      <c r="J4" s="596"/>
      <c r="K4" s="596"/>
      <c r="L4" s="596"/>
      <c r="M4" s="596"/>
      <c r="N4" s="596"/>
      <c r="O4" s="596"/>
      <c r="P4" s="569"/>
    </row>
    <row r="5" spans="1:22" ht="22.5" customHeight="1" x14ac:dyDescent="0.2">
      <c r="A5" s="597" t="s">
        <v>188</v>
      </c>
      <c r="B5" s="598" t="s">
        <v>1213</v>
      </c>
      <c r="C5" s="594"/>
      <c r="D5" s="691">
        <v>2343155986</v>
      </c>
      <c r="E5" s="599">
        <f>+D29</f>
        <v>2233658255</v>
      </c>
      <c r="F5" s="599">
        <f t="shared" ref="F5:O5" si="0">+E29</f>
        <v>2099408525</v>
      </c>
      <c r="G5" s="600">
        <f t="shared" si="0"/>
        <v>3484658794</v>
      </c>
      <c r="H5" s="600">
        <f t="shared" si="0"/>
        <v>3131409063</v>
      </c>
      <c r="I5" s="600">
        <f t="shared" si="0"/>
        <v>3137159332</v>
      </c>
      <c r="J5" s="600">
        <f t="shared" si="0"/>
        <v>2819909601</v>
      </c>
      <c r="K5" s="600">
        <f t="shared" si="0"/>
        <v>2460659870</v>
      </c>
      <c r="L5" s="600">
        <f t="shared" si="0"/>
        <v>1996984945</v>
      </c>
      <c r="M5" s="600">
        <f t="shared" si="0"/>
        <v>3284035215</v>
      </c>
      <c r="N5" s="600">
        <f t="shared" si="0"/>
        <v>2960285485</v>
      </c>
      <c r="O5" s="600">
        <f t="shared" si="0"/>
        <v>2622535758</v>
      </c>
      <c r="P5" s="601" t="s">
        <v>616</v>
      </c>
    </row>
    <row r="6" spans="1:22" ht="27.75" customHeight="1" x14ac:dyDescent="0.2">
      <c r="A6" s="597" t="s">
        <v>189</v>
      </c>
      <c r="B6" s="602" t="s">
        <v>52</v>
      </c>
      <c r="C6" s="603" t="s">
        <v>209</v>
      </c>
      <c r="D6" s="604">
        <v>138058246</v>
      </c>
      <c r="E6" s="604">
        <v>138058246</v>
      </c>
      <c r="F6" s="604">
        <v>138058246</v>
      </c>
      <c r="G6" s="604">
        <v>138058246</v>
      </c>
      <c r="H6" s="604">
        <v>138058246</v>
      </c>
      <c r="I6" s="604">
        <v>138058246</v>
      </c>
      <c r="J6" s="604">
        <v>138058246</v>
      </c>
      <c r="K6" s="604">
        <v>138058246</v>
      </c>
      <c r="L6" s="604">
        <v>138058246</v>
      </c>
      <c r="M6" s="604">
        <v>138058246</v>
      </c>
      <c r="N6" s="604">
        <v>138058246</v>
      </c>
      <c r="O6" s="604">
        <f>138058246+1</f>
        <v>138058247</v>
      </c>
      <c r="P6" s="605">
        <f>SUM(D6:O6)</f>
        <v>1656698953</v>
      </c>
      <c r="Q6" s="606">
        <f>+'3. sz.Városi szintű összesen'!J30</f>
        <v>2139264624</v>
      </c>
      <c r="R6" s="574">
        <f t="shared" ref="R6:R27" si="1">+P6-Q6</f>
        <v>-482565671</v>
      </c>
      <c r="S6">
        <f>+R6/12</f>
        <v>-40213805.916666664</v>
      </c>
      <c r="V6" s="590">
        <f>+Q6/12</f>
        <v>178272052</v>
      </c>
    </row>
    <row r="7" spans="1:22" ht="31.5" customHeight="1" x14ac:dyDescent="0.2">
      <c r="A7" s="597" t="s">
        <v>190</v>
      </c>
      <c r="B7" s="602" t="s">
        <v>220</v>
      </c>
      <c r="C7" s="603" t="s">
        <v>210</v>
      </c>
      <c r="D7" s="604"/>
      <c r="E7" s="604"/>
      <c r="F7" s="604"/>
      <c r="G7" s="604"/>
      <c r="H7" s="604"/>
      <c r="I7" s="604"/>
      <c r="J7" s="604"/>
      <c r="K7" s="604"/>
      <c r="L7" s="604"/>
      <c r="M7" s="604"/>
      <c r="N7" s="604"/>
      <c r="O7" s="604"/>
      <c r="P7" s="605">
        <f t="shared" ref="P7:P14" si="2">SUM(D7:O7)</f>
        <v>0</v>
      </c>
      <c r="Q7" s="606">
        <f>+'3. sz.Városi szintű összesen'!J31</f>
        <v>0</v>
      </c>
      <c r="R7" s="574">
        <f t="shared" si="1"/>
        <v>0</v>
      </c>
      <c r="S7">
        <f t="shared" ref="S7:S29" si="3">+R7/12</f>
        <v>0</v>
      </c>
    </row>
    <row r="8" spans="1:22" ht="21" customHeight="1" x14ac:dyDescent="0.2">
      <c r="A8" s="597" t="s">
        <v>191</v>
      </c>
      <c r="B8" s="602" t="s">
        <v>219</v>
      </c>
      <c r="C8" s="603" t="s">
        <v>211</v>
      </c>
      <c r="D8" s="604">
        <v>10000000</v>
      </c>
      <c r="E8" s="604">
        <v>20000000</v>
      </c>
      <c r="F8" s="604">
        <v>1700000000</v>
      </c>
      <c r="G8" s="604">
        <v>30000000</v>
      </c>
      <c r="H8" s="604">
        <v>300000000</v>
      </c>
      <c r="I8" s="604">
        <v>10000000</v>
      </c>
      <c r="J8" s="604">
        <v>10000000</v>
      </c>
      <c r="K8" s="604">
        <v>10000000</v>
      </c>
      <c r="L8" s="604">
        <v>1700000000</v>
      </c>
      <c r="M8" s="604">
        <v>10000000</v>
      </c>
      <c r="N8" s="604">
        <v>5000000</v>
      </c>
      <c r="O8" s="604">
        <v>18624585</v>
      </c>
      <c r="P8" s="605">
        <f t="shared" si="2"/>
        <v>3823624585</v>
      </c>
      <c r="Q8" s="606">
        <f>+'3. sz.Városi szintű összesen'!J32</f>
        <v>4799627756</v>
      </c>
      <c r="R8" s="574">
        <f t="shared" si="1"/>
        <v>-976003171</v>
      </c>
      <c r="S8">
        <f t="shared" si="3"/>
        <v>-81333597.583333328</v>
      </c>
    </row>
    <row r="9" spans="1:22" ht="21" customHeight="1" x14ac:dyDescent="0.2">
      <c r="A9" s="597" t="s">
        <v>192</v>
      </c>
      <c r="B9" s="602" t="s">
        <v>972</v>
      </c>
      <c r="C9" s="603" t="s">
        <v>212</v>
      </c>
      <c r="D9" s="604">
        <v>26436143</v>
      </c>
      <c r="E9" s="604">
        <v>26436143</v>
      </c>
      <c r="F9" s="604">
        <v>26436143</v>
      </c>
      <c r="G9" s="604">
        <v>26436143</v>
      </c>
      <c r="H9" s="604">
        <v>26436143</v>
      </c>
      <c r="I9" s="604">
        <v>26436143</v>
      </c>
      <c r="J9" s="604">
        <v>26436143</v>
      </c>
      <c r="K9" s="604">
        <v>26436143</v>
      </c>
      <c r="L9" s="604">
        <v>26436143</v>
      </c>
      <c r="M9" s="604">
        <v>26436143</v>
      </c>
      <c r="N9" s="604">
        <f>26436143+3</f>
        <v>26436146</v>
      </c>
      <c r="O9" s="604">
        <v>130000000</v>
      </c>
      <c r="P9" s="605">
        <f t="shared" si="2"/>
        <v>420797576</v>
      </c>
      <c r="Q9" s="606">
        <f>+'3. sz.Városi szintű összesen'!J33</f>
        <v>831698250</v>
      </c>
      <c r="R9" s="574">
        <f t="shared" si="1"/>
        <v>-410900674</v>
      </c>
      <c r="S9">
        <f t="shared" si="3"/>
        <v>-34241722.833333336</v>
      </c>
    </row>
    <row r="10" spans="1:22" ht="21" customHeight="1" x14ac:dyDescent="0.2">
      <c r="A10" s="597" t="s">
        <v>193</v>
      </c>
      <c r="B10" s="602" t="s">
        <v>242</v>
      </c>
      <c r="C10" s="603" t="s">
        <v>213</v>
      </c>
      <c r="D10" s="604">
        <v>32752000</v>
      </c>
      <c r="E10" s="604"/>
      <c r="F10" s="604">
        <v>0</v>
      </c>
      <c r="G10" s="604"/>
      <c r="H10" s="604"/>
      <c r="I10" s="604"/>
      <c r="J10" s="604"/>
      <c r="K10" s="604"/>
      <c r="L10" s="604"/>
      <c r="M10" s="604">
        <v>30000000</v>
      </c>
      <c r="N10" s="604"/>
      <c r="O10" s="604"/>
      <c r="P10" s="605">
        <f t="shared" si="2"/>
        <v>62752000</v>
      </c>
      <c r="Q10" s="606">
        <f>+'3. sz.Városi szintű összesen'!J34</f>
        <v>51854877</v>
      </c>
      <c r="R10" s="574">
        <f t="shared" si="1"/>
        <v>10897123</v>
      </c>
      <c r="S10">
        <f t="shared" si="3"/>
        <v>908093.58333333337</v>
      </c>
    </row>
    <row r="11" spans="1:22" ht="21" customHeight="1" x14ac:dyDescent="0.2">
      <c r="A11" s="597" t="s">
        <v>194</v>
      </c>
      <c r="B11" s="602" t="s">
        <v>237</v>
      </c>
      <c r="C11" s="603" t="s">
        <v>214</v>
      </c>
      <c r="D11" s="604"/>
      <c r="E11" s="604"/>
      <c r="F11" s="604"/>
      <c r="G11" s="604"/>
      <c r="H11" s="604"/>
      <c r="I11" s="604"/>
      <c r="J11" s="604"/>
      <c r="K11" s="604"/>
      <c r="L11" s="604"/>
      <c r="M11" s="604"/>
      <c r="N11" s="604"/>
      <c r="O11" s="604"/>
      <c r="P11" s="605">
        <f t="shared" si="2"/>
        <v>0</v>
      </c>
      <c r="Q11" s="606">
        <f>+'3. sz.Városi szintű összesen'!J35</f>
        <v>0</v>
      </c>
      <c r="R11" s="574">
        <f t="shared" si="1"/>
        <v>0</v>
      </c>
      <c r="S11">
        <f t="shared" si="3"/>
        <v>0</v>
      </c>
    </row>
    <row r="12" spans="1:22" ht="21" customHeight="1" x14ac:dyDescent="0.2">
      <c r="A12" s="597" t="s">
        <v>195</v>
      </c>
      <c r="B12" s="602" t="s">
        <v>238</v>
      </c>
      <c r="C12" s="603" t="s">
        <v>215</v>
      </c>
      <c r="D12" s="604">
        <v>414533</v>
      </c>
      <c r="E12" s="604">
        <v>414534</v>
      </c>
      <c r="F12" s="604">
        <v>414533</v>
      </c>
      <c r="G12" s="604">
        <v>414533</v>
      </c>
      <c r="H12" s="604">
        <v>414533</v>
      </c>
      <c r="I12" s="604">
        <v>414533</v>
      </c>
      <c r="J12" s="604">
        <v>414533</v>
      </c>
      <c r="K12" s="604">
        <v>414534</v>
      </c>
      <c r="L12" s="604">
        <v>414534</v>
      </c>
      <c r="M12" s="604">
        <v>414534</v>
      </c>
      <c r="N12" s="604">
        <v>414534</v>
      </c>
      <c r="O12" s="604">
        <f>414534-2</f>
        <v>414532</v>
      </c>
      <c r="P12" s="605">
        <f t="shared" si="2"/>
        <v>4974400</v>
      </c>
      <c r="Q12" s="606">
        <f>+'3. sz.Városi szintű összesen'!J36</f>
        <v>8395200</v>
      </c>
      <c r="R12" s="574">
        <f t="shared" si="1"/>
        <v>-3420800</v>
      </c>
      <c r="S12">
        <f t="shared" si="3"/>
        <v>-285066.66666666669</v>
      </c>
    </row>
    <row r="13" spans="1:22" ht="21" customHeight="1" x14ac:dyDescent="0.2">
      <c r="A13" s="597" t="s">
        <v>196</v>
      </c>
      <c r="B13" s="607" t="s">
        <v>239</v>
      </c>
      <c r="C13" s="608" t="s">
        <v>216</v>
      </c>
      <c r="D13" s="609">
        <f>SUM(D6:D12)</f>
        <v>207660922</v>
      </c>
      <c r="E13" s="609">
        <f t="shared" ref="E13:P13" si="4">SUM(E6:E12)</f>
        <v>184908923</v>
      </c>
      <c r="F13" s="609">
        <f t="shared" si="4"/>
        <v>1864908922</v>
      </c>
      <c r="G13" s="609">
        <f t="shared" si="4"/>
        <v>194908922</v>
      </c>
      <c r="H13" s="609">
        <f t="shared" si="4"/>
        <v>464908922</v>
      </c>
      <c r="I13" s="609">
        <f t="shared" si="4"/>
        <v>174908922</v>
      </c>
      <c r="J13" s="609">
        <f t="shared" si="4"/>
        <v>174908922</v>
      </c>
      <c r="K13" s="609">
        <f t="shared" si="4"/>
        <v>174908923</v>
      </c>
      <c r="L13" s="609">
        <f t="shared" si="4"/>
        <v>1864908923</v>
      </c>
      <c r="M13" s="609">
        <f t="shared" si="4"/>
        <v>204908923</v>
      </c>
      <c r="N13" s="609">
        <f t="shared" si="4"/>
        <v>169908926</v>
      </c>
      <c r="O13" s="609">
        <f t="shared" si="4"/>
        <v>287097364</v>
      </c>
      <c r="P13" s="609">
        <f t="shared" si="4"/>
        <v>5968847514</v>
      </c>
      <c r="Q13" s="606">
        <f>SUM(Q6:Q12)</f>
        <v>7830840707</v>
      </c>
      <c r="R13" s="574">
        <f t="shared" si="1"/>
        <v>-1861993193</v>
      </c>
      <c r="S13">
        <f t="shared" si="3"/>
        <v>-155166099.41666666</v>
      </c>
      <c r="T13" s="574"/>
      <c r="U13" s="574"/>
    </row>
    <row r="14" spans="1:22" ht="21" customHeight="1" x14ac:dyDescent="0.2">
      <c r="A14" s="692" t="s">
        <v>197</v>
      </c>
      <c r="B14" s="693" t="s">
        <v>1214</v>
      </c>
      <c r="C14" s="694" t="s">
        <v>218</v>
      </c>
      <c r="D14" s="695">
        <v>442965787</v>
      </c>
      <c r="E14" s="695">
        <v>442965787</v>
      </c>
      <c r="F14" s="695">
        <v>442965787</v>
      </c>
      <c r="G14" s="695">
        <v>442965787</v>
      </c>
      <c r="H14" s="695">
        <v>442965787</v>
      </c>
      <c r="I14" s="695">
        <v>442965787</v>
      </c>
      <c r="J14" s="695">
        <v>442965787</v>
      </c>
      <c r="K14" s="695">
        <v>442965787</v>
      </c>
      <c r="L14" s="695">
        <v>442965787</v>
      </c>
      <c r="M14" s="695">
        <v>442965787</v>
      </c>
      <c r="N14" s="695">
        <v>442965787</v>
      </c>
      <c r="O14" s="695">
        <f>442965787+3-3771317</f>
        <v>439194473</v>
      </c>
      <c r="P14" s="695">
        <f t="shared" si="2"/>
        <v>5311818130</v>
      </c>
      <c r="Q14" s="606">
        <f>+'3. sz.Városi szintű összesen'!J38</f>
        <v>7880723998</v>
      </c>
      <c r="R14" s="574">
        <f>+P14-Q14</f>
        <v>-2568905868</v>
      </c>
      <c r="S14">
        <f t="shared" si="3"/>
        <v>-214075489</v>
      </c>
      <c r="V14" s="696"/>
    </row>
    <row r="15" spans="1:22" ht="33" customHeight="1" x14ac:dyDescent="0.2">
      <c r="A15" s="597" t="s">
        <v>198</v>
      </c>
      <c r="B15" s="612" t="s">
        <v>1215</v>
      </c>
      <c r="C15" s="613"/>
      <c r="D15" s="609">
        <f>+D13+D14</f>
        <v>650626709</v>
      </c>
      <c r="E15" s="609">
        <f t="shared" ref="E15:P15" si="5">+E13+E14</f>
        <v>627874710</v>
      </c>
      <c r="F15" s="609">
        <f t="shared" si="5"/>
        <v>2307874709</v>
      </c>
      <c r="G15" s="609">
        <f t="shared" si="5"/>
        <v>637874709</v>
      </c>
      <c r="H15" s="609">
        <f t="shared" si="5"/>
        <v>907874709</v>
      </c>
      <c r="I15" s="609">
        <f t="shared" si="5"/>
        <v>617874709</v>
      </c>
      <c r="J15" s="609">
        <f t="shared" si="5"/>
        <v>617874709</v>
      </c>
      <c r="K15" s="609">
        <f t="shared" si="5"/>
        <v>617874710</v>
      </c>
      <c r="L15" s="609">
        <f t="shared" si="5"/>
        <v>2307874710</v>
      </c>
      <c r="M15" s="609">
        <f t="shared" si="5"/>
        <v>647874710</v>
      </c>
      <c r="N15" s="609">
        <f t="shared" si="5"/>
        <v>612874713</v>
      </c>
      <c r="O15" s="609">
        <f t="shared" si="5"/>
        <v>726291837</v>
      </c>
      <c r="P15" s="609">
        <f t="shared" si="5"/>
        <v>11280665644</v>
      </c>
      <c r="Q15" s="606">
        <f>Q13+Q14</f>
        <v>15711564705</v>
      </c>
      <c r="R15" s="574">
        <f t="shared" si="1"/>
        <v>-4430899061</v>
      </c>
      <c r="S15">
        <f t="shared" si="3"/>
        <v>-369241588.41666669</v>
      </c>
      <c r="T15" s="574"/>
      <c r="U15" s="574"/>
    </row>
    <row r="16" spans="1:22" ht="22.5" customHeight="1" x14ac:dyDescent="0.2">
      <c r="A16" s="597"/>
      <c r="B16" s="598" t="s">
        <v>252</v>
      </c>
      <c r="C16" s="594"/>
      <c r="D16" s="599"/>
      <c r="E16" s="599"/>
      <c r="F16" s="599"/>
      <c r="G16" s="600"/>
      <c r="H16" s="600"/>
      <c r="I16" s="600"/>
      <c r="J16" s="600"/>
      <c r="K16" s="600"/>
      <c r="L16" s="600"/>
      <c r="M16" s="599"/>
      <c r="N16" s="599"/>
      <c r="O16" s="599"/>
      <c r="P16" s="601"/>
      <c r="Q16" s="606"/>
      <c r="R16" s="574">
        <f t="shared" si="1"/>
        <v>0</v>
      </c>
      <c r="S16">
        <f t="shared" si="3"/>
        <v>0</v>
      </c>
    </row>
    <row r="17" spans="1:22" ht="20.25" customHeight="1" x14ac:dyDescent="0.2">
      <c r="A17" s="597" t="s">
        <v>225</v>
      </c>
      <c r="B17" s="614" t="s">
        <v>1216</v>
      </c>
      <c r="C17" s="603" t="s">
        <v>199</v>
      </c>
      <c r="D17" s="604">
        <v>179724831</v>
      </c>
      <c r="E17" s="604">
        <v>179724831</v>
      </c>
      <c r="F17" s="604">
        <v>179724831</v>
      </c>
      <c r="G17" s="604">
        <v>179724831</v>
      </c>
      <c r="H17" s="604">
        <v>179724831</v>
      </c>
      <c r="I17" s="604">
        <v>179724831</v>
      </c>
      <c r="J17" s="604">
        <v>179724831</v>
      </c>
      <c r="K17" s="604">
        <v>179724831</v>
      </c>
      <c r="L17" s="604">
        <v>179724831</v>
      </c>
      <c r="M17" s="604">
        <v>179724831</v>
      </c>
      <c r="N17" s="604">
        <v>179724831</v>
      </c>
      <c r="O17" s="604">
        <f>179724831-3</f>
        <v>179724828</v>
      </c>
      <c r="P17" s="605">
        <f>SUM(D17:O17)</f>
        <v>2156697969</v>
      </c>
      <c r="Q17" s="606">
        <f>+'3. sz.Városi szintű összesen'!J8</f>
        <v>2885384444</v>
      </c>
      <c r="R17" s="574">
        <f t="shared" si="1"/>
        <v>-728686475</v>
      </c>
      <c r="S17">
        <f t="shared" si="3"/>
        <v>-60723872.916666664</v>
      </c>
    </row>
    <row r="18" spans="1:22" ht="29.25" customHeight="1" x14ac:dyDescent="0.2">
      <c r="A18" s="597" t="s">
        <v>226</v>
      </c>
      <c r="B18" s="602" t="s">
        <v>200</v>
      </c>
      <c r="C18" s="603" t="s">
        <v>201</v>
      </c>
      <c r="D18" s="604">
        <v>31201672</v>
      </c>
      <c r="E18" s="604">
        <v>31201672</v>
      </c>
      <c r="F18" s="604">
        <v>31201672</v>
      </c>
      <c r="G18" s="604">
        <v>31201672</v>
      </c>
      <c r="H18" s="604">
        <v>31201672</v>
      </c>
      <c r="I18" s="604">
        <v>31201672</v>
      </c>
      <c r="J18" s="604">
        <v>31201672</v>
      </c>
      <c r="K18" s="604">
        <v>31201672</v>
      </c>
      <c r="L18" s="604">
        <v>31201672</v>
      </c>
      <c r="M18" s="604">
        <v>31201672</v>
      </c>
      <c r="N18" s="604">
        <v>31201672</v>
      </c>
      <c r="O18" s="604">
        <f>31201672-1</f>
        <v>31201671</v>
      </c>
      <c r="P18" s="605">
        <f t="shared" ref="P18:P24" si="6">SUM(D18:O18)</f>
        <v>374420063</v>
      </c>
      <c r="Q18" s="606">
        <f>+'3. sz.Városi szintű összesen'!J9</f>
        <v>424087076</v>
      </c>
      <c r="R18" s="574">
        <f t="shared" si="1"/>
        <v>-49667013</v>
      </c>
      <c r="S18">
        <f t="shared" si="3"/>
        <v>-4138917.75</v>
      </c>
    </row>
    <row r="19" spans="1:22" ht="21.75" customHeight="1" x14ac:dyDescent="0.2">
      <c r="A19" s="597" t="s">
        <v>227</v>
      </c>
      <c r="B19" s="602" t="s">
        <v>330</v>
      </c>
      <c r="C19" s="603" t="s">
        <v>202</v>
      </c>
      <c r="D19" s="604">
        <v>190738087</v>
      </c>
      <c r="E19" s="604">
        <v>190738087</v>
      </c>
      <c r="F19" s="604">
        <v>190738087</v>
      </c>
      <c r="G19" s="604">
        <v>190738087</v>
      </c>
      <c r="H19" s="604">
        <v>190738087</v>
      </c>
      <c r="I19" s="604">
        <v>190738087</v>
      </c>
      <c r="J19" s="604">
        <v>190738087</v>
      </c>
      <c r="K19" s="604">
        <v>190738087</v>
      </c>
      <c r="L19" s="604">
        <v>190738087</v>
      </c>
      <c r="M19" s="604">
        <v>190738087</v>
      </c>
      <c r="N19" s="604">
        <v>190738087</v>
      </c>
      <c r="O19" s="604">
        <f>190738087+6</f>
        <v>190738093</v>
      </c>
      <c r="P19" s="605">
        <f t="shared" si="6"/>
        <v>2288857050</v>
      </c>
      <c r="Q19" s="606">
        <f>+'3. sz.Városi szintű összesen'!J10</f>
        <v>3493049767</v>
      </c>
      <c r="R19" s="574">
        <f t="shared" si="1"/>
        <v>-1204192717</v>
      </c>
      <c r="S19">
        <f t="shared" si="3"/>
        <v>-100349393.08333333</v>
      </c>
    </row>
    <row r="20" spans="1:22" ht="21.75" customHeight="1" x14ac:dyDescent="0.2">
      <c r="A20" s="597" t="s">
        <v>228</v>
      </c>
      <c r="B20" s="615" t="s">
        <v>1217</v>
      </c>
      <c r="C20" s="603" t="s">
        <v>203</v>
      </c>
      <c r="D20" s="604">
        <v>3416666</v>
      </c>
      <c r="E20" s="604">
        <v>3416666</v>
      </c>
      <c r="F20" s="604">
        <v>3416666</v>
      </c>
      <c r="G20" s="604">
        <v>3416666</v>
      </c>
      <c r="H20" s="604">
        <v>3416666</v>
      </c>
      <c r="I20" s="604">
        <v>3416666</v>
      </c>
      <c r="J20" s="604">
        <v>3416666</v>
      </c>
      <c r="K20" s="604">
        <v>3416666</v>
      </c>
      <c r="L20" s="604">
        <v>3416666</v>
      </c>
      <c r="M20" s="604">
        <v>3416666</v>
      </c>
      <c r="N20" s="604">
        <v>3416666</v>
      </c>
      <c r="O20" s="604">
        <f>3416666+8</f>
        <v>3416674</v>
      </c>
      <c r="P20" s="605">
        <f t="shared" si="6"/>
        <v>41000000</v>
      </c>
      <c r="Q20" s="606">
        <f>+'3. sz.Városi szintű összesen'!J11</f>
        <v>46000000</v>
      </c>
      <c r="R20" s="574">
        <f t="shared" si="1"/>
        <v>-5000000</v>
      </c>
      <c r="S20">
        <f t="shared" si="3"/>
        <v>-416666.66666666669</v>
      </c>
    </row>
    <row r="21" spans="1:22" ht="21.75" customHeight="1" x14ac:dyDescent="0.2">
      <c r="A21" s="597" t="s">
        <v>229</v>
      </c>
      <c r="B21" s="615" t="s">
        <v>234</v>
      </c>
      <c r="C21" s="603" t="s">
        <v>204</v>
      </c>
      <c r="D21" s="604">
        <v>90000000</v>
      </c>
      <c r="E21" s="604">
        <v>90000000</v>
      </c>
      <c r="F21" s="604">
        <v>200000000</v>
      </c>
      <c r="G21" s="604">
        <v>200000000</v>
      </c>
      <c r="H21" s="604">
        <v>200000000</v>
      </c>
      <c r="I21" s="604">
        <v>160000000</v>
      </c>
      <c r="J21" s="604">
        <v>200000000</v>
      </c>
      <c r="K21" s="604">
        <v>200000000</v>
      </c>
      <c r="L21" s="604">
        <v>200000000</v>
      </c>
      <c r="M21" s="604">
        <v>200000000</v>
      </c>
      <c r="N21" s="604">
        <v>200000000</v>
      </c>
      <c r="O21" s="604">
        <f>188598779+28500000</f>
        <v>217098779</v>
      </c>
      <c r="P21" s="605">
        <f t="shared" si="6"/>
        <v>2157098779</v>
      </c>
      <c r="Q21" s="606">
        <f>+'3. sz.Városi szintű összesen'!J12</f>
        <v>2638846498</v>
      </c>
      <c r="R21" s="574">
        <f t="shared" si="1"/>
        <v>-481747719</v>
      </c>
      <c r="S21">
        <f t="shared" si="3"/>
        <v>-40145643.25</v>
      </c>
    </row>
    <row r="22" spans="1:22" ht="21.75" customHeight="1" x14ac:dyDescent="0.2">
      <c r="A22" s="597" t="s">
        <v>230</v>
      </c>
      <c r="B22" s="602" t="s">
        <v>241</v>
      </c>
      <c r="C22" s="603" t="s">
        <v>205</v>
      </c>
      <c r="D22" s="604">
        <v>500000</v>
      </c>
      <c r="E22" s="604">
        <v>1000000</v>
      </c>
      <c r="F22" s="604">
        <v>50000000</v>
      </c>
      <c r="G22" s="604">
        <v>100000000</v>
      </c>
      <c r="H22" s="604">
        <v>10000000</v>
      </c>
      <c r="I22" s="604">
        <v>100000000</v>
      </c>
      <c r="J22" s="604">
        <v>100000000</v>
      </c>
      <c r="K22" s="604">
        <v>200000000</v>
      </c>
      <c r="L22" s="616">
        <v>150000000</v>
      </c>
      <c r="M22" s="604">
        <v>100000000</v>
      </c>
      <c r="N22" s="604">
        <v>80000000</v>
      </c>
      <c r="O22" s="604">
        <v>21599698</v>
      </c>
      <c r="P22" s="605">
        <f t="shared" si="6"/>
        <v>913099698</v>
      </c>
      <c r="Q22" s="606">
        <f>+'3. sz.Városi szintű összesen'!J16</f>
        <v>1479496135</v>
      </c>
      <c r="R22" s="574">
        <f t="shared" si="1"/>
        <v>-566396437</v>
      </c>
      <c r="S22">
        <f t="shared" si="3"/>
        <v>-47199703.083333336</v>
      </c>
    </row>
    <row r="23" spans="1:22" ht="21.75" customHeight="1" x14ac:dyDescent="0.2">
      <c r="A23" s="597" t="s">
        <v>231</v>
      </c>
      <c r="B23" s="615" t="s">
        <v>1218</v>
      </c>
      <c r="C23" s="603" t="s">
        <v>206</v>
      </c>
      <c r="D23" s="604">
        <v>500000</v>
      </c>
      <c r="E23" s="604">
        <v>2000000</v>
      </c>
      <c r="F23" s="604">
        <v>2500000</v>
      </c>
      <c r="G23" s="604">
        <v>20000000</v>
      </c>
      <c r="H23" s="604">
        <v>20000000</v>
      </c>
      <c r="I23" s="604">
        <v>3000000</v>
      </c>
      <c r="J23" s="604">
        <v>5000000</v>
      </c>
      <c r="K23" s="604">
        <v>9425195</v>
      </c>
      <c r="L23" s="604"/>
      <c r="M23" s="604"/>
      <c r="N23" s="604"/>
      <c r="O23" s="604">
        <v>130000000</v>
      </c>
      <c r="P23" s="605">
        <f t="shared" si="6"/>
        <v>192425195</v>
      </c>
      <c r="Q23" s="606">
        <f>+'3. sz.Városi szintű összesen'!J17</f>
        <v>266068695</v>
      </c>
      <c r="R23" s="574">
        <f t="shared" si="1"/>
        <v>-73643500</v>
      </c>
      <c r="S23">
        <f t="shared" si="3"/>
        <v>-6136958.333333333</v>
      </c>
    </row>
    <row r="24" spans="1:22" ht="21.75" customHeight="1" x14ac:dyDescent="0.2">
      <c r="A24" s="597" t="s">
        <v>232</v>
      </c>
      <c r="B24" s="615" t="s">
        <v>235</v>
      </c>
      <c r="C24" s="603" t="s">
        <v>207</v>
      </c>
      <c r="D24" s="604">
        <v>0</v>
      </c>
      <c r="E24" s="604">
        <v>0</v>
      </c>
      <c r="F24" s="604">
        <v>1000000</v>
      </c>
      <c r="G24" s="604">
        <v>2000000</v>
      </c>
      <c r="H24" s="604">
        <v>3000000</v>
      </c>
      <c r="I24" s="604">
        <v>3000000</v>
      </c>
      <c r="J24" s="604">
        <v>3000000</v>
      </c>
      <c r="K24" s="604">
        <v>3000000</v>
      </c>
      <c r="L24" s="604">
        <v>1700000</v>
      </c>
      <c r="M24" s="604">
        <v>2500000</v>
      </c>
      <c r="N24" s="604">
        <v>1500000</v>
      </c>
      <c r="O24" s="604">
        <v>1620000</v>
      </c>
      <c r="P24" s="605">
        <f t="shared" si="6"/>
        <v>22320000</v>
      </c>
      <c r="Q24" s="606">
        <f>+'3. sz.Városi szintű összesen'!J18</f>
        <v>28820000</v>
      </c>
      <c r="R24" s="574">
        <f t="shared" si="1"/>
        <v>-6500000</v>
      </c>
      <c r="S24">
        <f t="shared" si="3"/>
        <v>-541666.66666666663</v>
      </c>
    </row>
    <row r="25" spans="1:22" ht="21.75" customHeight="1" x14ac:dyDescent="0.2">
      <c r="A25" s="597" t="s">
        <v>233</v>
      </c>
      <c r="B25" s="607" t="s">
        <v>1219</v>
      </c>
      <c r="C25" s="608" t="s">
        <v>208</v>
      </c>
      <c r="D25" s="609">
        <f>SUM(D17:D24)</f>
        <v>496081256</v>
      </c>
      <c r="E25" s="609">
        <f t="shared" ref="E25:P25" si="7">SUM(E17:E24)</f>
        <v>498081256</v>
      </c>
      <c r="F25" s="609">
        <f t="shared" si="7"/>
        <v>658581256</v>
      </c>
      <c r="G25" s="609">
        <f t="shared" si="7"/>
        <v>727081256</v>
      </c>
      <c r="H25" s="609">
        <f t="shared" si="7"/>
        <v>638081256</v>
      </c>
      <c r="I25" s="609">
        <f t="shared" si="7"/>
        <v>671081256</v>
      </c>
      <c r="J25" s="609">
        <f t="shared" si="7"/>
        <v>713081256</v>
      </c>
      <c r="K25" s="609">
        <f t="shared" si="7"/>
        <v>817506451</v>
      </c>
      <c r="L25" s="609">
        <f t="shared" si="7"/>
        <v>756781256</v>
      </c>
      <c r="M25" s="609">
        <f t="shared" si="7"/>
        <v>707581256</v>
      </c>
      <c r="N25" s="609">
        <f t="shared" si="7"/>
        <v>686581256</v>
      </c>
      <c r="O25" s="609">
        <f t="shared" si="7"/>
        <v>775399743</v>
      </c>
      <c r="P25" s="609">
        <f t="shared" si="7"/>
        <v>8145918754</v>
      </c>
      <c r="Q25" s="606">
        <f>SUM(Q17:Q24)</f>
        <v>11261752615</v>
      </c>
      <c r="R25" s="574">
        <f t="shared" si="1"/>
        <v>-3115833861</v>
      </c>
      <c r="S25">
        <f t="shared" si="3"/>
        <v>-259652821.75</v>
      </c>
      <c r="T25" s="574"/>
      <c r="U25" s="574"/>
    </row>
    <row r="26" spans="1:22" ht="21.75" customHeight="1" x14ac:dyDescent="0.2">
      <c r="A26" s="597" t="s">
        <v>260</v>
      </c>
      <c r="B26" s="610" t="s">
        <v>1220</v>
      </c>
      <c r="C26" s="611" t="s">
        <v>217</v>
      </c>
      <c r="D26" s="604">
        <v>264043184</v>
      </c>
      <c r="E26" s="604">
        <v>264043184</v>
      </c>
      <c r="F26" s="604">
        <v>264043184</v>
      </c>
      <c r="G26" s="604">
        <v>264043184</v>
      </c>
      <c r="H26" s="604">
        <v>264043184</v>
      </c>
      <c r="I26" s="604">
        <v>264043184</v>
      </c>
      <c r="J26" s="604">
        <v>264043184</v>
      </c>
      <c r="K26" s="604">
        <v>264043184</v>
      </c>
      <c r="L26" s="604">
        <v>264043184</v>
      </c>
      <c r="M26" s="604">
        <v>264043184</v>
      </c>
      <c r="N26" s="604">
        <v>264043184</v>
      </c>
      <c r="O26" s="604">
        <f>264043184-1-33771317</f>
        <v>230271866</v>
      </c>
      <c r="P26" s="609">
        <f>SUM(D26:O26)</f>
        <v>3134746890</v>
      </c>
      <c r="Q26" s="606">
        <f>+'3. sz.Városi szintű összesen'!J21</f>
        <v>4449812090</v>
      </c>
      <c r="R26" s="574">
        <f t="shared" si="1"/>
        <v>-1315065200</v>
      </c>
      <c r="S26">
        <f t="shared" si="3"/>
        <v>-109588766.66666667</v>
      </c>
    </row>
    <row r="27" spans="1:22" ht="35.25" customHeight="1" x14ac:dyDescent="0.2">
      <c r="A27" s="597" t="s">
        <v>261</v>
      </c>
      <c r="B27" s="612" t="s">
        <v>1221</v>
      </c>
      <c r="C27" s="613"/>
      <c r="D27" s="609">
        <f>+D25+D26</f>
        <v>760124440</v>
      </c>
      <c r="E27" s="609">
        <f t="shared" ref="E27:O27" si="8">+E25+E26</f>
        <v>762124440</v>
      </c>
      <c r="F27" s="609">
        <f t="shared" si="8"/>
        <v>922624440</v>
      </c>
      <c r="G27" s="609">
        <f t="shared" si="8"/>
        <v>991124440</v>
      </c>
      <c r="H27" s="609">
        <f t="shared" si="8"/>
        <v>902124440</v>
      </c>
      <c r="I27" s="609">
        <f t="shared" si="8"/>
        <v>935124440</v>
      </c>
      <c r="J27" s="609">
        <f t="shared" si="8"/>
        <v>977124440</v>
      </c>
      <c r="K27" s="609">
        <f t="shared" si="8"/>
        <v>1081549635</v>
      </c>
      <c r="L27" s="609">
        <f t="shared" si="8"/>
        <v>1020824440</v>
      </c>
      <c r="M27" s="609">
        <f t="shared" si="8"/>
        <v>971624440</v>
      </c>
      <c r="N27" s="609">
        <f t="shared" si="8"/>
        <v>950624440</v>
      </c>
      <c r="O27" s="609">
        <f t="shared" si="8"/>
        <v>1005671609</v>
      </c>
      <c r="P27" s="609">
        <f>P25+P26</f>
        <v>11280665644</v>
      </c>
      <c r="Q27" s="606">
        <f>Q25+Q26</f>
        <v>15711564705</v>
      </c>
      <c r="R27" s="574">
        <f t="shared" si="1"/>
        <v>-4430899061</v>
      </c>
      <c r="S27">
        <f t="shared" si="3"/>
        <v>-369241588.41666669</v>
      </c>
      <c r="T27" s="574"/>
      <c r="U27" s="574"/>
    </row>
    <row r="28" spans="1:22" ht="20.25" customHeight="1" x14ac:dyDescent="0.2">
      <c r="A28" s="597" t="s">
        <v>262</v>
      </c>
      <c r="B28" s="612" t="s">
        <v>1222</v>
      </c>
      <c r="C28" s="613"/>
      <c r="D28" s="609">
        <f>+D15-D27</f>
        <v>-109497731</v>
      </c>
      <c r="E28" s="609">
        <f t="shared" ref="E28:P28" si="9">+E15-E27</f>
        <v>-134249730</v>
      </c>
      <c r="F28" s="609">
        <f t="shared" si="9"/>
        <v>1385250269</v>
      </c>
      <c r="G28" s="609">
        <f t="shared" si="9"/>
        <v>-353249731</v>
      </c>
      <c r="H28" s="609">
        <f t="shared" si="9"/>
        <v>5750269</v>
      </c>
      <c r="I28" s="609">
        <f t="shared" si="9"/>
        <v>-317249731</v>
      </c>
      <c r="J28" s="609">
        <f t="shared" si="9"/>
        <v>-359249731</v>
      </c>
      <c r="K28" s="609">
        <f t="shared" si="9"/>
        <v>-463674925</v>
      </c>
      <c r="L28" s="609">
        <f t="shared" si="9"/>
        <v>1287050270</v>
      </c>
      <c r="M28" s="609">
        <f t="shared" si="9"/>
        <v>-323749730</v>
      </c>
      <c r="N28" s="609">
        <f t="shared" si="9"/>
        <v>-337749727</v>
      </c>
      <c r="O28" s="609">
        <f t="shared" si="9"/>
        <v>-279379772</v>
      </c>
      <c r="P28" s="609">
        <f t="shared" si="9"/>
        <v>0</v>
      </c>
      <c r="Q28" s="606"/>
      <c r="R28" s="574"/>
      <c r="S28">
        <f t="shared" si="3"/>
        <v>0</v>
      </c>
    </row>
    <row r="29" spans="1:22" s="10" customFormat="1" ht="21" customHeight="1" x14ac:dyDescent="0.25">
      <c r="A29" s="593" t="s">
        <v>263</v>
      </c>
      <c r="B29" s="617" t="s">
        <v>1223</v>
      </c>
      <c r="C29" s="618"/>
      <c r="D29" s="609">
        <f>+D5+D15-D27</f>
        <v>2233658255</v>
      </c>
      <c r="E29" s="609">
        <f>+E5+E15-E27</f>
        <v>2099408525</v>
      </c>
      <c r="F29" s="609">
        <f t="shared" ref="F29:O29" si="10">+F5+F15-F27</f>
        <v>3484658794</v>
      </c>
      <c r="G29" s="609">
        <f t="shared" si="10"/>
        <v>3131409063</v>
      </c>
      <c r="H29" s="609">
        <f t="shared" si="10"/>
        <v>3137159332</v>
      </c>
      <c r="I29" s="609">
        <f t="shared" si="10"/>
        <v>2819909601</v>
      </c>
      <c r="J29" s="609">
        <f t="shared" si="10"/>
        <v>2460659870</v>
      </c>
      <c r="K29" s="609">
        <f t="shared" si="10"/>
        <v>1996984945</v>
      </c>
      <c r="L29" s="609">
        <f t="shared" si="10"/>
        <v>3284035215</v>
      </c>
      <c r="M29" s="609">
        <f t="shared" si="10"/>
        <v>2960285485</v>
      </c>
      <c r="N29" s="609">
        <f t="shared" si="10"/>
        <v>2622535758</v>
      </c>
      <c r="O29" s="609">
        <f t="shared" si="10"/>
        <v>2343155986</v>
      </c>
      <c r="P29" s="609"/>
      <c r="Q29" s="606">
        <f>+'[3]3. sz.Városi szintű összesen'!G29</f>
        <v>10344621437</v>
      </c>
      <c r="R29" s="606"/>
      <c r="S29">
        <f t="shared" si="3"/>
        <v>0</v>
      </c>
      <c r="V29" s="619"/>
    </row>
    <row r="32" spans="1:22" x14ac:dyDescent="0.2">
      <c r="K32" s="240">
        <f>+K26+K25</f>
        <v>1081549635</v>
      </c>
    </row>
  </sheetData>
  <mergeCells count="1">
    <mergeCell ref="A1:P1"/>
  </mergeCells>
  <printOptions horizontalCentered="1" verticalCentered="1"/>
  <pageMargins left="0.19685039370078741" right="0.19685039370078741" top="0.35433070866141736" bottom="0.35433070866141736" header="0.31496062992125984" footer="0.31496062992125984"/>
  <pageSetup paperSize="9" scale="58" orientation="landscape" r:id="rId1"/>
  <headerFooter>
    <oddHeader>&amp;C2022. évi költségvetés&amp;R&amp;A</oddHeader>
    <oddFooter>&amp;C&amp;P/&amp;N</oddFooter>
  </headerFooter>
  <colBreaks count="1" manualBreakCount="1">
    <brk id="16"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R29"/>
  <sheetViews>
    <sheetView view="pageBreakPreview" topLeftCell="A7" zoomScale="90" zoomScaleNormal="100" zoomScaleSheetLayoutView="90" workbookViewId="0">
      <selection activeCell="G13" sqref="G13"/>
    </sheetView>
  </sheetViews>
  <sheetFormatPr defaultRowHeight="12.75" x14ac:dyDescent="0.2"/>
  <cols>
    <col min="1" max="1" width="4.85546875" customWidth="1"/>
    <col min="2" max="2" width="43.42578125" customWidth="1"/>
    <col min="3" max="3" width="6.42578125" bestFit="1" customWidth="1"/>
    <col min="4" max="4" width="13.140625" customWidth="1"/>
    <col min="5" max="5" width="12.7109375" customWidth="1"/>
    <col min="6" max="6" width="14.7109375" customWidth="1"/>
    <col min="7" max="7" width="14.28515625" bestFit="1" customWidth="1"/>
    <col min="8" max="8" width="14.7109375" customWidth="1"/>
    <col min="9" max="9" width="15.140625" customWidth="1"/>
    <col min="10" max="10" width="14.5703125" customWidth="1"/>
    <col min="11" max="11" width="14.7109375" customWidth="1"/>
    <col min="12" max="12" width="14.140625" customWidth="1"/>
    <col min="13" max="13" width="14.28515625" bestFit="1" customWidth="1"/>
    <col min="14" max="15" width="14.28515625" customWidth="1"/>
    <col min="16" max="16" width="15.5703125" customWidth="1"/>
    <col min="17" max="17" width="18.140625" customWidth="1"/>
    <col min="18" max="18" width="13.85546875" customWidth="1"/>
  </cols>
  <sheetData>
    <row r="1" spans="1:18" ht="30" customHeight="1" x14ac:dyDescent="0.25">
      <c r="A1" s="2035" t="s">
        <v>1317</v>
      </c>
      <c r="B1" s="2035"/>
      <c r="C1" s="2035"/>
      <c r="D1" s="2035"/>
      <c r="E1" s="2035"/>
      <c r="F1" s="2035"/>
      <c r="G1" s="2035"/>
      <c r="H1" s="2035"/>
      <c r="I1" s="2035"/>
      <c r="J1" s="2035"/>
      <c r="K1" s="2035"/>
      <c r="L1" s="2035"/>
      <c r="M1" s="2035"/>
      <c r="N1" s="2035"/>
      <c r="O1" s="2035"/>
      <c r="P1" s="2035"/>
      <c r="Q1" s="477"/>
    </row>
    <row r="2" spans="1:18" ht="30" customHeight="1" x14ac:dyDescent="0.25">
      <c r="A2" s="589"/>
      <c r="B2" s="589"/>
      <c r="C2" s="589"/>
      <c r="D2" s="591"/>
      <c r="E2" s="591"/>
      <c r="F2" s="591"/>
      <c r="G2" s="591"/>
      <c r="H2" s="591"/>
      <c r="I2" s="591"/>
      <c r="J2" s="591"/>
      <c r="K2" s="591"/>
      <c r="L2" s="591"/>
      <c r="M2" s="591"/>
      <c r="N2" s="591"/>
      <c r="O2" s="591"/>
      <c r="P2" s="591"/>
      <c r="Q2" s="477"/>
    </row>
    <row r="3" spans="1:18" ht="15" x14ac:dyDescent="0.25">
      <c r="A3" s="2037" t="s">
        <v>1224</v>
      </c>
      <c r="B3" s="2208"/>
      <c r="C3" s="2043" t="s">
        <v>1203</v>
      </c>
      <c r="D3" s="2046" t="s">
        <v>94</v>
      </c>
      <c r="E3" s="2046" t="s">
        <v>95</v>
      </c>
      <c r="F3" s="2046" t="s">
        <v>98</v>
      </c>
      <c r="G3" s="2046" t="s">
        <v>1204</v>
      </c>
      <c r="H3" s="2046" t="s">
        <v>1205</v>
      </c>
      <c r="I3" s="2046" t="s">
        <v>1206</v>
      </c>
      <c r="J3" s="2046" t="s">
        <v>1207</v>
      </c>
      <c r="K3" s="2046" t="s">
        <v>1208</v>
      </c>
      <c r="L3" s="2046" t="s">
        <v>1209</v>
      </c>
      <c r="M3" s="2046" t="s">
        <v>1210</v>
      </c>
      <c r="N3" s="2046" t="s">
        <v>1211</v>
      </c>
      <c r="O3" s="2046" t="s">
        <v>1212</v>
      </c>
      <c r="P3" s="2207" t="s">
        <v>1318</v>
      </c>
      <c r="Q3" s="620"/>
    </row>
    <row r="4" spans="1:18" ht="15" x14ac:dyDescent="0.25">
      <c r="A4" s="2209"/>
      <c r="B4" s="2210"/>
      <c r="C4" s="2044"/>
      <c r="D4" s="2046"/>
      <c r="E4" s="2046"/>
      <c r="F4" s="2046"/>
      <c r="G4" s="2046"/>
      <c r="H4" s="2046"/>
      <c r="I4" s="2046"/>
      <c r="J4" s="2046"/>
      <c r="K4" s="2046"/>
      <c r="L4" s="2046"/>
      <c r="M4" s="2046"/>
      <c r="N4" s="2046"/>
      <c r="O4" s="2046"/>
      <c r="P4" s="2207"/>
      <c r="Q4" s="620"/>
    </row>
    <row r="5" spans="1:18" ht="15" x14ac:dyDescent="0.25">
      <c r="A5" s="2211"/>
      <c r="B5" s="2212"/>
      <c r="C5" s="2045"/>
      <c r="D5" s="2046"/>
      <c r="E5" s="2046"/>
      <c r="F5" s="2046"/>
      <c r="G5" s="2046"/>
      <c r="H5" s="2046"/>
      <c r="I5" s="2046"/>
      <c r="J5" s="2046"/>
      <c r="K5" s="2046"/>
      <c r="L5" s="2046"/>
      <c r="M5" s="2046"/>
      <c r="N5" s="2046"/>
      <c r="O5" s="2046"/>
      <c r="P5" s="2207"/>
      <c r="Q5" s="620"/>
    </row>
    <row r="6" spans="1:18" ht="21" customHeight="1" x14ac:dyDescent="0.2">
      <c r="A6" s="597"/>
      <c r="B6" s="598" t="s">
        <v>971</v>
      </c>
      <c r="C6" s="594"/>
      <c r="D6" s="596"/>
      <c r="E6" s="596"/>
      <c r="F6" s="596"/>
      <c r="G6" s="596"/>
      <c r="H6" s="596"/>
      <c r="I6" s="596"/>
      <c r="J6" s="596"/>
      <c r="K6" s="596"/>
      <c r="L6" s="596"/>
      <c r="M6" s="596"/>
      <c r="N6" s="596"/>
      <c r="O6" s="596"/>
      <c r="P6" s="569"/>
      <c r="Q6" s="10"/>
      <c r="R6" s="574">
        <f>+Q6-P6</f>
        <v>0</v>
      </c>
    </row>
    <row r="7" spans="1:18" ht="21" customHeight="1" x14ac:dyDescent="0.2">
      <c r="A7" s="597" t="s">
        <v>189</v>
      </c>
      <c r="B7" s="602" t="s">
        <v>52</v>
      </c>
      <c r="C7" s="603" t="s">
        <v>209</v>
      </c>
      <c r="D7" s="604">
        <v>138058246</v>
      </c>
      <c r="E7" s="604">
        <v>138058246</v>
      </c>
      <c r="F7" s="604">
        <v>138058246</v>
      </c>
      <c r="G7" s="604">
        <v>138058246</v>
      </c>
      <c r="H7" s="604">
        <v>138058246</v>
      </c>
      <c r="I7" s="604">
        <v>138058246</v>
      </c>
      <c r="J7" s="604">
        <v>138058246</v>
      </c>
      <c r="K7" s="604">
        <v>138058246</v>
      </c>
      <c r="L7" s="604">
        <v>138058246</v>
      </c>
      <c r="M7" s="604">
        <v>138058246</v>
      </c>
      <c r="N7" s="604">
        <v>138058246</v>
      </c>
      <c r="O7" s="604">
        <f>138058246+1</f>
        <v>138058247</v>
      </c>
      <c r="P7" s="605">
        <f>SUM(D7:O7)</f>
        <v>1656698953</v>
      </c>
      <c r="Q7" s="606"/>
      <c r="R7" s="574"/>
    </row>
    <row r="8" spans="1:18" ht="27" customHeight="1" x14ac:dyDescent="0.2">
      <c r="A8" s="597" t="s">
        <v>190</v>
      </c>
      <c r="B8" s="602" t="s">
        <v>220</v>
      </c>
      <c r="C8" s="603" t="s">
        <v>210</v>
      </c>
      <c r="D8" s="604"/>
      <c r="E8" s="604"/>
      <c r="F8" s="604"/>
      <c r="G8" s="604"/>
      <c r="H8" s="604"/>
      <c r="I8" s="604"/>
      <c r="J8" s="604"/>
      <c r="K8" s="604"/>
      <c r="L8" s="604"/>
      <c r="M8" s="604"/>
      <c r="N8" s="604"/>
      <c r="O8" s="604"/>
      <c r="P8" s="605">
        <f t="shared" ref="P8:P15" si="0">SUM(D8:O8)</f>
        <v>0</v>
      </c>
      <c r="Q8" s="606"/>
      <c r="R8" s="574"/>
    </row>
    <row r="9" spans="1:18" ht="21" customHeight="1" x14ac:dyDescent="0.2">
      <c r="A9" s="597" t="s">
        <v>191</v>
      </c>
      <c r="B9" s="602" t="s">
        <v>219</v>
      </c>
      <c r="C9" s="603" t="s">
        <v>211</v>
      </c>
      <c r="D9" s="604">
        <v>10000000</v>
      </c>
      <c r="E9" s="604">
        <v>20000000</v>
      </c>
      <c r="F9" s="604">
        <v>1700000000</v>
      </c>
      <c r="G9" s="604">
        <v>30000000</v>
      </c>
      <c r="H9" s="604">
        <v>300000000</v>
      </c>
      <c r="I9" s="604">
        <v>10000000</v>
      </c>
      <c r="J9" s="604">
        <v>10000000</v>
      </c>
      <c r="K9" s="604">
        <v>10000000</v>
      </c>
      <c r="L9" s="604">
        <v>1700000000</v>
      </c>
      <c r="M9" s="604">
        <v>10000000</v>
      </c>
      <c r="N9" s="604">
        <v>5000000</v>
      </c>
      <c r="O9" s="604">
        <v>18624585</v>
      </c>
      <c r="P9" s="605">
        <f t="shared" si="0"/>
        <v>3823624585</v>
      </c>
      <c r="Q9" s="606"/>
      <c r="R9" s="574"/>
    </row>
    <row r="10" spans="1:18" ht="21" customHeight="1" x14ac:dyDescent="0.2">
      <c r="A10" s="597" t="s">
        <v>192</v>
      </c>
      <c r="B10" s="602" t="s">
        <v>972</v>
      </c>
      <c r="C10" s="603" t="s">
        <v>212</v>
      </c>
      <c r="D10" s="604">
        <v>26436143</v>
      </c>
      <c r="E10" s="604">
        <v>26436143</v>
      </c>
      <c r="F10" s="604">
        <v>26436143</v>
      </c>
      <c r="G10" s="604">
        <v>26436143</v>
      </c>
      <c r="H10" s="604">
        <v>26436143</v>
      </c>
      <c r="I10" s="604">
        <v>26436143</v>
      </c>
      <c r="J10" s="604">
        <v>26436143</v>
      </c>
      <c r="K10" s="604">
        <v>26436143</v>
      </c>
      <c r="L10" s="604">
        <v>26436143</v>
      </c>
      <c r="M10" s="604">
        <v>26436143</v>
      </c>
      <c r="N10" s="604">
        <f>26436143+3</f>
        <v>26436146</v>
      </c>
      <c r="O10" s="604">
        <v>130000000</v>
      </c>
      <c r="P10" s="605">
        <f t="shared" si="0"/>
        <v>420797576</v>
      </c>
      <c r="Q10" s="606"/>
      <c r="R10" s="574"/>
    </row>
    <row r="11" spans="1:18" ht="21" customHeight="1" x14ac:dyDescent="0.2">
      <c r="A11" s="597" t="s">
        <v>193</v>
      </c>
      <c r="B11" s="602" t="s">
        <v>242</v>
      </c>
      <c r="C11" s="603" t="s">
        <v>213</v>
      </c>
      <c r="D11" s="604">
        <v>32752000</v>
      </c>
      <c r="E11" s="604"/>
      <c r="F11" s="604">
        <v>0</v>
      </c>
      <c r="G11" s="604"/>
      <c r="H11" s="604"/>
      <c r="I11" s="604"/>
      <c r="J11" s="604"/>
      <c r="K11" s="604"/>
      <c r="L11" s="604"/>
      <c r="M11" s="604">
        <v>30000000</v>
      </c>
      <c r="N11" s="604"/>
      <c r="O11" s="604"/>
      <c r="P11" s="605">
        <f t="shared" si="0"/>
        <v>62752000</v>
      </c>
      <c r="Q11" s="606"/>
      <c r="R11" s="574"/>
    </row>
    <row r="12" spans="1:18" ht="21" customHeight="1" x14ac:dyDescent="0.2">
      <c r="A12" s="597" t="s">
        <v>194</v>
      </c>
      <c r="B12" s="602" t="s">
        <v>237</v>
      </c>
      <c r="C12" s="603" t="s">
        <v>214</v>
      </c>
      <c r="D12" s="604"/>
      <c r="E12" s="604"/>
      <c r="F12" s="604"/>
      <c r="G12" s="604"/>
      <c r="H12" s="604"/>
      <c r="I12" s="604"/>
      <c r="J12" s="604"/>
      <c r="K12" s="604"/>
      <c r="L12" s="604"/>
      <c r="M12" s="604"/>
      <c r="N12" s="604"/>
      <c r="O12" s="604"/>
      <c r="P12" s="605">
        <f t="shared" si="0"/>
        <v>0</v>
      </c>
      <c r="Q12" s="606"/>
      <c r="R12" s="574"/>
    </row>
    <row r="13" spans="1:18" ht="21" customHeight="1" x14ac:dyDescent="0.2">
      <c r="A13" s="597" t="s">
        <v>195</v>
      </c>
      <c r="B13" s="602" t="s">
        <v>238</v>
      </c>
      <c r="C13" s="603" t="s">
        <v>215</v>
      </c>
      <c r="D13" s="604">
        <v>414533</v>
      </c>
      <c r="E13" s="604">
        <v>414534</v>
      </c>
      <c r="F13" s="604">
        <v>414533</v>
      </c>
      <c r="G13" s="604">
        <v>414533</v>
      </c>
      <c r="H13" s="604">
        <v>414533</v>
      </c>
      <c r="I13" s="604">
        <v>414533</v>
      </c>
      <c r="J13" s="604">
        <v>414533</v>
      </c>
      <c r="K13" s="604">
        <v>414534</v>
      </c>
      <c r="L13" s="604">
        <v>414534</v>
      </c>
      <c r="M13" s="604">
        <v>414534</v>
      </c>
      <c r="N13" s="604">
        <v>414534</v>
      </c>
      <c r="O13" s="604">
        <f>414534-2</f>
        <v>414532</v>
      </c>
      <c r="P13" s="605">
        <f t="shared" si="0"/>
        <v>4974400</v>
      </c>
      <c r="Q13" s="606"/>
      <c r="R13" s="574"/>
    </row>
    <row r="14" spans="1:18" ht="21" customHeight="1" x14ac:dyDescent="0.2">
      <c r="A14" s="597" t="s">
        <v>196</v>
      </c>
      <c r="B14" s="607" t="s">
        <v>239</v>
      </c>
      <c r="C14" s="608" t="s">
        <v>216</v>
      </c>
      <c r="D14" s="609">
        <f>SUM(D7:D13)</f>
        <v>207660922</v>
      </c>
      <c r="E14" s="609">
        <f t="shared" ref="E14:O14" si="1">SUM(E7:E13)</f>
        <v>184908923</v>
      </c>
      <c r="F14" s="609">
        <f t="shared" si="1"/>
        <v>1864908922</v>
      </c>
      <c r="G14" s="609">
        <f t="shared" si="1"/>
        <v>194908922</v>
      </c>
      <c r="H14" s="609">
        <f t="shared" si="1"/>
        <v>464908922</v>
      </c>
      <c r="I14" s="609">
        <f t="shared" si="1"/>
        <v>174908922</v>
      </c>
      <c r="J14" s="609">
        <f t="shared" si="1"/>
        <v>174908922</v>
      </c>
      <c r="K14" s="609">
        <f t="shared" si="1"/>
        <v>174908923</v>
      </c>
      <c r="L14" s="609">
        <f t="shared" si="1"/>
        <v>1864908923</v>
      </c>
      <c r="M14" s="609">
        <f t="shared" si="1"/>
        <v>204908923</v>
      </c>
      <c r="N14" s="609">
        <f t="shared" si="1"/>
        <v>169908926</v>
      </c>
      <c r="O14" s="609">
        <f t="shared" si="1"/>
        <v>287097364</v>
      </c>
      <c r="P14" s="609">
        <f>SUM(P7:P13)</f>
        <v>5968847514</v>
      </c>
      <c r="Q14" s="606"/>
      <c r="R14" s="574"/>
    </row>
    <row r="15" spans="1:18" ht="28.5" customHeight="1" x14ac:dyDescent="0.2">
      <c r="A15" s="597" t="s">
        <v>197</v>
      </c>
      <c r="B15" s="610" t="s">
        <v>1214</v>
      </c>
      <c r="C15" s="611" t="s">
        <v>218</v>
      </c>
      <c r="D15" s="695">
        <v>442965787</v>
      </c>
      <c r="E15" s="695">
        <v>442965787</v>
      </c>
      <c r="F15" s="695">
        <v>442965787</v>
      </c>
      <c r="G15" s="695">
        <v>442965787</v>
      </c>
      <c r="H15" s="695">
        <v>442965787</v>
      </c>
      <c r="I15" s="695">
        <v>442965787</v>
      </c>
      <c r="J15" s="695">
        <v>442965787</v>
      </c>
      <c r="K15" s="695">
        <v>442965787</v>
      </c>
      <c r="L15" s="695">
        <v>442965787</v>
      </c>
      <c r="M15" s="695">
        <v>442965787</v>
      </c>
      <c r="N15" s="695">
        <v>442965787</v>
      </c>
      <c r="O15" s="695">
        <f>442965787+3-3771317</f>
        <v>439194473</v>
      </c>
      <c r="P15" s="605">
        <f t="shared" si="0"/>
        <v>5311818130</v>
      </c>
      <c r="Q15" s="606"/>
      <c r="R15" s="574"/>
    </row>
    <row r="16" spans="1:18" ht="27.75" customHeight="1" x14ac:dyDescent="0.2">
      <c r="A16" s="597" t="s">
        <v>198</v>
      </c>
      <c r="B16" s="612" t="s">
        <v>1215</v>
      </c>
      <c r="C16" s="613"/>
      <c r="D16" s="609">
        <f>+D14+D15</f>
        <v>650626709</v>
      </c>
      <c r="E16" s="609">
        <f t="shared" ref="E16:O16" si="2">+E14+E15</f>
        <v>627874710</v>
      </c>
      <c r="F16" s="609">
        <f t="shared" si="2"/>
        <v>2307874709</v>
      </c>
      <c r="G16" s="609">
        <f t="shared" si="2"/>
        <v>637874709</v>
      </c>
      <c r="H16" s="609">
        <f t="shared" si="2"/>
        <v>907874709</v>
      </c>
      <c r="I16" s="609">
        <f t="shared" si="2"/>
        <v>617874709</v>
      </c>
      <c r="J16" s="609">
        <f t="shared" si="2"/>
        <v>617874709</v>
      </c>
      <c r="K16" s="609">
        <f t="shared" si="2"/>
        <v>617874710</v>
      </c>
      <c r="L16" s="609">
        <f t="shared" si="2"/>
        <v>2307874710</v>
      </c>
      <c r="M16" s="609">
        <f t="shared" si="2"/>
        <v>647874710</v>
      </c>
      <c r="N16" s="609">
        <f t="shared" si="2"/>
        <v>612874713</v>
      </c>
      <c r="O16" s="609">
        <f t="shared" si="2"/>
        <v>726291837</v>
      </c>
      <c r="P16" s="609">
        <f>+P14+P15</f>
        <v>11280665644</v>
      </c>
      <c r="Q16" s="606"/>
      <c r="R16" s="574"/>
    </row>
    <row r="17" spans="1:18" ht="21" customHeight="1" x14ac:dyDescent="0.2">
      <c r="A17" s="597"/>
      <c r="B17" s="598" t="s">
        <v>252</v>
      </c>
      <c r="C17" s="594"/>
      <c r="D17" s="600"/>
      <c r="E17" s="600"/>
      <c r="F17" s="600"/>
      <c r="G17" s="600"/>
      <c r="H17" s="600"/>
      <c r="I17" s="600"/>
      <c r="J17" s="600"/>
      <c r="K17" s="600"/>
      <c r="L17" s="600"/>
      <c r="M17" s="600"/>
      <c r="N17" s="600"/>
      <c r="O17" s="600"/>
      <c r="P17" s="601"/>
      <c r="Q17" s="606"/>
      <c r="R17" s="574"/>
    </row>
    <row r="18" spans="1:18" ht="21" customHeight="1" x14ac:dyDescent="0.2">
      <c r="A18" s="597" t="s">
        <v>225</v>
      </c>
      <c r="B18" s="614" t="s">
        <v>1216</v>
      </c>
      <c r="C18" s="603" t="s">
        <v>199</v>
      </c>
      <c r="D18" s="604">
        <v>179724831</v>
      </c>
      <c r="E18" s="604">
        <v>179724831</v>
      </c>
      <c r="F18" s="604">
        <v>179724831</v>
      </c>
      <c r="G18" s="604">
        <v>179724831</v>
      </c>
      <c r="H18" s="604">
        <v>179724831</v>
      </c>
      <c r="I18" s="604">
        <v>179724831</v>
      </c>
      <c r="J18" s="604">
        <v>179724831</v>
      </c>
      <c r="K18" s="604">
        <v>179724831</v>
      </c>
      <c r="L18" s="604">
        <v>179724831</v>
      </c>
      <c r="M18" s="604">
        <v>179724831</v>
      </c>
      <c r="N18" s="604">
        <v>179724831</v>
      </c>
      <c r="O18" s="604">
        <f>179724831-3</f>
        <v>179724828</v>
      </c>
      <c r="P18" s="605">
        <f>SUM(D18:O18)</f>
        <v>2156697969</v>
      </c>
      <c r="Q18" s="606"/>
      <c r="R18" s="574"/>
    </row>
    <row r="19" spans="1:18" ht="31.5" customHeight="1" x14ac:dyDescent="0.2">
      <c r="A19" s="597" t="s">
        <v>226</v>
      </c>
      <c r="B19" s="602" t="s">
        <v>200</v>
      </c>
      <c r="C19" s="603" t="s">
        <v>201</v>
      </c>
      <c r="D19" s="604">
        <v>31201672</v>
      </c>
      <c r="E19" s="604">
        <v>31201672</v>
      </c>
      <c r="F19" s="604">
        <v>31201672</v>
      </c>
      <c r="G19" s="604">
        <v>31201672</v>
      </c>
      <c r="H19" s="604">
        <v>31201672</v>
      </c>
      <c r="I19" s="604">
        <v>31201672</v>
      </c>
      <c r="J19" s="604">
        <v>31201672</v>
      </c>
      <c r="K19" s="604">
        <v>31201672</v>
      </c>
      <c r="L19" s="604">
        <v>31201672</v>
      </c>
      <c r="M19" s="604">
        <v>31201672</v>
      </c>
      <c r="N19" s="604">
        <v>31201672</v>
      </c>
      <c r="O19" s="604">
        <f>31201672-1</f>
        <v>31201671</v>
      </c>
      <c r="P19" s="605">
        <f t="shared" ref="P19:P25" si="3">SUM(D19:O19)</f>
        <v>374420063</v>
      </c>
      <c r="Q19" s="606"/>
      <c r="R19" s="574"/>
    </row>
    <row r="20" spans="1:18" ht="21" customHeight="1" x14ac:dyDescent="0.2">
      <c r="A20" s="597" t="s">
        <v>227</v>
      </c>
      <c r="B20" s="602" t="s">
        <v>330</v>
      </c>
      <c r="C20" s="603" t="s">
        <v>202</v>
      </c>
      <c r="D20" s="604">
        <v>190738087</v>
      </c>
      <c r="E20" s="604">
        <v>190738087</v>
      </c>
      <c r="F20" s="604">
        <v>190738087</v>
      </c>
      <c r="G20" s="604">
        <v>190738087</v>
      </c>
      <c r="H20" s="604">
        <v>190738087</v>
      </c>
      <c r="I20" s="604">
        <v>190738087</v>
      </c>
      <c r="J20" s="604">
        <v>190738087</v>
      </c>
      <c r="K20" s="604">
        <v>190738087</v>
      </c>
      <c r="L20" s="604">
        <v>190738087</v>
      </c>
      <c r="M20" s="604">
        <v>190738087</v>
      </c>
      <c r="N20" s="604">
        <v>190738087</v>
      </c>
      <c r="O20" s="604">
        <f>190738087+6</f>
        <v>190738093</v>
      </c>
      <c r="P20" s="605">
        <f t="shared" si="3"/>
        <v>2288857050</v>
      </c>
      <c r="Q20" s="606"/>
      <c r="R20" s="574"/>
    </row>
    <row r="21" spans="1:18" ht="21" customHeight="1" x14ac:dyDescent="0.2">
      <c r="A21" s="597" t="s">
        <v>228</v>
      </c>
      <c r="B21" s="615" t="s">
        <v>1217</v>
      </c>
      <c r="C21" s="603" t="s">
        <v>203</v>
      </c>
      <c r="D21" s="604">
        <v>3416666</v>
      </c>
      <c r="E21" s="604">
        <v>3416666</v>
      </c>
      <c r="F21" s="604">
        <v>3416666</v>
      </c>
      <c r="G21" s="604">
        <v>3416666</v>
      </c>
      <c r="H21" s="604">
        <v>3416666</v>
      </c>
      <c r="I21" s="604">
        <v>3416666</v>
      </c>
      <c r="J21" s="604">
        <v>3416666</v>
      </c>
      <c r="K21" s="604">
        <v>3416666</v>
      </c>
      <c r="L21" s="604">
        <v>3416666</v>
      </c>
      <c r="M21" s="604">
        <v>3416666</v>
      </c>
      <c r="N21" s="604">
        <v>3416666</v>
      </c>
      <c r="O21" s="604">
        <f>3416666+8</f>
        <v>3416674</v>
      </c>
      <c r="P21" s="605">
        <f t="shared" si="3"/>
        <v>41000000</v>
      </c>
      <c r="Q21" s="606"/>
      <c r="R21" s="574"/>
    </row>
    <row r="22" spans="1:18" ht="21" customHeight="1" x14ac:dyDescent="0.2">
      <c r="A22" s="597" t="s">
        <v>229</v>
      </c>
      <c r="B22" s="615" t="s">
        <v>234</v>
      </c>
      <c r="C22" s="603" t="s">
        <v>204</v>
      </c>
      <c r="D22" s="604">
        <v>90000000</v>
      </c>
      <c r="E22" s="604">
        <v>90000000</v>
      </c>
      <c r="F22" s="604">
        <v>200000000</v>
      </c>
      <c r="G22" s="604">
        <v>200000000</v>
      </c>
      <c r="H22" s="604">
        <v>200000000</v>
      </c>
      <c r="I22" s="604">
        <v>160000000</v>
      </c>
      <c r="J22" s="604">
        <v>200000000</v>
      </c>
      <c r="K22" s="604">
        <v>200000000</v>
      </c>
      <c r="L22" s="604">
        <v>200000000</v>
      </c>
      <c r="M22" s="604">
        <v>200000000</v>
      </c>
      <c r="N22" s="604">
        <v>200000000</v>
      </c>
      <c r="O22" s="604">
        <f>188598779+28500000</f>
        <v>217098779</v>
      </c>
      <c r="P22" s="605">
        <f t="shared" si="3"/>
        <v>2157098779</v>
      </c>
      <c r="Q22" s="606"/>
      <c r="R22" s="574"/>
    </row>
    <row r="23" spans="1:18" ht="21" customHeight="1" x14ac:dyDescent="0.2">
      <c r="A23" s="597" t="s">
        <v>230</v>
      </c>
      <c r="B23" s="602" t="s">
        <v>241</v>
      </c>
      <c r="C23" s="603" t="s">
        <v>205</v>
      </c>
      <c r="D23" s="604">
        <v>500000</v>
      </c>
      <c r="E23" s="604">
        <v>1000000</v>
      </c>
      <c r="F23" s="604">
        <v>50000000</v>
      </c>
      <c r="G23" s="604">
        <v>100000000</v>
      </c>
      <c r="H23" s="604">
        <v>10000000</v>
      </c>
      <c r="I23" s="604">
        <v>100000000</v>
      </c>
      <c r="J23" s="604">
        <v>100000000</v>
      </c>
      <c r="K23" s="604">
        <v>200000000</v>
      </c>
      <c r="L23" s="616">
        <v>150000000</v>
      </c>
      <c r="M23" s="604">
        <v>100000000</v>
      </c>
      <c r="N23" s="604">
        <v>80000000</v>
      </c>
      <c r="O23" s="604">
        <v>21599698</v>
      </c>
      <c r="P23" s="605">
        <f t="shared" si="3"/>
        <v>913099698</v>
      </c>
      <c r="Q23" s="606"/>
      <c r="R23" s="574"/>
    </row>
    <row r="24" spans="1:18" ht="21" customHeight="1" x14ac:dyDescent="0.2">
      <c r="A24" s="597" t="s">
        <v>231</v>
      </c>
      <c r="B24" s="615" t="s">
        <v>1218</v>
      </c>
      <c r="C24" s="603" t="s">
        <v>206</v>
      </c>
      <c r="D24" s="604">
        <v>500000</v>
      </c>
      <c r="E24" s="604">
        <v>2000000</v>
      </c>
      <c r="F24" s="604">
        <v>2500000</v>
      </c>
      <c r="G24" s="604">
        <v>20000000</v>
      </c>
      <c r="H24" s="604">
        <v>20000000</v>
      </c>
      <c r="I24" s="604">
        <v>3000000</v>
      </c>
      <c r="J24" s="604">
        <v>5000000</v>
      </c>
      <c r="K24" s="604">
        <v>9425195</v>
      </c>
      <c r="L24" s="604"/>
      <c r="M24" s="604"/>
      <c r="N24" s="604"/>
      <c r="O24" s="604">
        <v>130000000</v>
      </c>
      <c r="P24" s="605">
        <f t="shared" si="3"/>
        <v>192425195</v>
      </c>
      <c r="Q24" s="606"/>
      <c r="R24" s="574"/>
    </row>
    <row r="25" spans="1:18" ht="21" customHeight="1" x14ac:dyDescent="0.2">
      <c r="A25" s="597" t="s">
        <v>232</v>
      </c>
      <c r="B25" s="615" t="s">
        <v>235</v>
      </c>
      <c r="C25" s="603" t="s">
        <v>207</v>
      </c>
      <c r="D25" s="604">
        <v>0</v>
      </c>
      <c r="E25" s="604">
        <v>0</v>
      </c>
      <c r="F25" s="604">
        <v>1000000</v>
      </c>
      <c r="G25" s="604">
        <v>2000000</v>
      </c>
      <c r="H25" s="604">
        <v>3000000</v>
      </c>
      <c r="I25" s="604">
        <v>3000000</v>
      </c>
      <c r="J25" s="604">
        <v>3000000</v>
      </c>
      <c r="K25" s="604">
        <v>3000000</v>
      </c>
      <c r="L25" s="604">
        <v>1700000</v>
      </c>
      <c r="M25" s="604">
        <v>2500000</v>
      </c>
      <c r="N25" s="604">
        <v>1500000</v>
      </c>
      <c r="O25" s="604">
        <v>1620000</v>
      </c>
      <c r="P25" s="605">
        <f t="shared" si="3"/>
        <v>22320000</v>
      </c>
      <c r="Q25" s="606"/>
      <c r="R25" s="574"/>
    </row>
    <row r="26" spans="1:18" ht="21" customHeight="1" x14ac:dyDescent="0.2">
      <c r="A26" s="597" t="s">
        <v>233</v>
      </c>
      <c r="B26" s="607" t="s">
        <v>1219</v>
      </c>
      <c r="C26" s="608" t="s">
        <v>208</v>
      </c>
      <c r="D26" s="609">
        <f>SUM(D18:D25)</f>
        <v>496081256</v>
      </c>
      <c r="E26" s="609">
        <f t="shared" ref="E26:O26" si="4">SUM(E18:E25)</f>
        <v>498081256</v>
      </c>
      <c r="F26" s="609">
        <f t="shared" si="4"/>
        <v>658581256</v>
      </c>
      <c r="G26" s="609">
        <f t="shared" si="4"/>
        <v>727081256</v>
      </c>
      <c r="H26" s="609">
        <f t="shared" si="4"/>
        <v>638081256</v>
      </c>
      <c r="I26" s="609">
        <f t="shared" si="4"/>
        <v>671081256</v>
      </c>
      <c r="J26" s="609">
        <f t="shared" si="4"/>
        <v>713081256</v>
      </c>
      <c r="K26" s="609">
        <f t="shared" si="4"/>
        <v>817506451</v>
      </c>
      <c r="L26" s="609">
        <f t="shared" si="4"/>
        <v>756781256</v>
      </c>
      <c r="M26" s="609">
        <f t="shared" si="4"/>
        <v>707581256</v>
      </c>
      <c r="N26" s="609">
        <f t="shared" si="4"/>
        <v>686581256</v>
      </c>
      <c r="O26" s="609">
        <f t="shared" si="4"/>
        <v>775399743</v>
      </c>
      <c r="P26" s="609">
        <f>SUM(P18:P25)</f>
        <v>8145918754</v>
      </c>
      <c r="Q26" s="606"/>
      <c r="R26" s="574"/>
    </row>
    <row r="27" spans="1:18" ht="19.5" customHeight="1" x14ac:dyDescent="0.2">
      <c r="A27" s="597" t="s">
        <v>260</v>
      </c>
      <c r="B27" s="610" t="s">
        <v>1220</v>
      </c>
      <c r="C27" s="611" t="s">
        <v>217</v>
      </c>
      <c r="D27" s="604">
        <v>264043184</v>
      </c>
      <c r="E27" s="604">
        <v>264043184</v>
      </c>
      <c r="F27" s="604">
        <v>264043184</v>
      </c>
      <c r="G27" s="604">
        <v>264043184</v>
      </c>
      <c r="H27" s="604">
        <v>264043184</v>
      </c>
      <c r="I27" s="604">
        <v>264043184</v>
      </c>
      <c r="J27" s="604">
        <v>264043184</v>
      </c>
      <c r="K27" s="604">
        <v>264043184</v>
      </c>
      <c r="L27" s="604">
        <v>264043184</v>
      </c>
      <c r="M27" s="604">
        <v>264043184</v>
      </c>
      <c r="N27" s="604">
        <v>264043184</v>
      </c>
      <c r="O27" s="604">
        <f>264043184-1-33771317</f>
        <v>230271866</v>
      </c>
      <c r="P27" s="609">
        <f>SUM(D27:O27)</f>
        <v>3134746890</v>
      </c>
      <c r="Q27" s="606"/>
      <c r="R27" s="574"/>
    </row>
    <row r="28" spans="1:18" ht="27" customHeight="1" x14ac:dyDescent="0.2">
      <c r="A28" s="597" t="s">
        <v>261</v>
      </c>
      <c r="B28" s="612" t="s">
        <v>1221</v>
      </c>
      <c r="C28" s="613"/>
      <c r="D28" s="609">
        <f>+D26+D27</f>
        <v>760124440</v>
      </c>
      <c r="E28" s="609">
        <f t="shared" ref="E28:O28" si="5">+E26+E27</f>
        <v>762124440</v>
      </c>
      <c r="F28" s="609">
        <f t="shared" si="5"/>
        <v>922624440</v>
      </c>
      <c r="G28" s="609">
        <f t="shared" si="5"/>
        <v>991124440</v>
      </c>
      <c r="H28" s="609">
        <f t="shared" si="5"/>
        <v>902124440</v>
      </c>
      <c r="I28" s="609">
        <f t="shared" si="5"/>
        <v>935124440</v>
      </c>
      <c r="J28" s="609">
        <f t="shared" si="5"/>
        <v>977124440</v>
      </c>
      <c r="K28" s="609">
        <f t="shared" si="5"/>
        <v>1081549635</v>
      </c>
      <c r="L28" s="609">
        <f t="shared" si="5"/>
        <v>1020824440</v>
      </c>
      <c r="M28" s="609">
        <f t="shared" si="5"/>
        <v>971624440</v>
      </c>
      <c r="N28" s="609">
        <f t="shared" si="5"/>
        <v>950624440</v>
      </c>
      <c r="O28" s="609">
        <f t="shared" si="5"/>
        <v>1005671609</v>
      </c>
      <c r="P28" s="609">
        <f>P26+P27</f>
        <v>11280665644</v>
      </c>
      <c r="Q28" s="606"/>
      <c r="R28" s="574"/>
    </row>
    <row r="29" spans="1:18" ht="31.5" customHeight="1" x14ac:dyDescent="0.2">
      <c r="A29" s="597" t="s">
        <v>262</v>
      </c>
      <c r="B29" s="612" t="s">
        <v>1222</v>
      </c>
      <c r="C29" s="613"/>
      <c r="D29" s="609">
        <f>+D16-D28</f>
        <v>-109497731</v>
      </c>
      <c r="E29" s="609">
        <f t="shared" ref="E29:O29" si="6">+E16-E28</f>
        <v>-134249730</v>
      </c>
      <c r="F29" s="609">
        <f t="shared" si="6"/>
        <v>1385250269</v>
      </c>
      <c r="G29" s="609">
        <f t="shared" si="6"/>
        <v>-353249731</v>
      </c>
      <c r="H29" s="609">
        <f t="shared" si="6"/>
        <v>5750269</v>
      </c>
      <c r="I29" s="609">
        <f t="shared" si="6"/>
        <v>-317249731</v>
      </c>
      <c r="J29" s="609">
        <f t="shared" si="6"/>
        <v>-359249731</v>
      </c>
      <c r="K29" s="609">
        <f t="shared" si="6"/>
        <v>-463674925</v>
      </c>
      <c r="L29" s="609">
        <f t="shared" si="6"/>
        <v>1287050270</v>
      </c>
      <c r="M29" s="609">
        <f t="shared" si="6"/>
        <v>-323749730</v>
      </c>
      <c r="N29" s="609">
        <f t="shared" si="6"/>
        <v>-337749727</v>
      </c>
      <c r="O29" s="609">
        <f t="shared" si="6"/>
        <v>-279379772</v>
      </c>
      <c r="P29" s="609" t="s">
        <v>616</v>
      </c>
      <c r="Q29" s="606"/>
    </row>
  </sheetData>
  <mergeCells count="16">
    <mergeCell ref="P3:P5"/>
    <mergeCell ref="A1:P1"/>
    <mergeCell ref="A3:B5"/>
    <mergeCell ref="C3:C5"/>
    <mergeCell ref="D3:D5"/>
    <mergeCell ref="E3:E5"/>
    <mergeCell ref="F3:F5"/>
    <mergeCell ref="G3:G5"/>
    <mergeCell ref="H3:H5"/>
    <mergeCell ref="I3:I5"/>
    <mergeCell ref="J3:J5"/>
    <mergeCell ref="K3:K5"/>
    <mergeCell ref="L3:L5"/>
    <mergeCell ref="M3:M5"/>
    <mergeCell ref="N3:N5"/>
    <mergeCell ref="O3:O5"/>
  </mergeCells>
  <printOptions horizontalCentered="1" verticalCentered="1"/>
  <pageMargins left="0.31496062992125984" right="0.31496062992125984" top="0.35433070866141736" bottom="0.35433070866141736" header="0.31496062992125984" footer="0.31496062992125984"/>
  <pageSetup paperSize="9" scale="58" orientation="landscape" r:id="rId1"/>
  <headerFooter>
    <oddHeader>&amp;C2022. évi költségvetés
&amp;R&amp;A</oddHeader>
    <oddFooter>&amp;C&amp;P/&amp;N</oddFooter>
  </headerFooter>
  <colBreaks count="1" manualBreakCount="1">
    <brk id="16"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H21"/>
  <sheetViews>
    <sheetView view="pageBreakPreview" zoomScaleNormal="100" zoomScaleSheetLayoutView="100" workbookViewId="0">
      <selection activeCell="E19" sqref="E19"/>
    </sheetView>
  </sheetViews>
  <sheetFormatPr defaultRowHeight="12.75" x14ac:dyDescent="0.2"/>
  <cols>
    <col min="1" max="1" width="31.42578125" bestFit="1" customWidth="1"/>
    <col min="2" max="2" width="11.5703125" customWidth="1"/>
    <col min="3" max="3" width="10" bestFit="1" customWidth="1"/>
    <col min="5" max="5" width="11" customWidth="1"/>
    <col min="6" max="6" width="11.5703125" bestFit="1" customWidth="1"/>
    <col min="7" max="8" width="11.140625" bestFit="1" customWidth="1"/>
  </cols>
  <sheetData>
    <row r="1" spans="1:7" x14ac:dyDescent="0.2">
      <c r="A1" s="2047" t="s">
        <v>1225</v>
      </c>
      <c r="B1" s="2047"/>
      <c r="C1" s="2047"/>
      <c r="D1" s="2047"/>
      <c r="E1" s="2047"/>
    </row>
    <row r="2" spans="1:7" x14ac:dyDescent="0.2">
      <c r="A2" s="621"/>
      <c r="B2" s="621"/>
      <c r="C2" s="10"/>
      <c r="D2" s="10"/>
      <c r="E2" s="10"/>
    </row>
    <row r="3" spans="1:7" ht="48" customHeight="1" x14ac:dyDescent="0.25">
      <c r="A3" s="622" t="s">
        <v>1226</v>
      </c>
      <c r="B3" s="671"/>
      <c r="C3" s="10"/>
      <c r="D3" s="10"/>
      <c r="E3" s="10"/>
    </row>
    <row r="4" spans="1:7" ht="13.5" thickBot="1" x14ac:dyDescent="0.25">
      <c r="A4" s="621"/>
      <c r="B4" s="624"/>
      <c r="C4" s="10"/>
      <c r="D4" s="10"/>
      <c r="E4" s="10"/>
    </row>
    <row r="5" spans="1:7" ht="17.25" customHeight="1" thickBot="1" x14ac:dyDescent="0.25">
      <c r="A5" s="625" t="s">
        <v>1227</v>
      </c>
      <c r="B5" s="626" t="s">
        <v>1267</v>
      </c>
      <c r="C5" s="627" t="s">
        <v>1034</v>
      </c>
      <c r="D5" s="628" t="s">
        <v>1266</v>
      </c>
      <c r="E5" s="629" t="s">
        <v>119</v>
      </c>
    </row>
    <row r="6" spans="1:7" ht="17.25" customHeight="1" x14ac:dyDescent="0.2">
      <c r="A6" s="630" t="s">
        <v>1228</v>
      </c>
      <c r="B6" s="631"/>
      <c r="C6" s="632"/>
      <c r="D6" s="633"/>
      <c r="E6" s="634">
        <f>SUM(B6:D6)</f>
        <v>0</v>
      </c>
    </row>
    <row r="7" spans="1:7" ht="17.25" customHeight="1" x14ac:dyDescent="0.2">
      <c r="A7" s="635" t="s">
        <v>1229</v>
      </c>
      <c r="B7" s="636"/>
      <c r="C7" s="637"/>
      <c r="D7" s="638"/>
      <c r="E7" s="639">
        <f t="shared" ref="E7:E12" si="0">SUM(B7:D7)</f>
        <v>0</v>
      </c>
    </row>
    <row r="8" spans="1:7" ht="17.25" customHeight="1" x14ac:dyDescent="0.2">
      <c r="A8" s="640" t="s">
        <v>1230</v>
      </c>
      <c r="B8" s="641"/>
      <c r="C8" s="642"/>
      <c r="D8" s="643"/>
      <c r="E8" s="639">
        <f t="shared" si="0"/>
        <v>0</v>
      </c>
      <c r="F8">
        <v>192217756</v>
      </c>
      <c r="G8" s="574">
        <f>+F8-E8</f>
        <v>192217756</v>
      </c>
    </row>
    <row r="9" spans="1:7" ht="17.25" customHeight="1" x14ac:dyDescent="0.2">
      <c r="A9" s="640" t="s">
        <v>1231</v>
      </c>
      <c r="B9" s="641"/>
      <c r="C9" s="642"/>
      <c r="D9" s="643"/>
      <c r="E9" s="639">
        <f t="shared" si="0"/>
        <v>0</v>
      </c>
    </row>
    <row r="10" spans="1:7" ht="17.25" customHeight="1" x14ac:dyDescent="0.2">
      <c r="A10" s="640" t="s">
        <v>1232</v>
      </c>
      <c r="B10" s="641"/>
      <c r="C10" s="642"/>
      <c r="D10" s="643"/>
      <c r="E10" s="639">
        <f t="shared" si="0"/>
        <v>0</v>
      </c>
    </row>
    <row r="11" spans="1:7" ht="17.25" customHeight="1" thickBot="1" x14ac:dyDescent="0.25">
      <c r="A11" s="640" t="s">
        <v>1233</v>
      </c>
      <c r="B11" s="641"/>
      <c r="C11" s="642"/>
      <c r="D11" s="643"/>
      <c r="E11" s="680">
        <f t="shared" si="0"/>
        <v>0</v>
      </c>
    </row>
    <row r="12" spans="1:7" ht="17.25" customHeight="1" thickBot="1" x14ac:dyDescent="0.25">
      <c r="A12" s="644" t="s">
        <v>1234</v>
      </c>
      <c r="B12" s="645">
        <f>SUM(B6:B11)</f>
        <v>0</v>
      </c>
      <c r="C12" s="646">
        <f>SUM(C6:C11)</f>
        <v>0</v>
      </c>
      <c r="D12" s="647"/>
      <c r="E12" s="681">
        <f t="shared" si="0"/>
        <v>0</v>
      </c>
    </row>
    <row r="13" spans="1:7" ht="17.25" customHeight="1" thickBot="1" x14ac:dyDescent="0.25">
      <c r="A13" s="648"/>
      <c r="B13" s="649"/>
      <c r="C13" s="10"/>
      <c r="D13" s="10"/>
      <c r="E13" s="10"/>
    </row>
    <row r="14" spans="1:7" ht="17.25" customHeight="1" thickBot="1" x14ac:dyDescent="0.25">
      <c r="A14" s="625" t="s">
        <v>1235</v>
      </c>
      <c r="B14" s="626" t="s">
        <v>1267</v>
      </c>
      <c r="C14" s="627" t="s">
        <v>1034</v>
      </c>
      <c r="D14" s="628" t="s">
        <v>1266</v>
      </c>
      <c r="E14" s="629" t="s">
        <v>119</v>
      </c>
    </row>
    <row r="15" spans="1:7" ht="17.25" customHeight="1" x14ac:dyDescent="0.2">
      <c r="A15" s="630" t="s">
        <v>1236</v>
      </c>
      <c r="B15" s="631"/>
      <c r="C15" s="632"/>
      <c r="D15" s="633"/>
      <c r="E15" s="634">
        <f>SUM(B15:D15)</f>
        <v>0</v>
      </c>
    </row>
    <row r="16" spans="1:7" ht="17.25" customHeight="1" x14ac:dyDescent="0.2">
      <c r="A16" s="650" t="s">
        <v>1237</v>
      </c>
      <c r="B16" s="651"/>
      <c r="C16" s="652"/>
      <c r="D16" s="653"/>
      <c r="E16" s="639">
        <f>SUM(B16:D16)</f>
        <v>0</v>
      </c>
    </row>
    <row r="17" spans="1:8" ht="17.25" customHeight="1" x14ac:dyDescent="0.2">
      <c r="A17" s="654" t="s">
        <v>1238</v>
      </c>
      <c r="B17" s="641"/>
      <c r="C17" s="642"/>
      <c r="D17" s="653"/>
      <c r="E17" s="639">
        <f>SUM(B17:D17)</f>
        <v>0</v>
      </c>
    </row>
    <row r="18" spans="1:8" ht="17.25" customHeight="1" thickBot="1" x14ac:dyDescent="0.25">
      <c r="A18" s="640" t="s">
        <v>1239</v>
      </c>
      <c r="B18" s="641"/>
      <c r="C18" s="642"/>
      <c r="D18" s="643"/>
      <c r="E18" s="680">
        <f>SUM(B18:D18)</f>
        <v>0</v>
      </c>
      <c r="H18">
        <v>62550811</v>
      </c>
    </row>
    <row r="19" spans="1:8" ht="17.25" customHeight="1" thickBot="1" x14ac:dyDescent="0.25">
      <c r="A19" s="644" t="s">
        <v>698</v>
      </c>
      <c r="B19" s="645">
        <f>SUM(B15:B18)</f>
        <v>0</v>
      </c>
      <c r="C19" s="645">
        <f>SUM(C15:C18)</f>
        <v>0</v>
      </c>
      <c r="D19" s="655"/>
      <c r="E19" s="681">
        <f>SUM(B19:D19)</f>
        <v>0</v>
      </c>
      <c r="F19" s="656"/>
      <c r="H19" s="574">
        <f>+H18-F19</f>
        <v>62550811</v>
      </c>
    </row>
    <row r="20" spans="1:8" x14ac:dyDescent="0.2">
      <c r="A20" s="621"/>
      <c r="B20" s="623"/>
      <c r="C20" s="305"/>
      <c r="D20" s="305"/>
      <c r="E20" s="305"/>
      <c r="F20" s="348"/>
      <c r="G20" s="574"/>
      <c r="H20" s="574">
        <f>+H19-430050</f>
        <v>62120761</v>
      </c>
    </row>
    <row r="21" spans="1:8" x14ac:dyDescent="0.2">
      <c r="A21" s="621"/>
      <c r="B21" s="623"/>
      <c r="C21" s="10"/>
      <c r="D21" s="10"/>
      <c r="E21" s="10"/>
    </row>
  </sheetData>
  <mergeCells count="1">
    <mergeCell ref="A1:E1"/>
  </mergeCells>
  <printOptions horizontalCentered="1"/>
  <pageMargins left="0.31496062992125984" right="0.31496062992125984" top="0.74803149606299213" bottom="0.74803149606299213" header="0.31496062992125984" footer="0.31496062992125984"/>
  <pageSetup paperSize="9" scale="93" orientation="portrait" r:id="rId1"/>
  <headerFooter>
    <oddHeader>&amp;C2022. évi költségvetés
&amp;R&amp;A</oddHeader>
    <oddFooter>&amp;C&amp;P/&amp;N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F35"/>
  <sheetViews>
    <sheetView view="pageBreakPreview" zoomScaleNormal="100" zoomScaleSheetLayoutView="100" workbookViewId="0">
      <selection activeCell="E19" sqref="E19"/>
    </sheetView>
  </sheetViews>
  <sheetFormatPr defaultRowHeight="12.75" x14ac:dyDescent="0.2"/>
  <cols>
    <col min="1" max="1" width="5" customWidth="1"/>
    <col min="2" max="2" width="28.85546875" customWidth="1"/>
    <col min="3" max="3" width="26" customWidth="1"/>
    <col min="4" max="4" width="16.7109375" customWidth="1"/>
    <col min="5" max="5" width="16.5703125" customWidth="1"/>
    <col min="6" max="6" width="16.42578125" customWidth="1"/>
    <col min="9" max="9" width="9.5703125" bestFit="1" customWidth="1"/>
    <col min="10" max="10" width="10.140625" bestFit="1" customWidth="1"/>
  </cols>
  <sheetData>
    <row r="1" spans="1:6" ht="15.75" x14ac:dyDescent="0.25">
      <c r="A1" s="2049" t="s">
        <v>1240</v>
      </c>
      <c r="B1" s="2049"/>
      <c r="C1" s="2049"/>
      <c r="D1" s="2049"/>
      <c r="E1" s="2049"/>
      <c r="F1" s="2049"/>
    </row>
    <row r="2" spans="1:6" ht="13.5" thickBot="1" x14ac:dyDescent="0.25">
      <c r="A2" s="10"/>
      <c r="B2" s="10"/>
      <c r="C2" s="10"/>
      <c r="D2" s="10"/>
      <c r="E2" s="10"/>
      <c r="F2" s="10"/>
    </row>
    <row r="3" spans="1:6" ht="25.5" x14ac:dyDescent="0.2">
      <c r="A3" s="657"/>
      <c r="B3" s="658" t="s">
        <v>1241</v>
      </c>
      <c r="C3" s="658" t="s">
        <v>1242</v>
      </c>
      <c r="D3" s="658" t="s">
        <v>1243</v>
      </c>
      <c r="E3" s="658" t="s">
        <v>1319</v>
      </c>
      <c r="F3" s="659" t="s">
        <v>1320</v>
      </c>
    </row>
    <row r="4" spans="1:6" ht="71.25" customHeight="1" x14ac:dyDescent="0.2">
      <c r="A4" s="660" t="s">
        <v>188</v>
      </c>
      <c r="B4" s="697" t="s">
        <v>1273</v>
      </c>
      <c r="C4" s="429" t="s">
        <v>1244</v>
      </c>
      <c r="D4" s="661">
        <v>480000000</v>
      </c>
      <c r="E4" s="661">
        <v>480000000</v>
      </c>
      <c r="F4" s="662">
        <f>+D4-E4</f>
        <v>0</v>
      </c>
    </row>
    <row r="5" spans="1:6" ht="71.25" customHeight="1" x14ac:dyDescent="0.2">
      <c r="A5" s="682" t="s">
        <v>189</v>
      </c>
      <c r="B5" s="670" t="s">
        <v>1262</v>
      </c>
      <c r="C5" s="670" t="s">
        <v>1268</v>
      </c>
      <c r="D5" s="683">
        <v>5000000</v>
      </c>
      <c r="E5" s="683">
        <v>5000000</v>
      </c>
      <c r="F5" s="684">
        <f>+D5-E5</f>
        <v>0</v>
      </c>
    </row>
    <row r="6" spans="1:6" ht="24" customHeight="1" thickBot="1" x14ac:dyDescent="0.25">
      <c r="A6" s="2050" t="s">
        <v>1184</v>
      </c>
      <c r="B6" s="2051"/>
      <c r="C6" s="2051"/>
      <c r="D6" s="686">
        <f>SUM(D4:D5)</f>
        <v>485000000</v>
      </c>
      <c r="E6" s="686">
        <f>SUM(E4:E5)</f>
        <v>485000000</v>
      </c>
      <c r="F6" s="685">
        <f>SUM(F4:F5)</f>
        <v>0</v>
      </c>
    </row>
    <row r="7" spans="1:6" x14ac:dyDescent="0.2">
      <c r="A7" s="663"/>
      <c r="B7" s="664"/>
      <c r="C7" s="665"/>
      <c r="D7" s="666"/>
      <c r="E7" s="666"/>
      <c r="F7" s="666"/>
    </row>
    <row r="8" spans="1:6" x14ac:dyDescent="0.2">
      <c r="A8" s="663"/>
      <c r="B8" s="664"/>
      <c r="C8" s="665"/>
      <c r="D8" s="666"/>
      <c r="E8" s="666"/>
      <c r="F8" s="666"/>
    </row>
    <row r="9" spans="1:6" x14ac:dyDescent="0.2">
      <c r="A9" s="663"/>
      <c r="B9" s="664"/>
      <c r="C9" s="665"/>
      <c r="D9" s="666"/>
      <c r="E9" s="666"/>
      <c r="F9" s="666"/>
    </row>
    <row r="10" spans="1:6" x14ac:dyDescent="0.2">
      <c r="A10" s="663"/>
      <c r="B10" s="664"/>
      <c r="C10" s="665"/>
      <c r="D10" s="666"/>
      <c r="E10" s="666"/>
      <c r="F10" s="666"/>
    </row>
    <row r="11" spans="1:6" x14ac:dyDescent="0.2">
      <c r="A11" s="663"/>
      <c r="B11" s="664"/>
      <c r="C11" s="665"/>
      <c r="D11" s="666"/>
      <c r="E11" s="666"/>
      <c r="F11" s="666"/>
    </row>
    <row r="12" spans="1:6" x14ac:dyDescent="0.2">
      <c r="A12" s="663"/>
      <c r="B12" s="664"/>
      <c r="C12" s="665"/>
      <c r="D12" s="666"/>
      <c r="E12" s="666"/>
      <c r="F12" s="666"/>
    </row>
    <row r="13" spans="1:6" x14ac:dyDescent="0.2">
      <c r="A13" s="663"/>
      <c r="B13" s="664"/>
      <c r="C13" s="665"/>
      <c r="D13" s="666"/>
      <c r="E13" s="666"/>
      <c r="F13" s="666"/>
    </row>
    <row r="14" spans="1:6" x14ac:dyDescent="0.2">
      <c r="A14" s="663"/>
      <c r="B14" s="664"/>
      <c r="C14" s="665"/>
      <c r="D14" s="666"/>
      <c r="E14" s="666"/>
      <c r="F14" s="666"/>
    </row>
    <row r="15" spans="1:6" x14ac:dyDescent="0.2">
      <c r="A15" s="663"/>
      <c r="D15" s="667"/>
      <c r="E15" s="667"/>
      <c r="F15" s="667"/>
    </row>
    <row r="16" spans="1:6" x14ac:dyDescent="0.2">
      <c r="A16" s="668"/>
      <c r="D16" s="667"/>
      <c r="E16" s="667"/>
      <c r="F16" s="667"/>
    </row>
    <row r="17" spans="1:6" x14ac:dyDescent="0.2">
      <c r="A17" s="668"/>
      <c r="D17" s="667"/>
      <c r="E17" s="667"/>
      <c r="F17" s="667"/>
    </row>
    <row r="18" spans="1:6" x14ac:dyDescent="0.2">
      <c r="A18" s="668"/>
      <c r="D18" s="667"/>
      <c r="E18" s="667"/>
      <c r="F18" s="667"/>
    </row>
    <row r="19" spans="1:6" x14ac:dyDescent="0.2">
      <c r="A19" s="668"/>
      <c r="D19" s="667"/>
      <c r="E19" s="667"/>
      <c r="F19" s="667"/>
    </row>
    <row r="20" spans="1:6" x14ac:dyDescent="0.2">
      <c r="D20" s="667"/>
      <c r="E20" s="667"/>
      <c r="F20" s="667"/>
    </row>
    <row r="21" spans="1:6" x14ac:dyDescent="0.2">
      <c r="D21" s="667"/>
      <c r="E21" s="667"/>
      <c r="F21" s="667"/>
    </row>
    <row r="22" spans="1:6" x14ac:dyDescent="0.2">
      <c r="D22" s="667"/>
      <c r="E22" s="667"/>
      <c r="F22" s="667"/>
    </row>
    <row r="23" spans="1:6" x14ac:dyDescent="0.2">
      <c r="D23" s="667"/>
      <c r="E23" s="667"/>
      <c r="F23" s="667"/>
    </row>
    <row r="24" spans="1:6" x14ac:dyDescent="0.2">
      <c r="D24" s="667"/>
      <c r="E24" s="667"/>
      <c r="F24" s="667"/>
    </row>
    <row r="25" spans="1:6" x14ac:dyDescent="0.2">
      <c r="D25" s="667"/>
      <c r="E25" s="667"/>
      <c r="F25" s="667"/>
    </row>
    <row r="26" spans="1:6" x14ac:dyDescent="0.2">
      <c r="D26" s="667"/>
      <c r="E26" s="667"/>
      <c r="F26" s="667"/>
    </row>
    <row r="27" spans="1:6" x14ac:dyDescent="0.2">
      <c r="D27" s="667"/>
      <c r="E27" s="667"/>
      <c r="F27" s="667"/>
    </row>
    <row r="28" spans="1:6" x14ac:dyDescent="0.2">
      <c r="D28" s="667"/>
      <c r="E28" s="667"/>
      <c r="F28" s="667"/>
    </row>
    <row r="29" spans="1:6" x14ac:dyDescent="0.2">
      <c r="D29" s="667"/>
      <c r="E29" s="667"/>
      <c r="F29" s="667"/>
    </row>
    <row r="30" spans="1:6" x14ac:dyDescent="0.2">
      <c r="D30" s="667"/>
      <c r="E30" s="667"/>
      <c r="F30" s="667"/>
    </row>
    <row r="31" spans="1:6" x14ac:dyDescent="0.2">
      <c r="D31" s="667"/>
      <c r="E31" s="667"/>
      <c r="F31" s="667"/>
    </row>
    <row r="32" spans="1:6" x14ac:dyDescent="0.2">
      <c r="D32" s="667"/>
      <c r="E32" s="667"/>
      <c r="F32" s="667"/>
    </row>
    <row r="33" spans="4:6" x14ac:dyDescent="0.2">
      <c r="D33" s="667"/>
      <c r="E33" s="667"/>
      <c r="F33" s="667"/>
    </row>
    <row r="34" spans="4:6" x14ac:dyDescent="0.2">
      <c r="D34" s="667"/>
      <c r="E34" s="667"/>
      <c r="F34" s="667"/>
    </row>
    <row r="35" spans="4:6" x14ac:dyDescent="0.2">
      <c r="D35" s="667"/>
      <c r="E35" s="667"/>
      <c r="F35" s="667"/>
    </row>
  </sheetData>
  <mergeCells count="2">
    <mergeCell ref="A1:F1"/>
    <mergeCell ref="A6:C6"/>
  </mergeCells>
  <printOptions horizontalCentered="1"/>
  <pageMargins left="0.70866141732283472" right="0.70866141732283472" top="0.74803149606299213" bottom="0.74803149606299213" header="0.31496062992125984" footer="0.31496062992125984"/>
  <pageSetup paperSize="9" orientation="landscape" r:id="rId1"/>
  <headerFooter>
    <oddHeader xml:space="preserve">&amp;C2022. évi költségvetés
&amp;R&amp;A
</oddHeader>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P51"/>
  <sheetViews>
    <sheetView view="pageBreakPreview" zoomScale="80" zoomScaleNormal="71" zoomScaleSheetLayoutView="80" workbookViewId="0">
      <pane xSplit="3" ySplit="8" topLeftCell="G24" activePane="bottomRight" state="frozen"/>
      <selection pane="topRight" activeCell="D1" sqref="D1"/>
      <selection pane="bottomLeft" activeCell="A8" sqref="A8"/>
      <selection pane="bottomRight" activeCell="I40" sqref="I40"/>
    </sheetView>
  </sheetViews>
  <sheetFormatPr defaultRowHeight="12.75" x14ac:dyDescent="0.2"/>
  <cols>
    <col min="1" max="1" width="6.28515625" style="23" bestFit="1" customWidth="1"/>
    <col min="2" max="2" width="64.85546875" style="23" customWidth="1"/>
    <col min="3" max="3" width="7.85546875" style="145" customWidth="1"/>
    <col min="4" max="4" width="20.140625" style="24" customWidth="1"/>
    <col min="5" max="5" width="17.85546875" style="24" customWidth="1"/>
    <col min="6" max="6" width="20.7109375" style="24" customWidth="1"/>
    <col min="7" max="7" width="20.5703125" style="24" customWidth="1"/>
    <col min="8" max="11" width="18.28515625" style="24" customWidth="1"/>
    <col min="12" max="12" width="16.5703125" style="24" customWidth="1"/>
    <col min="13" max="13" width="15.7109375" style="24" customWidth="1"/>
    <col min="14" max="14" width="20.5703125" style="24" customWidth="1"/>
    <col min="15" max="15" width="20.5703125" style="23" customWidth="1"/>
    <col min="16" max="16" width="13.42578125" style="23" bestFit="1" customWidth="1"/>
    <col min="17" max="16384" width="9.140625" style="23"/>
  </cols>
  <sheetData>
    <row r="1" spans="1:16" ht="15.75" x14ac:dyDescent="0.25">
      <c r="A1" s="195"/>
      <c r="B1" s="195"/>
      <c r="C1" s="196"/>
      <c r="D1" s="197"/>
      <c r="E1" s="197"/>
      <c r="F1" s="197"/>
      <c r="G1" s="198" t="s">
        <v>431</v>
      </c>
      <c r="H1" s="197"/>
      <c r="I1" s="197"/>
      <c r="K1" s="198" t="s">
        <v>431</v>
      </c>
      <c r="L1" s="197"/>
      <c r="M1" s="197"/>
      <c r="O1" s="198" t="s">
        <v>431</v>
      </c>
    </row>
    <row r="2" spans="1:16" ht="41.25" customHeight="1" x14ac:dyDescent="0.2">
      <c r="A2" s="1739" t="s">
        <v>137</v>
      </c>
      <c r="B2" s="1740"/>
      <c r="C2" s="1741"/>
      <c r="D2" s="1745" t="s">
        <v>3035</v>
      </c>
      <c r="E2" s="1746"/>
      <c r="F2" s="1746"/>
      <c r="G2" s="1747"/>
      <c r="H2" s="1745" t="s">
        <v>3035</v>
      </c>
      <c r="I2" s="1746"/>
      <c r="J2" s="1746"/>
      <c r="K2" s="1747"/>
      <c r="L2" s="1745" t="s">
        <v>3035</v>
      </c>
      <c r="M2" s="1746"/>
      <c r="N2" s="1746"/>
      <c r="O2" s="1747"/>
    </row>
    <row r="3" spans="1:16" ht="41.25" customHeight="1" x14ac:dyDescent="0.2">
      <c r="A3" s="1742"/>
      <c r="B3" s="1743"/>
      <c r="C3" s="1744"/>
      <c r="D3" s="1611" t="s">
        <v>273</v>
      </c>
      <c r="E3" s="1611" t="s">
        <v>1561</v>
      </c>
      <c r="F3" s="1611" t="s">
        <v>273</v>
      </c>
      <c r="G3" s="1611" t="s">
        <v>1561</v>
      </c>
      <c r="H3" s="1611" t="s">
        <v>273</v>
      </c>
      <c r="I3" s="1611" t="s">
        <v>1561</v>
      </c>
      <c r="J3" s="1611" t="s">
        <v>273</v>
      </c>
      <c r="K3" s="1611" t="s">
        <v>1561</v>
      </c>
      <c r="L3" s="1611" t="s">
        <v>273</v>
      </c>
      <c r="M3" s="1611" t="s">
        <v>1561</v>
      </c>
      <c r="N3" s="1611" t="s">
        <v>273</v>
      </c>
      <c r="O3" s="1611" t="s">
        <v>1561</v>
      </c>
    </row>
    <row r="4" spans="1:16" ht="95.25" customHeight="1" x14ac:dyDescent="0.2">
      <c r="A4" s="1748" t="s">
        <v>186</v>
      </c>
      <c r="B4" s="1749" t="s">
        <v>244</v>
      </c>
      <c r="C4" s="1749"/>
      <c r="D4" s="1604" t="s">
        <v>487</v>
      </c>
      <c r="E4" s="1604" t="s">
        <v>487</v>
      </c>
      <c r="F4" s="199" t="s">
        <v>181</v>
      </c>
      <c r="G4" s="199" t="s">
        <v>181</v>
      </c>
      <c r="H4" s="295" t="s">
        <v>866</v>
      </c>
      <c r="I4" s="295" t="s">
        <v>866</v>
      </c>
      <c r="J4" s="295" t="s">
        <v>866</v>
      </c>
      <c r="K4" s="295" t="s">
        <v>866</v>
      </c>
      <c r="L4" s="199" t="s">
        <v>185</v>
      </c>
      <c r="M4" s="199" t="s">
        <v>185</v>
      </c>
      <c r="N4" s="1750" t="s">
        <v>139</v>
      </c>
      <c r="O4" s="1750" t="s">
        <v>139</v>
      </c>
    </row>
    <row r="5" spans="1:16" ht="25.5" customHeight="1" x14ac:dyDescent="0.2">
      <c r="A5" s="1748"/>
      <c r="B5" s="1749" t="s">
        <v>11</v>
      </c>
      <c r="C5" s="1749"/>
      <c r="D5" s="1604" t="s">
        <v>222</v>
      </c>
      <c r="E5" s="1604" t="s">
        <v>222</v>
      </c>
      <c r="F5" s="1604" t="s">
        <v>222</v>
      </c>
      <c r="G5" s="1604" t="s">
        <v>222</v>
      </c>
      <c r="H5" s="1604" t="s">
        <v>222</v>
      </c>
      <c r="I5" s="1604" t="s">
        <v>222</v>
      </c>
      <c r="J5" s="1604" t="s">
        <v>222</v>
      </c>
      <c r="K5" s="1604" t="s">
        <v>222</v>
      </c>
      <c r="L5" s="1604" t="s">
        <v>222</v>
      </c>
      <c r="M5" s="1604" t="s">
        <v>222</v>
      </c>
      <c r="N5" s="1750"/>
      <c r="O5" s="1750"/>
    </row>
    <row r="6" spans="1:16" ht="16.899999999999999" customHeight="1" x14ac:dyDescent="0.2">
      <c r="A6" s="1748"/>
      <c r="B6" s="1719" t="s">
        <v>713</v>
      </c>
      <c r="C6" s="1719"/>
      <c r="D6" s="1738" t="s">
        <v>407</v>
      </c>
      <c r="E6" s="1738" t="s">
        <v>407</v>
      </c>
      <c r="F6" s="1738" t="s">
        <v>348</v>
      </c>
      <c r="G6" s="1738" t="s">
        <v>348</v>
      </c>
      <c r="H6" s="1738" t="s">
        <v>624</v>
      </c>
      <c r="I6" s="1738" t="s">
        <v>624</v>
      </c>
      <c r="J6" s="1738" t="s">
        <v>625</v>
      </c>
      <c r="K6" s="1738" t="s">
        <v>625</v>
      </c>
      <c r="L6" s="1752" t="s">
        <v>595</v>
      </c>
      <c r="M6" s="1752" t="s">
        <v>595</v>
      </c>
      <c r="N6" s="1750"/>
      <c r="O6" s="1750"/>
    </row>
    <row r="7" spans="1:16" ht="63.75" customHeight="1" x14ac:dyDescent="0.2">
      <c r="A7" s="1748"/>
      <c r="B7" s="1606" t="s">
        <v>187</v>
      </c>
      <c r="C7" s="144" t="s">
        <v>245</v>
      </c>
      <c r="D7" s="1738"/>
      <c r="E7" s="1738"/>
      <c r="F7" s="1738"/>
      <c r="G7" s="1738"/>
      <c r="H7" s="1738"/>
      <c r="I7" s="1738"/>
      <c r="J7" s="1738"/>
      <c r="K7" s="1738"/>
      <c r="L7" s="1753"/>
      <c r="M7" s="1753"/>
      <c r="N7" s="1750"/>
      <c r="O7" s="1750"/>
    </row>
    <row r="8" spans="1:16" ht="15.75" x14ac:dyDescent="0.2">
      <c r="A8" s="27" t="s">
        <v>188</v>
      </c>
      <c r="B8" s="28" t="s">
        <v>189</v>
      </c>
      <c r="C8" s="28" t="s">
        <v>190</v>
      </c>
      <c r="D8" s="419" t="s">
        <v>191</v>
      </c>
      <c r="E8" s="419" t="s">
        <v>192</v>
      </c>
      <c r="F8" s="419" t="s">
        <v>193</v>
      </c>
      <c r="G8" s="419" t="s">
        <v>194</v>
      </c>
      <c r="H8" s="419" t="s">
        <v>195</v>
      </c>
      <c r="I8" s="419" t="s">
        <v>196</v>
      </c>
      <c r="J8" s="419" t="s">
        <v>197</v>
      </c>
      <c r="K8" s="419" t="s">
        <v>198</v>
      </c>
      <c r="L8" s="419" t="s">
        <v>225</v>
      </c>
      <c r="M8" s="419" t="s">
        <v>226</v>
      </c>
      <c r="N8" s="419" t="s">
        <v>227</v>
      </c>
      <c r="O8" s="419" t="s">
        <v>228</v>
      </c>
    </row>
    <row r="9" spans="1:16" ht="21.75" customHeight="1" x14ac:dyDescent="0.25">
      <c r="A9" s="29" t="s">
        <v>188</v>
      </c>
      <c r="B9" s="26" t="s">
        <v>329</v>
      </c>
      <c r="C9" s="146" t="s">
        <v>199</v>
      </c>
      <c r="D9" s="201"/>
      <c r="E9" s="201"/>
      <c r="F9" s="201">
        <f>33078014+5640500</f>
        <v>38718514</v>
      </c>
      <c r="G9" s="201">
        <f>+F9-1732+1732-2453+2453-3463+3463-3809+3809+600000-2770+2770-33636+30000+3636-43463+40000+3463-7190+7190+300000-11737+11737-15810+15810-1500000+1500000-14163622+3636</f>
        <v>25458528</v>
      </c>
      <c r="H9" s="201">
        <v>172725966</v>
      </c>
      <c r="I9" s="201">
        <f>+H9-200000+200000-200000+200000+3750000-67000+67000+2500000-7853+7853-7401058+7134392+66666+200000-25281201+12581161+12500000+200040-1812876+14159986+100664+1705848+6364-429722+29722+400000</f>
        <v>193135952</v>
      </c>
      <c r="J9" s="201">
        <v>136500188</v>
      </c>
      <c r="K9" s="201">
        <f>+J9+2850000+1800000-9497+9497-14191182+4490303+9500000+200879-9904648+9904648-163000+163000</f>
        <v>141150188</v>
      </c>
      <c r="L9" s="201"/>
      <c r="M9" s="201"/>
      <c r="N9" s="201">
        <f>D9+F9+H9+J9+L9</f>
        <v>347944668</v>
      </c>
      <c r="O9" s="201">
        <f>E9+G9+I9+K9+M9</f>
        <v>359744668</v>
      </c>
      <c r="P9" s="94"/>
    </row>
    <row r="10" spans="1:16" ht="21.75" customHeight="1" x14ac:dyDescent="0.25">
      <c r="A10" s="29" t="s">
        <v>189</v>
      </c>
      <c r="B10" s="31" t="s">
        <v>200</v>
      </c>
      <c r="C10" s="146" t="s">
        <v>201</v>
      </c>
      <c r="D10" s="201"/>
      <c r="E10" s="201"/>
      <c r="F10" s="201">
        <f>4475142+768265</f>
        <v>5243407</v>
      </c>
      <c r="G10" s="201">
        <f>+F10+78000+84000-423537</f>
        <v>4981870</v>
      </c>
      <c r="H10" s="201">
        <f>23381876+4200000+100000+50000</f>
        <v>27731876</v>
      </c>
      <c r="I10" s="201">
        <f>+H10+487500+700000+423537</f>
        <v>29342913</v>
      </c>
      <c r="J10" s="201">
        <v>18497524</v>
      </c>
      <c r="K10" s="201">
        <f>+J10+370500+504000</f>
        <v>19372024</v>
      </c>
      <c r="L10" s="201"/>
      <c r="M10" s="201"/>
      <c r="N10" s="201">
        <f t="shared" ref="N10:N50" si="0">D10+F10+H10+J10+L10</f>
        <v>51472807</v>
      </c>
      <c r="O10" s="201">
        <f t="shared" ref="O10:O50" si="1">E10+G10+I10+K10+M10</f>
        <v>53696807</v>
      </c>
      <c r="P10" s="94"/>
    </row>
    <row r="11" spans="1:16" ht="21.75" customHeight="1" x14ac:dyDescent="0.25">
      <c r="A11" s="29" t="s">
        <v>190</v>
      </c>
      <c r="B11" s="31" t="s">
        <v>330</v>
      </c>
      <c r="C11" s="146" t="s">
        <v>202</v>
      </c>
      <c r="D11" s="201">
        <f>510300+279634+356691</f>
        <v>1146625</v>
      </c>
      <c r="E11" s="201">
        <f>+D11</f>
        <v>1146625</v>
      </c>
      <c r="F11" s="201">
        <f>+(34596240)+2211795+712809</f>
        <v>37520844</v>
      </c>
      <c r="G11" s="201">
        <f>+F11+56445+25+1000000+270000+600000+162000+2150000+540000+1905000-948726-231298</f>
        <v>43024290</v>
      </c>
      <c r="H11" s="201">
        <f>+(22624022)+58542+1051993</f>
        <v>23734557</v>
      </c>
      <c r="I11" s="201">
        <f>+H11-50000+10000+40000+229741+40280+10876-30000+30000+4979461+1344454+100000+236220+63780-15000+15000-500000-135000+1200000-100000+100000-250022</f>
        <v>31054347</v>
      </c>
      <c r="J11" s="201">
        <f>+(24017970)+69511+40640</f>
        <v>24128121</v>
      </c>
      <c r="K11" s="201">
        <f>+J11+55731+20000+138240+37325-50000+50000+30000+1023200+276264+121500+32805+784602+100000-97159</f>
        <v>26650629</v>
      </c>
      <c r="L11" s="201"/>
      <c r="M11" s="201"/>
      <c r="N11" s="201">
        <f t="shared" si="0"/>
        <v>86530147</v>
      </c>
      <c r="O11" s="201">
        <f t="shared" si="1"/>
        <v>101875891</v>
      </c>
      <c r="P11" s="94"/>
    </row>
    <row r="12" spans="1:16" ht="21.75" customHeight="1" x14ac:dyDescent="0.25">
      <c r="A12" s="29" t="s">
        <v>191</v>
      </c>
      <c r="B12" s="32" t="s">
        <v>331</v>
      </c>
      <c r="C12" s="146" t="s">
        <v>203</v>
      </c>
      <c r="D12" s="201"/>
      <c r="E12" s="201"/>
      <c r="F12" s="201"/>
      <c r="G12" s="201"/>
      <c r="H12" s="201"/>
      <c r="I12" s="201"/>
      <c r="J12" s="201"/>
      <c r="K12" s="201"/>
      <c r="L12" s="201"/>
      <c r="M12" s="201"/>
      <c r="N12" s="201">
        <f t="shared" si="0"/>
        <v>0</v>
      </c>
      <c r="O12" s="201">
        <f t="shared" si="1"/>
        <v>0</v>
      </c>
    </row>
    <row r="13" spans="1:16" ht="21.75" customHeight="1" x14ac:dyDescent="0.25">
      <c r="A13" s="29" t="s">
        <v>192</v>
      </c>
      <c r="B13" s="32" t="s">
        <v>234</v>
      </c>
      <c r="C13" s="146" t="s">
        <v>204</v>
      </c>
      <c r="D13" s="201">
        <f t="shared" ref="D13:M13" si="2">SUM(D14:D16)</f>
        <v>0</v>
      </c>
      <c r="E13" s="201">
        <f t="shared" si="2"/>
        <v>8466568</v>
      </c>
      <c r="F13" s="201">
        <f t="shared" si="2"/>
        <v>0</v>
      </c>
      <c r="G13" s="201">
        <f t="shared" si="2"/>
        <v>0</v>
      </c>
      <c r="H13" s="201">
        <f t="shared" si="2"/>
        <v>0</v>
      </c>
      <c r="I13" s="201">
        <f t="shared" si="2"/>
        <v>0</v>
      </c>
      <c r="J13" s="201">
        <f t="shared" si="2"/>
        <v>0</v>
      </c>
      <c r="K13" s="201">
        <f t="shared" si="2"/>
        <v>0</v>
      </c>
      <c r="L13" s="201">
        <f t="shared" si="2"/>
        <v>0</v>
      </c>
      <c r="M13" s="201">
        <f t="shared" si="2"/>
        <v>0</v>
      </c>
      <c r="N13" s="201">
        <f t="shared" si="0"/>
        <v>0</v>
      </c>
      <c r="O13" s="201">
        <f t="shared" si="1"/>
        <v>8466568</v>
      </c>
    </row>
    <row r="14" spans="1:16" ht="21.75" customHeight="1" x14ac:dyDescent="0.25">
      <c r="A14" s="29" t="s">
        <v>193</v>
      </c>
      <c r="B14" s="33" t="s">
        <v>126</v>
      </c>
      <c r="C14" s="146"/>
      <c r="D14" s="201"/>
      <c r="E14" s="201"/>
      <c r="F14" s="201"/>
      <c r="G14" s="201"/>
      <c r="H14" s="201"/>
      <c r="I14" s="201"/>
      <c r="J14" s="201"/>
      <c r="K14" s="201"/>
      <c r="L14" s="201"/>
      <c r="M14" s="201"/>
      <c r="N14" s="201">
        <f t="shared" si="0"/>
        <v>0</v>
      </c>
      <c r="O14" s="201">
        <f t="shared" si="1"/>
        <v>0</v>
      </c>
    </row>
    <row r="15" spans="1:16" ht="21.75" customHeight="1" x14ac:dyDescent="0.25">
      <c r="A15" s="29" t="s">
        <v>194</v>
      </c>
      <c r="B15" s="33" t="s">
        <v>116</v>
      </c>
      <c r="C15" s="147"/>
      <c r="D15" s="201"/>
      <c r="E15" s="201"/>
      <c r="F15" s="201"/>
      <c r="G15" s="201"/>
      <c r="H15" s="201"/>
      <c r="I15" s="201"/>
      <c r="J15" s="201"/>
      <c r="K15" s="201"/>
      <c r="L15" s="201"/>
      <c r="M15" s="201"/>
      <c r="N15" s="201">
        <f t="shared" si="0"/>
        <v>0</v>
      </c>
      <c r="O15" s="201">
        <f t="shared" si="1"/>
        <v>0</v>
      </c>
    </row>
    <row r="16" spans="1:16" ht="21.75" customHeight="1" x14ac:dyDescent="0.25">
      <c r="A16" s="29" t="s">
        <v>195</v>
      </c>
      <c r="B16" s="103" t="s">
        <v>550</v>
      </c>
      <c r="C16" s="147"/>
      <c r="D16" s="201"/>
      <c r="E16" s="201">
        <v>8466568</v>
      </c>
      <c r="F16" s="201"/>
      <c r="G16" s="201"/>
      <c r="H16" s="201"/>
      <c r="I16" s="201"/>
      <c r="J16" s="201"/>
      <c r="K16" s="201"/>
      <c r="L16" s="201"/>
      <c r="M16" s="201"/>
      <c r="N16" s="201">
        <f t="shared" si="0"/>
        <v>0</v>
      </c>
      <c r="O16" s="201">
        <f t="shared" si="1"/>
        <v>8466568</v>
      </c>
    </row>
    <row r="17" spans="1:15" ht="21.75" customHeight="1" x14ac:dyDescent="0.25">
      <c r="A17" s="29" t="s">
        <v>196</v>
      </c>
      <c r="B17" s="35" t="s">
        <v>241</v>
      </c>
      <c r="C17" s="146" t="s">
        <v>205</v>
      </c>
      <c r="D17" s="201"/>
      <c r="E17" s="201"/>
      <c r="F17" s="201">
        <f>+'6.sz. Beruházások'!D147</f>
        <v>274890</v>
      </c>
      <c r="G17" s="201">
        <f>+F17</f>
        <v>274890</v>
      </c>
      <c r="H17" s="203">
        <f>+'6.sz. Beruházások'!D148</f>
        <v>635000</v>
      </c>
      <c r="I17" s="203">
        <f>+H17+500000+135000</f>
        <v>1270000</v>
      </c>
      <c r="J17" s="201">
        <f>+'6.sz. Beruházások'!D149</f>
        <v>508000</v>
      </c>
      <c r="K17" s="201">
        <f>+J17+121760+32875+13937+1461-236142+236142</f>
        <v>678033</v>
      </c>
      <c r="L17" s="201"/>
      <c r="M17" s="201"/>
      <c r="N17" s="201">
        <f t="shared" si="0"/>
        <v>1417890</v>
      </c>
      <c r="O17" s="201">
        <f t="shared" si="1"/>
        <v>2222923</v>
      </c>
    </row>
    <row r="18" spans="1:15" ht="21.75" customHeight="1" x14ac:dyDescent="0.25">
      <c r="A18" s="29" t="s">
        <v>197</v>
      </c>
      <c r="B18" s="32" t="s">
        <v>332</v>
      </c>
      <c r="C18" s="146" t="s">
        <v>206</v>
      </c>
      <c r="D18" s="201"/>
      <c r="E18" s="201"/>
      <c r="F18" s="201"/>
      <c r="G18" s="201"/>
      <c r="H18" s="201"/>
      <c r="I18" s="201"/>
      <c r="J18" s="201"/>
      <c r="K18" s="201"/>
      <c r="L18" s="201"/>
      <c r="M18" s="201"/>
      <c r="N18" s="201">
        <f t="shared" si="0"/>
        <v>0</v>
      </c>
      <c r="O18" s="201">
        <f t="shared" si="1"/>
        <v>0</v>
      </c>
    </row>
    <row r="19" spans="1:15" ht="21.75" customHeight="1" x14ac:dyDescent="0.25">
      <c r="A19" s="29" t="s">
        <v>198</v>
      </c>
      <c r="B19" s="32" t="s">
        <v>235</v>
      </c>
      <c r="C19" s="146" t="s">
        <v>207</v>
      </c>
      <c r="D19" s="201"/>
      <c r="E19" s="201"/>
      <c r="F19" s="201"/>
      <c r="G19" s="201"/>
      <c r="H19" s="201"/>
      <c r="I19" s="201"/>
      <c r="J19" s="201"/>
      <c r="K19" s="201"/>
      <c r="L19" s="201"/>
      <c r="M19" s="201"/>
      <c r="N19" s="201">
        <f t="shared" si="0"/>
        <v>0</v>
      </c>
      <c r="O19" s="201">
        <f t="shared" si="1"/>
        <v>0</v>
      </c>
    </row>
    <row r="20" spans="1:15" ht="21.75" customHeight="1" x14ac:dyDescent="0.25">
      <c r="A20" s="29" t="s">
        <v>225</v>
      </c>
      <c r="B20" s="33" t="s">
        <v>125</v>
      </c>
      <c r="C20" s="146"/>
      <c r="D20" s="201"/>
      <c r="E20" s="201"/>
      <c r="F20" s="201"/>
      <c r="G20" s="201"/>
      <c r="H20" s="201"/>
      <c r="I20" s="201"/>
      <c r="J20" s="201"/>
      <c r="K20" s="201"/>
      <c r="L20" s="201"/>
      <c r="M20" s="201"/>
      <c r="N20" s="201">
        <f t="shared" si="0"/>
        <v>0</v>
      </c>
      <c r="O20" s="201">
        <f t="shared" si="1"/>
        <v>0</v>
      </c>
    </row>
    <row r="21" spans="1:15" ht="21.75" customHeight="1" x14ac:dyDescent="0.25">
      <c r="A21" s="29" t="s">
        <v>226</v>
      </c>
      <c r="B21" s="35" t="s">
        <v>236</v>
      </c>
      <c r="C21" s="146" t="s">
        <v>208</v>
      </c>
      <c r="D21" s="202">
        <f t="shared" ref="D21:M21" si="3">+D9+D10+D11+D12+D13+D17+D18+D19</f>
        <v>1146625</v>
      </c>
      <c r="E21" s="202">
        <f t="shared" si="3"/>
        <v>9613193</v>
      </c>
      <c r="F21" s="202">
        <f t="shared" si="3"/>
        <v>81757655</v>
      </c>
      <c r="G21" s="202">
        <f t="shared" si="3"/>
        <v>73739578</v>
      </c>
      <c r="H21" s="202">
        <f t="shared" si="3"/>
        <v>224827399</v>
      </c>
      <c r="I21" s="202">
        <f t="shared" si="3"/>
        <v>254803212</v>
      </c>
      <c r="J21" s="202">
        <f t="shared" si="3"/>
        <v>179633833</v>
      </c>
      <c r="K21" s="202">
        <f t="shared" si="3"/>
        <v>187850874</v>
      </c>
      <c r="L21" s="202">
        <f t="shared" si="3"/>
        <v>0</v>
      </c>
      <c r="M21" s="202">
        <f t="shared" si="3"/>
        <v>0</v>
      </c>
      <c r="N21" s="202">
        <f t="shared" si="0"/>
        <v>487365512</v>
      </c>
      <c r="O21" s="202">
        <f t="shared" si="1"/>
        <v>526006857</v>
      </c>
    </row>
    <row r="22" spans="1:15" ht="21.75" customHeight="1" x14ac:dyDescent="0.25">
      <c r="A22" s="29" t="s">
        <v>227</v>
      </c>
      <c r="B22" s="35" t="s">
        <v>221</v>
      </c>
      <c r="C22" s="146" t="s">
        <v>217</v>
      </c>
      <c r="D22" s="201">
        <f t="shared" ref="D22:M22" si="4">SUM(D23:D26)</f>
        <v>0</v>
      </c>
      <c r="E22" s="201">
        <f t="shared" si="4"/>
        <v>0</v>
      </c>
      <c r="F22" s="201">
        <f t="shared" si="4"/>
        <v>0</v>
      </c>
      <c r="G22" s="201">
        <f t="shared" si="4"/>
        <v>0</v>
      </c>
      <c r="H22" s="201">
        <f t="shared" si="4"/>
        <v>0</v>
      </c>
      <c r="I22" s="201">
        <f t="shared" si="4"/>
        <v>0</v>
      </c>
      <c r="J22" s="201">
        <f t="shared" si="4"/>
        <v>0</v>
      </c>
      <c r="K22" s="201">
        <f t="shared" si="4"/>
        <v>0</v>
      </c>
      <c r="L22" s="201">
        <f t="shared" si="4"/>
        <v>0</v>
      </c>
      <c r="M22" s="201">
        <f t="shared" si="4"/>
        <v>0</v>
      </c>
      <c r="N22" s="201">
        <f t="shared" si="0"/>
        <v>0</v>
      </c>
      <c r="O22" s="201">
        <f t="shared" si="1"/>
        <v>0</v>
      </c>
    </row>
    <row r="23" spans="1:15" ht="21.75" customHeight="1" x14ac:dyDescent="0.25">
      <c r="A23" s="29" t="s">
        <v>228</v>
      </c>
      <c r="B23" s="105" t="s">
        <v>183</v>
      </c>
      <c r="C23" s="147"/>
      <c r="D23" s="201"/>
      <c r="E23" s="201"/>
      <c r="F23" s="201"/>
      <c r="G23" s="201"/>
      <c r="H23" s="201"/>
      <c r="I23" s="201"/>
      <c r="J23" s="201"/>
      <c r="K23" s="201"/>
      <c r="L23" s="201"/>
      <c r="M23" s="201"/>
      <c r="N23" s="201">
        <f t="shared" si="0"/>
        <v>0</v>
      </c>
      <c r="O23" s="201">
        <f t="shared" si="1"/>
        <v>0</v>
      </c>
    </row>
    <row r="24" spans="1:15" ht="21.75" customHeight="1" x14ac:dyDescent="0.25">
      <c r="A24" s="29" t="s">
        <v>229</v>
      </c>
      <c r="B24" s="36" t="s">
        <v>553</v>
      </c>
      <c r="C24" s="147"/>
      <c r="D24" s="201"/>
      <c r="E24" s="201"/>
      <c r="F24" s="201"/>
      <c r="G24" s="201"/>
      <c r="H24" s="201"/>
      <c r="I24" s="201"/>
      <c r="J24" s="201"/>
      <c r="K24" s="201"/>
      <c r="L24" s="201"/>
      <c r="M24" s="201"/>
      <c r="N24" s="201">
        <f t="shared" si="0"/>
        <v>0</v>
      </c>
      <c r="O24" s="201">
        <f t="shared" si="1"/>
        <v>0</v>
      </c>
    </row>
    <row r="25" spans="1:15" ht="21.75" customHeight="1" x14ac:dyDescent="0.25">
      <c r="A25" s="29" t="s">
        <v>230</v>
      </c>
      <c r="B25" s="36" t="s">
        <v>554</v>
      </c>
      <c r="C25" s="147"/>
      <c r="D25" s="201"/>
      <c r="E25" s="201"/>
      <c r="F25" s="201"/>
      <c r="G25" s="201"/>
      <c r="H25" s="201"/>
      <c r="I25" s="201"/>
      <c r="J25" s="201"/>
      <c r="K25" s="201"/>
      <c r="L25" s="201"/>
      <c r="M25" s="201"/>
      <c r="N25" s="201">
        <f t="shared" si="0"/>
        <v>0</v>
      </c>
      <c r="O25" s="201">
        <f t="shared" si="1"/>
        <v>0</v>
      </c>
    </row>
    <row r="26" spans="1:15" ht="21.75" customHeight="1" x14ac:dyDescent="0.25">
      <c r="A26" s="29" t="s">
        <v>231</v>
      </c>
      <c r="B26" s="36" t="s">
        <v>127</v>
      </c>
      <c r="C26" s="147"/>
      <c r="D26" s="201"/>
      <c r="E26" s="201"/>
      <c r="F26" s="201"/>
      <c r="G26" s="201"/>
      <c r="H26" s="201"/>
      <c r="I26" s="201"/>
      <c r="J26" s="201"/>
      <c r="K26" s="201"/>
      <c r="L26" s="201"/>
      <c r="M26" s="201"/>
      <c r="N26" s="201">
        <f t="shared" si="0"/>
        <v>0</v>
      </c>
      <c r="O26" s="201">
        <f t="shared" si="1"/>
        <v>0</v>
      </c>
    </row>
    <row r="27" spans="1:15" ht="21.75" customHeight="1" x14ac:dyDescent="0.25">
      <c r="A27" s="29" t="s">
        <v>232</v>
      </c>
      <c r="B27" s="267" t="s">
        <v>816</v>
      </c>
      <c r="C27" s="147"/>
      <c r="D27" s="201"/>
      <c r="E27" s="201"/>
      <c r="F27" s="201"/>
      <c r="G27" s="201"/>
      <c r="H27" s="201"/>
      <c r="I27" s="201"/>
      <c r="J27" s="201"/>
      <c r="K27" s="201"/>
      <c r="L27" s="201"/>
      <c r="M27" s="201"/>
      <c r="N27" s="201">
        <f t="shared" si="0"/>
        <v>0</v>
      </c>
      <c r="O27" s="201">
        <f t="shared" si="1"/>
        <v>0</v>
      </c>
    </row>
    <row r="28" spans="1:15" s="38" customFormat="1" ht="21.75" customHeight="1" x14ac:dyDescent="0.25">
      <c r="A28" s="29" t="s">
        <v>233</v>
      </c>
      <c r="B28" s="37" t="s">
        <v>32</v>
      </c>
      <c r="C28" s="146"/>
      <c r="D28" s="202">
        <f t="shared" ref="D28:M28" si="5">+D9+D10+D11+D12+D13+D23+D24</f>
        <v>1146625</v>
      </c>
      <c r="E28" s="202">
        <f t="shared" si="5"/>
        <v>9613193</v>
      </c>
      <c r="F28" s="202">
        <f t="shared" si="5"/>
        <v>81482765</v>
      </c>
      <c r="G28" s="202">
        <f t="shared" si="5"/>
        <v>73464688</v>
      </c>
      <c r="H28" s="202">
        <f t="shared" si="5"/>
        <v>224192399</v>
      </c>
      <c r="I28" s="202">
        <f t="shared" si="5"/>
        <v>253533212</v>
      </c>
      <c r="J28" s="202">
        <f t="shared" si="5"/>
        <v>179125833</v>
      </c>
      <c r="K28" s="202">
        <f t="shared" si="5"/>
        <v>187172841</v>
      </c>
      <c r="L28" s="202">
        <f t="shared" si="5"/>
        <v>0</v>
      </c>
      <c r="M28" s="202">
        <f t="shared" si="5"/>
        <v>0</v>
      </c>
      <c r="N28" s="202">
        <f t="shared" si="0"/>
        <v>485947622</v>
      </c>
      <c r="O28" s="202">
        <f t="shared" si="1"/>
        <v>523783934</v>
      </c>
    </row>
    <row r="29" spans="1:15" s="38" customFormat="1" ht="21.75" customHeight="1" x14ac:dyDescent="0.25">
      <c r="A29" s="29" t="s">
        <v>260</v>
      </c>
      <c r="B29" s="37" t="s">
        <v>33</v>
      </c>
      <c r="C29" s="146"/>
      <c r="D29" s="202">
        <f t="shared" ref="D29:M29" si="6">+D17+D18+D19+D25+D26</f>
        <v>0</v>
      </c>
      <c r="E29" s="202">
        <f t="shared" si="6"/>
        <v>0</v>
      </c>
      <c r="F29" s="202">
        <f t="shared" si="6"/>
        <v>274890</v>
      </c>
      <c r="G29" s="202">
        <f t="shared" si="6"/>
        <v>274890</v>
      </c>
      <c r="H29" s="202">
        <f t="shared" si="6"/>
        <v>635000</v>
      </c>
      <c r="I29" s="202">
        <f t="shared" si="6"/>
        <v>1270000</v>
      </c>
      <c r="J29" s="202">
        <f t="shared" si="6"/>
        <v>508000</v>
      </c>
      <c r="K29" s="202">
        <f t="shared" si="6"/>
        <v>678033</v>
      </c>
      <c r="L29" s="202">
        <f t="shared" si="6"/>
        <v>0</v>
      </c>
      <c r="M29" s="202">
        <f t="shared" si="6"/>
        <v>0</v>
      </c>
      <c r="N29" s="202">
        <f t="shared" si="0"/>
        <v>1417890</v>
      </c>
      <c r="O29" s="202">
        <f t="shared" si="1"/>
        <v>2222923</v>
      </c>
    </row>
    <row r="30" spans="1:15" s="38" customFormat="1" ht="21.75" customHeight="1" x14ac:dyDescent="0.25">
      <c r="A30" s="29" t="s">
        <v>261</v>
      </c>
      <c r="B30" s="37" t="s">
        <v>327</v>
      </c>
      <c r="C30" s="146" t="s">
        <v>31</v>
      </c>
      <c r="D30" s="202">
        <f t="shared" ref="D30:M30" si="7">SUM(D28:D29)</f>
        <v>1146625</v>
      </c>
      <c r="E30" s="202">
        <f t="shared" si="7"/>
        <v>9613193</v>
      </c>
      <c r="F30" s="202">
        <f t="shared" si="7"/>
        <v>81757655</v>
      </c>
      <c r="G30" s="202">
        <f t="shared" si="7"/>
        <v>73739578</v>
      </c>
      <c r="H30" s="202">
        <f t="shared" si="7"/>
        <v>224827399</v>
      </c>
      <c r="I30" s="202">
        <f t="shared" si="7"/>
        <v>254803212</v>
      </c>
      <c r="J30" s="202">
        <f t="shared" si="7"/>
        <v>179633833</v>
      </c>
      <c r="K30" s="202">
        <f t="shared" si="7"/>
        <v>187850874</v>
      </c>
      <c r="L30" s="202">
        <f t="shared" si="7"/>
        <v>0</v>
      </c>
      <c r="M30" s="202">
        <f t="shared" si="7"/>
        <v>0</v>
      </c>
      <c r="N30" s="202">
        <f t="shared" si="0"/>
        <v>487365512</v>
      </c>
      <c r="O30" s="202">
        <f t="shared" si="1"/>
        <v>526006857</v>
      </c>
    </row>
    <row r="31" spans="1:15" ht="21.75" customHeight="1" x14ac:dyDescent="0.25">
      <c r="A31" s="29" t="s">
        <v>262</v>
      </c>
      <c r="B31" s="31" t="s">
        <v>52</v>
      </c>
      <c r="C31" s="35" t="s">
        <v>209</v>
      </c>
      <c r="D31" s="201"/>
      <c r="E31" s="201"/>
      <c r="F31" s="201"/>
      <c r="G31" s="201"/>
      <c r="H31" s="201"/>
      <c r="I31" s="201"/>
      <c r="J31" s="201"/>
      <c r="K31" s="201"/>
      <c r="L31" s="201"/>
      <c r="M31" s="201"/>
      <c r="N31" s="201">
        <f t="shared" si="0"/>
        <v>0</v>
      </c>
      <c r="O31" s="201">
        <f t="shared" si="1"/>
        <v>0</v>
      </c>
    </row>
    <row r="32" spans="1:15" ht="21.75" customHeight="1" x14ac:dyDescent="0.25">
      <c r="A32" s="29" t="s">
        <v>263</v>
      </c>
      <c r="B32" s="31" t="s">
        <v>220</v>
      </c>
      <c r="C32" s="35" t="s">
        <v>210</v>
      </c>
      <c r="D32" s="201"/>
      <c r="E32" s="201"/>
      <c r="F32" s="201"/>
      <c r="G32" s="201"/>
      <c r="H32" s="201"/>
      <c r="I32" s="201"/>
      <c r="J32" s="201"/>
      <c r="K32" s="201"/>
      <c r="L32" s="201"/>
      <c r="M32" s="201"/>
      <c r="N32" s="201">
        <f t="shared" si="0"/>
        <v>0</v>
      </c>
      <c r="O32" s="201">
        <f t="shared" si="1"/>
        <v>0</v>
      </c>
    </row>
    <row r="33" spans="1:15" ht="21.75" customHeight="1" x14ac:dyDescent="0.25">
      <c r="A33" s="29" t="s">
        <v>264</v>
      </c>
      <c r="B33" s="31" t="s">
        <v>219</v>
      </c>
      <c r="C33" s="35" t="s">
        <v>211</v>
      </c>
      <c r="D33" s="201"/>
      <c r="E33" s="201"/>
      <c r="F33" s="201"/>
      <c r="G33" s="201"/>
      <c r="H33" s="201"/>
      <c r="I33" s="201"/>
      <c r="J33" s="201"/>
      <c r="K33" s="201"/>
      <c r="L33" s="201"/>
      <c r="M33" s="201"/>
      <c r="N33" s="201">
        <f t="shared" si="0"/>
        <v>0</v>
      </c>
      <c r="O33" s="201">
        <f t="shared" si="1"/>
        <v>0</v>
      </c>
    </row>
    <row r="34" spans="1:15" ht="21.75" customHeight="1" x14ac:dyDescent="0.25">
      <c r="A34" s="29" t="s">
        <v>265</v>
      </c>
      <c r="B34" s="32" t="s">
        <v>0</v>
      </c>
      <c r="C34" s="35" t="s">
        <v>212</v>
      </c>
      <c r="D34" s="201"/>
      <c r="E34" s="201"/>
      <c r="F34" s="203">
        <v>6351100</v>
      </c>
      <c r="G34" s="203">
        <f>+F34+280860+75831+56445+25+1000000+270000+600000+162000+2000000+540000+150000+1500000+405000-856582-231298-99-92045</f>
        <v>12211237</v>
      </c>
      <c r="H34" s="203">
        <v>4800100</v>
      </c>
      <c r="I34" s="203">
        <f>+H34+510300+229741+100000+300000+1200000-81850-89-168083</f>
        <v>6890119</v>
      </c>
      <c r="J34" s="203">
        <v>4500000</v>
      </c>
      <c r="K34" s="203">
        <f>+J34+279634+75731+30000+800000+100000-69150-28009</f>
        <v>5688206</v>
      </c>
      <c r="L34" s="201">
        <f>510300+279634+356691</f>
        <v>1146625</v>
      </c>
      <c r="M34" s="201">
        <f>+L34-1070794-75831</f>
        <v>0</v>
      </c>
      <c r="N34" s="201">
        <f t="shared" si="0"/>
        <v>16797825</v>
      </c>
      <c r="O34" s="201">
        <f t="shared" si="1"/>
        <v>24789562</v>
      </c>
    </row>
    <row r="35" spans="1:15" ht="21.75" customHeight="1" x14ac:dyDescent="0.25">
      <c r="A35" s="29" t="s">
        <v>266</v>
      </c>
      <c r="B35" s="31" t="s">
        <v>242</v>
      </c>
      <c r="C35" s="35" t="s">
        <v>213</v>
      </c>
      <c r="D35" s="201"/>
      <c r="E35" s="201"/>
      <c r="F35" s="201"/>
      <c r="G35" s="201"/>
      <c r="H35" s="201"/>
      <c r="I35" s="201"/>
      <c r="J35" s="201"/>
      <c r="K35" s="201"/>
      <c r="L35" s="201"/>
      <c r="M35" s="201"/>
      <c r="N35" s="201">
        <f t="shared" si="0"/>
        <v>0</v>
      </c>
      <c r="O35" s="201">
        <f t="shared" si="1"/>
        <v>0</v>
      </c>
    </row>
    <row r="36" spans="1:15" ht="21.75" customHeight="1" x14ac:dyDescent="0.25">
      <c r="A36" s="29" t="s">
        <v>267</v>
      </c>
      <c r="B36" s="31" t="s">
        <v>237</v>
      </c>
      <c r="C36" s="35" t="s">
        <v>214</v>
      </c>
      <c r="D36" s="201"/>
      <c r="E36" s="201"/>
      <c r="F36" s="201"/>
      <c r="G36" s="201"/>
      <c r="H36" s="201"/>
      <c r="I36" s="201"/>
      <c r="J36" s="201"/>
      <c r="K36" s="201"/>
      <c r="L36" s="201"/>
      <c r="M36" s="201"/>
      <c r="N36" s="201">
        <f t="shared" si="0"/>
        <v>0</v>
      </c>
      <c r="O36" s="201">
        <f t="shared" si="1"/>
        <v>0</v>
      </c>
    </row>
    <row r="37" spans="1:15" ht="21.75" customHeight="1" x14ac:dyDescent="0.25">
      <c r="A37" s="29" t="s">
        <v>268</v>
      </c>
      <c r="B37" s="31" t="s">
        <v>238</v>
      </c>
      <c r="C37" s="35" t="s">
        <v>215</v>
      </c>
      <c r="D37" s="201"/>
      <c r="E37" s="201"/>
      <c r="F37" s="201"/>
      <c r="G37" s="201"/>
      <c r="H37" s="201"/>
      <c r="I37" s="201"/>
      <c r="J37" s="201"/>
      <c r="K37" s="201"/>
      <c r="L37" s="201"/>
      <c r="M37" s="201"/>
      <c r="N37" s="201">
        <f t="shared" si="0"/>
        <v>0</v>
      </c>
      <c r="O37" s="201">
        <f t="shared" si="1"/>
        <v>0</v>
      </c>
    </row>
    <row r="38" spans="1:15" ht="21.75" customHeight="1" x14ac:dyDescent="0.25">
      <c r="A38" s="29" t="s">
        <v>269</v>
      </c>
      <c r="B38" s="32" t="s">
        <v>239</v>
      </c>
      <c r="C38" s="35" t="s">
        <v>216</v>
      </c>
      <c r="D38" s="202">
        <f t="shared" ref="D38:M38" si="8">+D31+D32+D33+D34+D35+D36+D37</f>
        <v>0</v>
      </c>
      <c r="E38" s="202">
        <f t="shared" si="8"/>
        <v>0</v>
      </c>
      <c r="F38" s="202">
        <f t="shared" si="8"/>
        <v>6351100</v>
      </c>
      <c r="G38" s="202">
        <f t="shared" si="8"/>
        <v>12211237</v>
      </c>
      <c r="H38" s="202">
        <f t="shared" si="8"/>
        <v>4800100</v>
      </c>
      <c r="I38" s="202">
        <f t="shared" si="8"/>
        <v>6890119</v>
      </c>
      <c r="J38" s="202">
        <f t="shared" si="8"/>
        <v>4500000</v>
      </c>
      <c r="K38" s="202">
        <f t="shared" si="8"/>
        <v>5688206</v>
      </c>
      <c r="L38" s="202">
        <f t="shared" si="8"/>
        <v>1146625</v>
      </c>
      <c r="M38" s="202">
        <f t="shared" si="8"/>
        <v>0</v>
      </c>
      <c r="N38" s="202">
        <f t="shared" si="0"/>
        <v>16797825</v>
      </c>
      <c r="O38" s="202">
        <f t="shared" si="1"/>
        <v>24789562</v>
      </c>
    </row>
    <row r="39" spans="1:15" ht="21.75" customHeight="1" x14ac:dyDescent="0.25">
      <c r="A39" s="29" t="s">
        <v>270</v>
      </c>
      <c r="B39" s="35" t="s">
        <v>240</v>
      </c>
      <c r="C39" s="146" t="s">
        <v>218</v>
      </c>
      <c r="D39" s="201">
        <f t="shared" ref="D39:M39" si="9">SUM(D41:D45)</f>
        <v>470567687</v>
      </c>
      <c r="E39" s="201">
        <f t="shared" si="9"/>
        <v>501217295</v>
      </c>
      <c r="F39" s="201">
        <f t="shared" si="9"/>
        <v>0</v>
      </c>
      <c r="G39" s="201">
        <f t="shared" si="9"/>
        <v>0</v>
      </c>
      <c r="H39" s="201">
        <f t="shared" si="9"/>
        <v>0</v>
      </c>
      <c r="I39" s="201">
        <f t="shared" si="9"/>
        <v>0</v>
      </c>
      <c r="J39" s="201">
        <f t="shared" si="9"/>
        <v>0</v>
      </c>
      <c r="K39" s="201">
        <f t="shared" si="9"/>
        <v>0</v>
      </c>
      <c r="L39" s="201">
        <f t="shared" si="9"/>
        <v>0</v>
      </c>
      <c r="M39" s="201">
        <f t="shared" si="9"/>
        <v>0</v>
      </c>
      <c r="N39" s="201">
        <f t="shared" si="0"/>
        <v>470567687</v>
      </c>
      <c r="O39" s="201">
        <f t="shared" si="1"/>
        <v>501217295</v>
      </c>
    </row>
    <row r="40" spans="1:15" ht="21.75" customHeight="1" x14ac:dyDescent="0.25">
      <c r="A40" s="29" t="s">
        <v>271</v>
      </c>
      <c r="B40" s="105" t="s">
        <v>566</v>
      </c>
      <c r="C40" s="146"/>
      <c r="D40" s="201"/>
      <c r="E40" s="201"/>
      <c r="F40" s="201"/>
      <c r="G40" s="201"/>
      <c r="H40" s="201"/>
      <c r="I40" s="201"/>
      <c r="J40" s="201"/>
      <c r="K40" s="201"/>
      <c r="L40" s="201"/>
      <c r="M40" s="201"/>
      <c r="N40" s="201">
        <f t="shared" si="0"/>
        <v>0</v>
      </c>
      <c r="O40" s="201">
        <f t="shared" si="1"/>
        <v>0</v>
      </c>
    </row>
    <row r="41" spans="1:15" ht="21.75" customHeight="1" x14ac:dyDescent="0.25">
      <c r="A41" s="29" t="s">
        <v>272</v>
      </c>
      <c r="B41" s="36" t="s">
        <v>846</v>
      </c>
      <c r="C41" s="147"/>
      <c r="D41" s="201">
        <f>2339848+1805442</f>
        <v>4145290</v>
      </c>
      <c r="E41" s="201">
        <f>+D41+8466568</f>
        <v>12611858</v>
      </c>
      <c r="F41" s="201"/>
      <c r="G41" s="201"/>
      <c r="H41" s="201"/>
      <c r="I41" s="201"/>
      <c r="J41" s="201"/>
      <c r="K41" s="201"/>
      <c r="L41" s="201"/>
      <c r="M41" s="201"/>
      <c r="N41" s="201">
        <f t="shared" si="0"/>
        <v>4145290</v>
      </c>
      <c r="O41" s="201">
        <f t="shared" si="1"/>
        <v>12611858</v>
      </c>
    </row>
    <row r="42" spans="1:15" ht="21.75" customHeight="1" x14ac:dyDescent="0.25">
      <c r="A42" s="29" t="s">
        <v>276</v>
      </c>
      <c r="B42" s="36" t="s">
        <v>847</v>
      </c>
      <c r="C42" s="147"/>
      <c r="D42" s="201">
        <v>20890</v>
      </c>
      <c r="E42" s="201">
        <f>+D42</f>
        <v>20890</v>
      </c>
      <c r="F42" s="201"/>
      <c r="G42" s="201"/>
      <c r="H42" s="201"/>
      <c r="I42" s="201"/>
      <c r="J42" s="201"/>
      <c r="K42" s="201"/>
      <c r="L42" s="201"/>
      <c r="M42" s="201"/>
      <c r="N42" s="201">
        <f t="shared" si="0"/>
        <v>20890</v>
      </c>
      <c r="O42" s="201">
        <f t="shared" si="1"/>
        <v>20890</v>
      </c>
    </row>
    <row r="43" spans="1:15" ht="21.75" customHeight="1" x14ac:dyDescent="0.25">
      <c r="A43" s="29" t="s">
        <v>277</v>
      </c>
      <c r="B43" s="36" t="s">
        <v>539</v>
      </c>
      <c r="C43" s="147"/>
      <c r="D43" s="201">
        <f>N28-N31-N33-N34-N36-N41</f>
        <v>465004507</v>
      </c>
      <c r="E43" s="201">
        <f>O28-O31-O33-O34-O36-O41</f>
        <v>486382514</v>
      </c>
      <c r="F43" s="201"/>
      <c r="G43" s="201"/>
      <c r="H43" s="201"/>
      <c r="I43" s="201"/>
      <c r="J43" s="201"/>
      <c r="K43" s="201"/>
      <c r="L43" s="201"/>
      <c r="M43" s="201"/>
      <c r="N43" s="201">
        <f t="shared" si="0"/>
        <v>465004507</v>
      </c>
      <c r="O43" s="201">
        <f t="shared" si="1"/>
        <v>486382514</v>
      </c>
    </row>
    <row r="44" spans="1:15" ht="21.75" customHeight="1" x14ac:dyDescent="0.25">
      <c r="A44" s="29" t="s">
        <v>278</v>
      </c>
      <c r="B44" s="36" t="s">
        <v>540</v>
      </c>
      <c r="C44" s="147"/>
      <c r="D44" s="201">
        <f>N29-N32-N35-N37-N42</f>
        <v>1397000</v>
      </c>
      <c r="E44" s="201">
        <f>O29-O32-O35-O37-O42</f>
        <v>2202033</v>
      </c>
      <c r="F44" s="201"/>
      <c r="G44" s="201"/>
      <c r="H44" s="201"/>
      <c r="I44" s="201"/>
      <c r="J44" s="201"/>
      <c r="K44" s="201"/>
      <c r="L44" s="201"/>
      <c r="M44" s="201"/>
      <c r="N44" s="201">
        <f t="shared" si="0"/>
        <v>1397000</v>
      </c>
      <c r="O44" s="201">
        <f t="shared" si="1"/>
        <v>2202033</v>
      </c>
    </row>
    <row r="45" spans="1:15" ht="21.75" customHeight="1" x14ac:dyDescent="0.25">
      <c r="A45" s="29" t="s">
        <v>279</v>
      </c>
      <c r="B45" s="36" t="s">
        <v>574</v>
      </c>
      <c r="C45" s="147"/>
      <c r="D45" s="201"/>
      <c r="E45" s="201"/>
      <c r="F45" s="201"/>
      <c r="G45" s="201"/>
      <c r="H45" s="201"/>
      <c r="I45" s="201"/>
      <c r="J45" s="201"/>
      <c r="K45" s="201"/>
      <c r="L45" s="201"/>
      <c r="M45" s="201"/>
      <c r="N45" s="201">
        <f t="shared" si="0"/>
        <v>0</v>
      </c>
      <c r="O45" s="201">
        <f t="shared" si="1"/>
        <v>0</v>
      </c>
    </row>
    <row r="46" spans="1:15" ht="21.75" customHeight="1" x14ac:dyDescent="0.25">
      <c r="A46" s="29" t="s">
        <v>280</v>
      </c>
      <c r="B46" s="267" t="s">
        <v>815</v>
      </c>
      <c r="C46" s="147"/>
      <c r="D46" s="201"/>
      <c r="E46" s="201"/>
      <c r="F46" s="201"/>
      <c r="G46" s="201"/>
      <c r="H46" s="201"/>
      <c r="I46" s="201"/>
      <c r="J46" s="201"/>
      <c r="K46" s="201"/>
      <c r="L46" s="201"/>
      <c r="M46" s="201"/>
      <c r="N46" s="201">
        <f t="shared" si="0"/>
        <v>0</v>
      </c>
      <c r="O46" s="201">
        <f t="shared" si="1"/>
        <v>0</v>
      </c>
    </row>
    <row r="47" spans="1:15" ht="21.75" customHeight="1" x14ac:dyDescent="0.25">
      <c r="A47" s="29" t="s">
        <v>281</v>
      </c>
      <c r="B47" s="37" t="s">
        <v>113</v>
      </c>
      <c r="C47" s="146"/>
      <c r="D47" s="202">
        <f t="shared" ref="D47:M47" si="10">+D31+D33+D34+D36+D41+D43</f>
        <v>469149797</v>
      </c>
      <c r="E47" s="202">
        <f t="shared" si="10"/>
        <v>498994372</v>
      </c>
      <c r="F47" s="202">
        <f t="shared" si="10"/>
        <v>6351100</v>
      </c>
      <c r="G47" s="202">
        <f t="shared" si="10"/>
        <v>12211237</v>
      </c>
      <c r="H47" s="202">
        <f t="shared" si="10"/>
        <v>4800100</v>
      </c>
      <c r="I47" s="202">
        <f t="shared" si="10"/>
        <v>6890119</v>
      </c>
      <c r="J47" s="202">
        <f t="shared" si="10"/>
        <v>4500000</v>
      </c>
      <c r="K47" s="202">
        <f t="shared" si="10"/>
        <v>5688206</v>
      </c>
      <c r="L47" s="202">
        <f t="shared" si="10"/>
        <v>1146625</v>
      </c>
      <c r="M47" s="202">
        <f t="shared" si="10"/>
        <v>0</v>
      </c>
      <c r="N47" s="202">
        <f t="shared" si="0"/>
        <v>485947622</v>
      </c>
      <c r="O47" s="202">
        <f t="shared" si="1"/>
        <v>523783934</v>
      </c>
    </row>
    <row r="48" spans="1:15" ht="21.75" customHeight="1" x14ac:dyDescent="0.25">
      <c r="A48" s="29" t="s">
        <v>282</v>
      </c>
      <c r="B48" s="37" t="s">
        <v>114</v>
      </c>
      <c r="C48" s="146"/>
      <c r="D48" s="202">
        <f t="shared" ref="D48:M48" si="11">+D32+D35+D37+D42+D429+D45+D44</f>
        <v>1417890</v>
      </c>
      <c r="E48" s="202">
        <f t="shared" si="11"/>
        <v>2222923</v>
      </c>
      <c r="F48" s="202">
        <f t="shared" si="11"/>
        <v>0</v>
      </c>
      <c r="G48" s="202">
        <f t="shared" si="11"/>
        <v>0</v>
      </c>
      <c r="H48" s="202">
        <f t="shared" si="11"/>
        <v>0</v>
      </c>
      <c r="I48" s="202">
        <f t="shared" si="11"/>
        <v>0</v>
      </c>
      <c r="J48" s="202">
        <f t="shared" si="11"/>
        <v>0</v>
      </c>
      <c r="K48" s="202">
        <f t="shared" si="11"/>
        <v>0</v>
      </c>
      <c r="L48" s="202">
        <f t="shared" si="11"/>
        <v>0</v>
      </c>
      <c r="M48" s="202">
        <f t="shared" si="11"/>
        <v>0</v>
      </c>
      <c r="N48" s="202">
        <f t="shared" si="0"/>
        <v>1417890</v>
      </c>
      <c r="O48" s="202">
        <f t="shared" si="1"/>
        <v>2222923</v>
      </c>
    </row>
    <row r="49" spans="1:16" ht="21.75" customHeight="1" x14ac:dyDescent="0.25">
      <c r="A49" s="29" t="s">
        <v>283</v>
      </c>
      <c r="B49" s="37" t="s">
        <v>328</v>
      </c>
      <c r="C49" s="146"/>
      <c r="D49" s="202">
        <f t="shared" ref="D49:M49" si="12">+D47+D48</f>
        <v>470567687</v>
      </c>
      <c r="E49" s="202">
        <f t="shared" si="12"/>
        <v>501217295</v>
      </c>
      <c r="F49" s="202">
        <f t="shared" si="12"/>
        <v>6351100</v>
      </c>
      <c r="G49" s="202">
        <f t="shared" si="12"/>
        <v>12211237</v>
      </c>
      <c r="H49" s="202">
        <f t="shared" si="12"/>
        <v>4800100</v>
      </c>
      <c r="I49" s="202">
        <f t="shared" si="12"/>
        <v>6890119</v>
      </c>
      <c r="J49" s="202">
        <f t="shared" si="12"/>
        <v>4500000</v>
      </c>
      <c r="K49" s="202">
        <f t="shared" si="12"/>
        <v>5688206</v>
      </c>
      <c r="L49" s="202">
        <f t="shared" si="12"/>
        <v>1146625</v>
      </c>
      <c r="M49" s="202">
        <f t="shared" si="12"/>
        <v>0</v>
      </c>
      <c r="N49" s="202">
        <f t="shared" si="0"/>
        <v>487365512</v>
      </c>
      <c r="O49" s="202">
        <f t="shared" si="1"/>
        <v>526006857</v>
      </c>
      <c r="P49" s="94">
        <f>N49-N30</f>
        <v>0</v>
      </c>
    </row>
    <row r="50" spans="1:16" ht="21.75" customHeight="1" x14ac:dyDescent="0.25">
      <c r="A50" s="29" t="s">
        <v>284</v>
      </c>
      <c r="B50" s="414" t="s">
        <v>437</v>
      </c>
      <c r="C50" s="204"/>
      <c r="D50" s="201"/>
      <c r="E50" s="201"/>
      <c r="F50" s="201">
        <v>5</v>
      </c>
      <c r="G50" s="201">
        <f>+F50</f>
        <v>5</v>
      </c>
      <c r="H50" s="201">
        <v>24</v>
      </c>
      <c r="I50" s="201">
        <f>+H50</f>
        <v>24</v>
      </c>
      <c r="J50" s="201">
        <v>20</v>
      </c>
      <c r="K50" s="201">
        <f>+J50</f>
        <v>20</v>
      </c>
      <c r="L50" s="201"/>
      <c r="M50" s="201"/>
      <c r="N50" s="201">
        <f t="shared" si="0"/>
        <v>49</v>
      </c>
      <c r="O50" s="201">
        <f t="shared" si="1"/>
        <v>49</v>
      </c>
    </row>
    <row r="51" spans="1:16" ht="21.75" customHeight="1" x14ac:dyDescent="0.25">
      <c r="A51" s="29" t="s">
        <v>285</v>
      </c>
      <c r="B51" s="55" t="s">
        <v>1346</v>
      </c>
      <c r="C51" s="204"/>
      <c r="D51" s="201"/>
      <c r="E51" s="201"/>
      <c r="F51" s="201"/>
      <c r="G51" s="201"/>
      <c r="H51" s="242"/>
      <c r="I51" s="242"/>
      <c r="J51" s="201"/>
      <c r="K51" s="201"/>
      <c r="L51" s="201"/>
      <c r="M51" s="201"/>
      <c r="N51" s="242"/>
      <c r="O51" s="201"/>
    </row>
  </sheetData>
  <mergeCells count="20">
    <mergeCell ref="L6:L7"/>
    <mergeCell ref="J6:J7"/>
    <mergeCell ref="H6:H7"/>
    <mergeCell ref="D2:G2"/>
    <mergeCell ref="I6:I7"/>
    <mergeCell ref="H2:K2"/>
    <mergeCell ref="K6:K7"/>
    <mergeCell ref="L2:O2"/>
    <mergeCell ref="O4:O7"/>
    <mergeCell ref="M6:M7"/>
    <mergeCell ref="N4:N7"/>
    <mergeCell ref="D6:D7"/>
    <mergeCell ref="F6:F7"/>
    <mergeCell ref="A2:C3"/>
    <mergeCell ref="E6:E7"/>
    <mergeCell ref="G6:G7"/>
    <mergeCell ref="B5:C5"/>
    <mergeCell ref="B6:C6"/>
    <mergeCell ref="A4:A7"/>
    <mergeCell ref="B4:C4"/>
  </mergeCells>
  <phoneticPr fontId="50" type="noConversion"/>
  <printOptions horizontalCentered="1" verticalCentered="1"/>
  <pageMargins left="0.15748031496062992" right="0.15748031496062992" top="0.39370078740157483" bottom="0.39370078740157483" header="0.51181102362204722" footer="0.51181102362204722"/>
  <pageSetup paperSize="9" scale="55" orientation="portrait" r:id="rId1"/>
  <headerFooter alignWithMargins="0">
    <oddHeader>&amp;C2023. évi költségvetés&amp;R&amp;A</oddHeader>
    <oddFooter>&amp;C&amp;P/&amp;N</oddFooter>
  </headerFooter>
  <colBreaks count="2" manualBreakCount="2">
    <brk id="7" max="50" man="1"/>
    <brk id="11" max="5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T51"/>
  <sheetViews>
    <sheetView view="pageBreakPreview" zoomScale="80" zoomScaleNormal="71" zoomScaleSheetLayoutView="80" workbookViewId="0">
      <pane xSplit="3" ySplit="8" topLeftCell="Q9" activePane="bottomRight" state="frozen"/>
      <selection pane="topRight" activeCell="D1" sqref="D1"/>
      <selection pane="bottomLeft" activeCell="A8" sqref="A8"/>
      <selection pane="bottomRight" activeCell="Q12" sqref="Q12"/>
    </sheetView>
  </sheetViews>
  <sheetFormatPr defaultRowHeight="12.75" x14ac:dyDescent="0.2"/>
  <cols>
    <col min="1" max="1" width="7.140625" style="23" customWidth="1"/>
    <col min="2" max="2" width="64.85546875" style="23" customWidth="1"/>
    <col min="3" max="3" width="7.7109375" style="23" customWidth="1"/>
    <col min="4" max="5" width="19.140625" style="24" customWidth="1"/>
    <col min="6" max="7" width="18.140625" style="24" customWidth="1"/>
    <col min="8" max="9" width="17.5703125" style="24" customWidth="1"/>
    <col min="10" max="11" width="19" style="24" customWidth="1"/>
    <col min="12" max="17" width="17.85546875" style="24" customWidth="1"/>
    <col min="18" max="18" width="18.140625" style="24" customWidth="1"/>
    <col min="19" max="19" width="17.140625" style="23" customWidth="1"/>
    <col min="20" max="16384" width="9.140625" style="23"/>
  </cols>
  <sheetData>
    <row r="1" spans="1:20" ht="15.75" x14ac:dyDescent="0.25">
      <c r="A1" s="195"/>
      <c r="B1" s="195"/>
      <c r="C1" s="195"/>
      <c r="D1" s="197"/>
      <c r="E1" s="197"/>
      <c r="F1" s="197"/>
      <c r="G1" s="198" t="s">
        <v>431</v>
      </c>
      <c r="H1" s="198"/>
      <c r="I1" s="198"/>
      <c r="K1" s="198" t="s">
        <v>431</v>
      </c>
      <c r="L1" s="197"/>
      <c r="M1" s="197"/>
      <c r="N1" s="197"/>
      <c r="O1" s="198" t="s">
        <v>431</v>
      </c>
      <c r="P1" s="198"/>
      <c r="Q1" s="198"/>
      <c r="S1" s="198" t="s">
        <v>431</v>
      </c>
    </row>
    <row r="2" spans="1:20" ht="46.5" customHeight="1" x14ac:dyDescent="0.2">
      <c r="A2" s="1739" t="s">
        <v>137</v>
      </c>
      <c r="B2" s="1740"/>
      <c r="C2" s="1741"/>
      <c r="D2" s="1745" t="s">
        <v>2748</v>
      </c>
      <c r="E2" s="1746"/>
      <c r="F2" s="1746"/>
      <c r="G2" s="1747"/>
      <c r="H2" s="1745" t="s">
        <v>2748</v>
      </c>
      <c r="I2" s="1746"/>
      <c r="J2" s="1746"/>
      <c r="K2" s="1747"/>
      <c r="L2" s="1745" t="s">
        <v>2748</v>
      </c>
      <c r="M2" s="1746"/>
      <c r="N2" s="1746"/>
      <c r="O2" s="1747"/>
      <c r="P2" s="1745" t="s">
        <v>2748</v>
      </c>
      <c r="Q2" s="1746"/>
      <c r="R2" s="1746"/>
      <c r="S2" s="1747"/>
    </row>
    <row r="3" spans="1:20" ht="46.5" customHeight="1" x14ac:dyDescent="0.2">
      <c r="A3" s="1742"/>
      <c r="B3" s="1743"/>
      <c r="C3" s="1744"/>
      <c r="D3" s="1611" t="s">
        <v>273</v>
      </c>
      <c r="E3" s="1611" t="s">
        <v>1561</v>
      </c>
      <c r="F3" s="1611" t="s">
        <v>273</v>
      </c>
      <c r="G3" s="1611" t="s">
        <v>1561</v>
      </c>
      <c r="H3" s="1611" t="s">
        <v>273</v>
      </c>
      <c r="I3" s="1611" t="s">
        <v>1561</v>
      </c>
      <c r="J3" s="1611" t="s">
        <v>273</v>
      </c>
      <c r="K3" s="1611" t="s">
        <v>1561</v>
      </c>
      <c r="L3" s="1611" t="s">
        <v>273</v>
      </c>
      <c r="M3" s="1611" t="s">
        <v>1561</v>
      </c>
      <c r="N3" s="1611" t="s">
        <v>273</v>
      </c>
      <c r="O3" s="1611" t="s">
        <v>1561</v>
      </c>
      <c r="P3" s="1611" t="s">
        <v>273</v>
      </c>
      <c r="Q3" s="1611" t="s">
        <v>1561</v>
      </c>
      <c r="R3" s="1611" t="s">
        <v>273</v>
      </c>
      <c r="S3" s="1611" t="s">
        <v>1561</v>
      </c>
    </row>
    <row r="4" spans="1:20" ht="88.5" customHeight="1" x14ac:dyDescent="0.2">
      <c r="A4" s="1748" t="s">
        <v>186</v>
      </c>
      <c r="B4" s="1749" t="s">
        <v>244</v>
      </c>
      <c r="C4" s="1749"/>
      <c r="D4" s="1604" t="s">
        <v>488</v>
      </c>
      <c r="E4" s="1604" t="s">
        <v>488</v>
      </c>
      <c r="F4" s="1607" t="s">
        <v>432</v>
      </c>
      <c r="G4" s="1607" t="s">
        <v>432</v>
      </c>
      <c r="H4" s="199" t="s">
        <v>425</v>
      </c>
      <c r="I4" s="199" t="s">
        <v>425</v>
      </c>
      <c r="J4" s="199" t="s">
        <v>338</v>
      </c>
      <c r="K4" s="199" t="s">
        <v>338</v>
      </c>
      <c r="L4" s="199" t="s">
        <v>519</v>
      </c>
      <c r="M4" s="199" t="s">
        <v>519</v>
      </c>
      <c r="N4" s="199" t="s">
        <v>502</v>
      </c>
      <c r="O4" s="199" t="s">
        <v>502</v>
      </c>
      <c r="P4" s="1607" t="s">
        <v>432</v>
      </c>
      <c r="Q4" s="1607" t="s">
        <v>432</v>
      </c>
      <c r="R4" s="1738" t="s">
        <v>139</v>
      </c>
      <c r="S4" s="1738" t="s">
        <v>139</v>
      </c>
    </row>
    <row r="5" spans="1:20" ht="25.5" customHeight="1" x14ac:dyDescent="0.2">
      <c r="A5" s="1748"/>
      <c r="B5" s="1749" t="s">
        <v>11</v>
      </c>
      <c r="C5" s="1749"/>
      <c r="D5" s="1604" t="s">
        <v>222</v>
      </c>
      <c r="E5" s="1604" t="s">
        <v>222</v>
      </c>
      <c r="F5" s="1604" t="s">
        <v>222</v>
      </c>
      <c r="G5" s="1604" t="s">
        <v>222</v>
      </c>
      <c r="H5" s="1604" t="s">
        <v>222</v>
      </c>
      <c r="I5" s="1604" t="s">
        <v>222</v>
      </c>
      <c r="J5" s="1604" t="s">
        <v>222</v>
      </c>
      <c r="K5" s="1604" t="s">
        <v>222</v>
      </c>
      <c r="L5" s="1604" t="s">
        <v>222</v>
      </c>
      <c r="M5" s="1604" t="s">
        <v>222</v>
      </c>
      <c r="N5" s="1604" t="s">
        <v>222</v>
      </c>
      <c r="O5" s="1604" t="s">
        <v>222</v>
      </c>
      <c r="P5" s="199" t="s">
        <v>222</v>
      </c>
      <c r="Q5" s="199" t="s">
        <v>222</v>
      </c>
      <c r="R5" s="1738"/>
      <c r="S5" s="1738"/>
    </row>
    <row r="6" spans="1:20" ht="15.75" customHeight="1" x14ac:dyDescent="0.2">
      <c r="A6" s="1748"/>
      <c r="B6" s="1719" t="s">
        <v>713</v>
      </c>
      <c r="C6" s="1719"/>
      <c r="D6" s="1738" t="s">
        <v>349</v>
      </c>
      <c r="E6" s="1738" t="s">
        <v>349</v>
      </c>
      <c r="F6" s="1738" t="s">
        <v>424</v>
      </c>
      <c r="G6" s="1738" t="s">
        <v>424</v>
      </c>
      <c r="H6" s="1738" t="s">
        <v>752</v>
      </c>
      <c r="I6" s="1738" t="s">
        <v>752</v>
      </c>
      <c r="J6" s="1738" t="s">
        <v>753</v>
      </c>
      <c r="K6" s="1738" t="s">
        <v>753</v>
      </c>
      <c r="L6" s="1754" t="s">
        <v>754</v>
      </c>
      <c r="M6" s="1754" t="s">
        <v>754</v>
      </c>
      <c r="N6" s="1750" t="s">
        <v>501</v>
      </c>
      <c r="O6" s="1750" t="s">
        <v>501</v>
      </c>
      <c r="P6" s="1751" t="s">
        <v>500</v>
      </c>
      <c r="Q6" s="1751" t="s">
        <v>500</v>
      </c>
      <c r="R6" s="1738"/>
      <c r="S6" s="1738"/>
    </row>
    <row r="7" spans="1:20" ht="73.5" customHeight="1" x14ac:dyDescent="0.2">
      <c r="A7" s="1748"/>
      <c r="B7" s="1606" t="s">
        <v>187</v>
      </c>
      <c r="C7" s="144" t="s">
        <v>245</v>
      </c>
      <c r="D7" s="1738"/>
      <c r="E7" s="1738"/>
      <c r="F7" s="1738"/>
      <c r="G7" s="1738"/>
      <c r="H7" s="1738"/>
      <c r="I7" s="1738"/>
      <c r="J7" s="1738"/>
      <c r="K7" s="1738"/>
      <c r="L7" s="1754"/>
      <c r="M7" s="1754"/>
      <c r="N7" s="1750"/>
      <c r="O7" s="1750"/>
      <c r="P7" s="1751"/>
      <c r="Q7" s="1751"/>
      <c r="R7" s="1738"/>
      <c r="S7" s="1738"/>
    </row>
    <row r="8" spans="1:20" ht="15.75" x14ac:dyDescent="0.2">
      <c r="A8" s="27" t="s">
        <v>188</v>
      </c>
      <c r="B8" s="28" t="s">
        <v>189</v>
      </c>
      <c r="C8" s="28" t="s">
        <v>190</v>
      </c>
      <c r="D8" s="419" t="s">
        <v>191</v>
      </c>
      <c r="E8" s="419" t="s">
        <v>192</v>
      </c>
      <c r="F8" s="419" t="s">
        <v>193</v>
      </c>
      <c r="G8" s="419" t="s">
        <v>194</v>
      </c>
      <c r="H8" s="419" t="s">
        <v>195</v>
      </c>
      <c r="I8" s="419" t="s">
        <v>196</v>
      </c>
      <c r="J8" s="419" t="s">
        <v>197</v>
      </c>
      <c r="K8" s="419" t="s">
        <v>198</v>
      </c>
      <c r="L8" s="419" t="s">
        <v>225</v>
      </c>
      <c r="M8" s="419" t="s">
        <v>226</v>
      </c>
      <c r="N8" s="419" t="s">
        <v>227</v>
      </c>
      <c r="O8" s="419" t="s">
        <v>228</v>
      </c>
      <c r="P8" s="419" t="s">
        <v>229</v>
      </c>
      <c r="Q8" s="419" t="s">
        <v>230</v>
      </c>
      <c r="R8" s="419" t="s">
        <v>231</v>
      </c>
      <c r="S8" s="419" t="s">
        <v>232</v>
      </c>
    </row>
    <row r="9" spans="1:20" ht="21.75" customHeight="1" x14ac:dyDescent="0.25">
      <c r="A9" s="29" t="s">
        <v>188</v>
      </c>
      <c r="B9" s="26" t="s">
        <v>329</v>
      </c>
      <c r="C9" s="30" t="s">
        <v>199</v>
      </c>
      <c r="D9" s="201"/>
      <c r="E9" s="201"/>
      <c r="F9" s="201">
        <v>75590463</v>
      </c>
      <c r="G9" s="201">
        <f>+F9+1200000+700000-4330000+4330000-1143882+1143882</f>
        <v>77490463</v>
      </c>
      <c r="H9" s="201"/>
      <c r="I9" s="201"/>
      <c r="J9" s="201"/>
      <c r="K9" s="201"/>
      <c r="L9" s="201"/>
      <c r="M9" s="201"/>
      <c r="N9" s="201"/>
      <c r="O9" s="201">
        <f>2106970+590000-108880+103030</f>
        <v>2691120</v>
      </c>
      <c r="P9" s="201"/>
      <c r="Q9" s="201"/>
      <c r="R9" s="201">
        <f>D9+F9+H9+J9+L9+P9+N9</f>
        <v>75590463</v>
      </c>
      <c r="S9" s="201">
        <f>E9+G9+I9+K9+M9+Q9+O9</f>
        <v>80181583</v>
      </c>
      <c r="T9" s="94"/>
    </row>
    <row r="10" spans="1:20" ht="21.75" customHeight="1" x14ac:dyDescent="0.25">
      <c r="A10" s="29" t="s">
        <v>189</v>
      </c>
      <c r="B10" s="31" t="s">
        <v>200</v>
      </c>
      <c r="C10" s="30" t="s">
        <v>201</v>
      </c>
      <c r="D10" s="201"/>
      <c r="E10" s="201"/>
      <c r="F10" s="201">
        <v>10314260</v>
      </c>
      <c r="G10" s="201">
        <f>+F10+156000+196000</f>
        <v>10666260</v>
      </c>
      <c r="H10" s="201"/>
      <c r="I10" s="201"/>
      <c r="J10" s="201"/>
      <c r="K10" s="201"/>
      <c r="L10" s="201"/>
      <c r="M10" s="201"/>
      <c r="N10" s="201"/>
      <c r="O10" s="201">
        <f>303030+5850</f>
        <v>308880</v>
      </c>
      <c r="P10" s="201"/>
      <c r="Q10" s="201"/>
      <c r="R10" s="201">
        <f t="shared" ref="R10:R51" si="0">D10+F10+H10+J10+L10+P10+N10</f>
        <v>10314260</v>
      </c>
      <c r="S10" s="201">
        <f t="shared" ref="S10:S51" si="1">E10+G10+I10+K10+M10+Q10+O10</f>
        <v>10975140</v>
      </c>
      <c r="T10" s="94"/>
    </row>
    <row r="11" spans="1:20" ht="21.75" customHeight="1" x14ac:dyDescent="0.25">
      <c r="A11" s="29" t="s">
        <v>190</v>
      </c>
      <c r="B11" s="31" t="s">
        <v>330</v>
      </c>
      <c r="C11" s="30" t="s">
        <v>202</v>
      </c>
      <c r="D11" s="201"/>
      <c r="E11" s="201"/>
      <c r="F11" s="201">
        <f>+(21342050)+93560+90728</f>
        <v>21526338</v>
      </c>
      <c r="G11" s="201">
        <f>+F11+113011+668394+210979+921+155874+42086+1600000+10000-990000+190000-216000+225000+60750-400000+400000-7478</f>
        <v>23589875</v>
      </c>
      <c r="H11" s="201">
        <v>3000000</v>
      </c>
      <c r="I11" s="201">
        <f>+H11-1600000</f>
        <v>1400000</v>
      </c>
      <c r="J11" s="201">
        <v>736600</v>
      </c>
      <c r="K11" s="201">
        <f>+J11</f>
        <v>736600</v>
      </c>
      <c r="L11" s="201">
        <v>1968500</v>
      </c>
      <c r="M11" s="201">
        <f>+L11</f>
        <v>1968500</v>
      </c>
      <c r="N11" s="201">
        <v>729600</v>
      </c>
      <c r="O11" s="201">
        <f>+N11-200000+100000+100000+1+500000+800000+384800+571654+154346+6000</f>
        <v>3146401</v>
      </c>
      <c r="P11" s="201">
        <f>+(2286000)+40627</f>
        <v>2326627</v>
      </c>
      <c r="Q11" s="201">
        <f>+P11+2000000+540000-1423764-42465</f>
        <v>3400398</v>
      </c>
      <c r="R11" s="201">
        <f t="shared" si="0"/>
        <v>30287665</v>
      </c>
      <c r="S11" s="201">
        <f t="shared" si="1"/>
        <v>34241774</v>
      </c>
      <c r="T11" s="94"/>
    </row>
    <row r="12" spans="1:20" ht="21.75" customHeight="1" x14ac:dyDescent="0.25">
      <c r="A12" s="29" t="s">
        <v>191</v>
      </c>
      <c r="B12" s="32" t="s">
        <v>331</v>
      </c>
      <c r="C12" s="30" t="s">
        <v>203</v>
      </c>
      <c r="D12" s="201"/>
      <c r="E12" s="201"/>
      <c r="F12" s="201"/>
      <c r="G12" s="201"/>
      <c r="H12" s="201"/>
      <c r="I12" s="201"/>
      <c r="J12" s="201"/>
      <c r="K12" s="201"/>
      <c r="L12" s="201"/>
      <c r="M12" s="201"/>
      <c r="N12" s="201"/>
      <c r="O12" s="201"/>
      <c r="P12" s="201"/>
      <c r="Q12" s="201"/>
      <c r="R12" s="201">
        <f t="shared" si="0"/>
        <v>0</v>
      </c>
      <c r="S12" s="201">
        <f t="shared" si="1"/>
        <v>0</v>
      </c>
    </row>
    <row r="13" spans="1:20" ht="21.75" customHeight="1" x14ac:dyDescent="0.25">
      <c r="A13" s="29" t="s">
        <v>192</v>
      </c>
      <c r="B13" s="32" t="s">
        <v>234</v>
      </c>
      <c r="C13" s="30" t="s">
        <v>204</v>
      </c>
      <c r="D13" s="201">
        <f>SUM(D14:D16)</f>
        <v>0</v>
      </c>
      <c r="E13" s="201">
        <f>SUM(E14:E16)</f>
        <v>4801934</v>
      </c>
      <c r="F13" s="201">
        <f t="shared" ref="F13:Q13" si="2">SUM(F14:F16)</f>
        <v>0</v>
      </c>
      <c r="G13" s="201">
        <f t="shared" si="2"/>
        <v>0</v>
      </c>
      <c r="H13" s="201">
        <f t="shared" si="2"/>
        <v>0</v>
      </c>
      <c r="I13" s="201">
        <f t="shared" si="2"/>
        <v>0</v>
      </c>
      <c r="J13" s="201">
        <f t="shared" si="2"/>
        <v>0</v>
      </c>
      <c r="K13" s="201">
        <f t="shared" si="2"/>
        <v>0</v>
      </c>
      <c r="L13" s="201">
        <f t="shared" si="2"/>
        <v>0</v>
      </c>
      <c r="M13" s="201">
        <f t="shared" si="2"/>
        <v>0</v>
      </c>
      <c r="N13" s="201"/>
      <c r="O13" s="201"/>
      <c r="P13" s="201">
        <f t="shared" si="2"/>
        <v>0</v>
      </c>
      <c r="Q13" s="201">
        <f t="shared" si="2"/>
        <v>0</v>
      </c>
      <c r="R13" s="201">
        <f t="shared" si="0"/>
        <v>0</v>
      </c>
      <c r="S13" s="201">
        <f t="shared" si="1"/>
        <v>4801934</v>
      </c>
    </row>
    <row r="14" spans="1:20" ht="21.75" customHeight="1" x14ac:dyDescent="0.25">
      <c r="A14" s="29" t="s">
        <v>193</v>
      </c>
      <c r="B14" s="33" t="s">
        <v>126</v>
      </c>
      <c r="C14" s="30"/>
      <c r="D14" s="201"/>
      <c r="E14" s="201"/>
      <c r="F14" s="201"/>
      <c r="G14" s="201"/>
      <c r="H14" s="201"/>
      <c r="I14" s="201"/>
      <c r="J14" s="201"/>
      <c r="K14" s="201"/>
      <c r="L14" s="201"/>
      <c r="M14" s="201"/>
      <c r="N14" s="201"/>
      <c r="O14" s="201"/>
      <c r="P14" s="201"/>
      <c r="Q14" s="201"/>
      <c r="R14" s="201">
        <f t="shared" si="0"/>
        <v>0</v>
      </c>
      <c r="S14" s="201">
        <f t="shared" si="1"/>
        <v>0</v>
      </c>
    </row>
    <row r="15" spans="1:20" ht="21.75" customHeight="1" x14ac:dyDescent="0.25">
      <c r="A15" s="29" t="s">
        <v>194</v>
      </c>
      <c r="B15" s="33" t="s">
        <v>116</v>
      </c>
      <c r="C15" s="34"/>
      <c r="D15" s="201"/>
      <c r="E15" s="201"/>
      <c r="F15" s="201"/>
      <c r="G15" s="201"/>
      <c r="H15" s="201"/>
      <c r="I15" s="201"/>
      <c r="J15" s="201"/>
      <c r="K15" s="201"/>
      <c r="L15" s="201"/>
      <c r="M15" s="201"/>
      <c r="N15" s="201"/>
      <c r="O15" s="201"/>
      <c r="P15" s="201"/>
      <c r="Q15" s="201"/>
      <c r="R15" s="201">
        <f t="shared" si="0"/>
        <v>0</v>
      </c>
      <c r="S15" s="201">
        <f t="shared" si="1"/>
        <v>0</v>
      </c>
    </row>
    <row r="16" spans="1:20" ht="21.75" customHeight="1" x14ac:dyDescent="0.25">
      <c r="A16" s="29" t="s">
        <v>195</v>
      </c>
      <c r="B16" s="103" t="s">
        <v>550</v>
      </c>
      <c r="C16" s="34"/>
      <c r="D16" s="201"/>
      <c r="E16" s="201">
        <v>4801934</v>
      </c>
      <c r="F16" s="201"/>
      <c r="G16" s="201"/>
      <c r="H16" s="201"/>
      <c r="I16" s="201"/>
      <c r="J16" s="201"/>
      <c r="K16" s="201"/>
      <c r="L16" s="201"/>
      <c r="M16" s="201"/>
      <c r="N16" s="201"/>
      <c r="O16" s="201"/>
      <c r="P16" s="201"/>
      <c r="Q16" s="201"/>
      <c r="R16" s="201">
        <f t="shared" si="0"/>
        <v>0</v>
      </c>
      <c r="S16" s="201">
        <f t="shared" si="1"/>
        <v>4801934</v>
      </c>
    </row>
    <row r="17" spans="1:19" ht="21.75" customHeight="1" x14ac:dyDescent="0.25">
      <c r="A17" s="29" t="s">
        <v>196</v>
      </c>
      <c r="B17" s="35" t="s">
        <v>241</v>
      </c>
      <c r="C17" s="30" t="s">
        <v>205</v>
      </c>
      <c r="D17" s="201"/>
      <c r="E17" s="201"/>
      <c r="F17" s="201">
        <f>+'6.sz. Beruházások'!D180</f>
        <v>762000</v>
      </c>
      <c r="G17" s="201">
        <f>+F17-200000+200000+800000+216000</f>
        <v>1778000</v>
      </c>
      <c r="H17" s="201"/>
      <c r="I17" s="201"/>
      <c r="J17" s="201">
        <f>+'6.sz. Beruházások'!D181</f>
        <v>127000</v>
      </c>
      <c r="K17" s="201">
        <f>+J17</f>
        <v>127000</v>
      </c>
      <c r="L17" s="201"/>
      <c r="M17" s="201"/>
      <c r="N17" s="201">
        <f>+'6.sz. Beruházások'!D183</f>
        <v>240000</v>
      </c>
      <c r="O17" s="201">
        <f>+N17</f>
        <v>240000</v>
      </c>
      <c r="P17" s="201"/>
      <c r="Q17" s="201"/>
      <c r="R17" s="201">
        <f t="shared" si="0"/>
        <v>1129000</v>
      </c>
      <c r="S17" s="201">
        <f t="shared" si="1"/>
        <v>2145000</v>
      </c>
    </row>
    <row r="18" spans="1:19" ht="21.75" customHeight="1" x14ac:dyDescent="0.25">
      <c r="A18" s="29" t="s">
        <v>197</v>
      </c>
      <c r="B18" s="32" t="s">
        <v>332</v>
      </c>
      <c r="C18" s="30" t="s">
        <v>206</v>
      </c>
      <c r="D18" s="201"/>
      <c r="E18" s="201"/>
      <c r="F18" s="201"/>
      <c r="G18" s="201"/>
      <c r="H18" s="201"/>
      <c r="I18" s="201"/>
      <c r="J18" s="201"/>
      <c r="K18" s="201"/>
      <c r="L18" s="201"/>
      <c r="M18" s="201"/>
      <c r="N18" s="201"/>
      <c r="O18" s="201"/>
      <c r="P18" s="201"/>
      <c r="Q18" s="201"/>
      <c r="R18" s="201">
        <f t="shared" si="0"/>
        <v>0</v>
      </c>
      <c r="S18" s="201">
        <f t="shared" si="1"/>
        <v>0</v>
      </c>
    </row>
    <row r="19" spans="1:19" ht="21.75" customHeight="1" x14ac:dyDescent="0.25">
      <c r="A19" s="29" t="s">
        <v>198</v>
      </c>
      <c r="B19" s="32" t="s">
        <v>235</v>
      </c>
      <c r="C19" s="30" t="s">
        <v>207</v>
      </c>
      <c r="D19" s="201"/>
      <c r="E19" s="201"/>
      <c r="F19" s="201"/>
      <c r="G19" s="201"/>
      <c r="H19" s="201"/>
      <c r="I19" s="201"/>
      <c r="J19" s="201"/>
      <c r="K19" s="201"/>
      <c r="L19" s="201"/>
      <c r="M19" s="201"/>
      <c r="N19" s="201"/>
      <c r="O19" s="201"/>
      <c r="P19" s="201"/>
      <c r="Q19" s="201"/>
      <c r="R19" s="201">
        <f t="shared" si="0"/>
        <v>0</v>
      </c>
      <c r="S19" s="201">
        <f t="shared" si="1"/>
        <v>0</v>
      </c>
    </row>
    <row r="20" spans="1:19" ht="21.75" customHeight="1" x14ac:dyDescent="0.25">
      <c r="A20" s="29" t="s">
        <v>225</v>
      </c>
      <c r="B20" s="32" t="s">
        <v>125</v>
      </c>
      <c r="C20" s="30"/>
      <c r="D20" s="201"/>
      <c r="E20" s="201"/>
      <c r="F20" s="201"/>
      <c r="G20" s="201"/>
      <c r="H20" s="201"/>
      <c r="I20" s="201"/>
      <c r="J20" s="201"/>
      <c r="K20" s="201"/>
      <c r="L20" s="201"/>
      <c r="M20" s="201"/>
      <c r="N20" s="201"/>
      <c r="O20" s="201"/>
      <c r="P20" s="201"/>
      <c r="Q20" s="201"/>
      <c r="R20" s="201">
        <f t="shared" si="0"/>
        <v>0</v>
      </c>
      <c r="S20" s="201">
        <f t="shared" si="1"/>
        <v>0</v>
      </c>
    </row>
    <row r="21" spans="1:19" ht="21.75" customHeight="1" x14ac:dyDescent="0.25">
      <c r="A21" s="29" t="s">
        <v>226</v>
      </c>
      <c r="B21" s="35" t="s">
        <v>236</v>
      </c>
      <c r="C21" s="30" t="s">
        <v>208</v>
      </c>
      <c r="D21" s="202">
        <f>+D9+D10+D11+D12+D13+D17+D18+D19</f>
        <v>0</v>
      </c>
      <c r="E21" s="202">
        <f>+E9+E10+E11+E12+E13+E17+E18+E19</f>
        <v>4801934</v>
      </c>
      <c r="F21" s="202">
        <f t="shared" ref="F21:P21" si="3">+F9+F10+F11+F12+F13+F17+F18+F19</f>
        <v>108193061</v>
      </c>
      <c r="G21" s="202">
        <f>+G9+G10+G11+G12+G13+G17+G18+G19</f>
        <v>113524598</v>
      </c>
      <c r="H21" s="202">
        <f t="shared" si="3"/>
        <v>3000000</v>
      </c>
      <c r="I21" s="202">
        <f>+I9+I10+I11+I12+I13+I17+I18+I19</f>
        <v>1400000</v>
      </c>
      <c r="J21" s="202">
        <f t="shared" si="3"/>
        <v>863600</v>
      </c>
      <c r="K21" s="202">
        <f>+K9+K10+K11+K12+K13+K17+K18+K19</f>
        <v>863600</v>
      </c>
      <c r="L21" s="202">
        <f t="shared" si="3"/>
        <v>1968500</v>
      </c>
      <c r="M21" s="202">
        <f>+M9+M10+M11+M12+M13+M17+M18+M19</f>
        <v>1968500</v>
      </c>
      <c r="N21" s="202">
        <f t="shared" si="3"/>
        <v>969600</v>
      </c>
      <c r="O21" s="202">
        <f>+O9+O10+O11+O12+O13+O17+O18+O19</f>
        <v>6386401</v>
      </c>
      <c r="P21" s="202">
        <f t="shared" si="3"/>
        <v>2326627</v>
      </c>
      <c r="Q21" s="202">
        <f>+Q9+Q10+Q11+Q12+Q13+Q17+Q18+Q19</f>
        <v>3400398</v>
      </c>
      <c r="R21" s="202">
        <f t="shared" si="0"/>
        <v>117321388</v>
      </c>
      <c r="S21" s="202">
        <f t="shared" si="1"/>
        <v>132345431</v>
      </c>
    </row>
    <row r="22" spans="1:19" ht="21.75" customHeight="1" x14ac:dyDescent="0.25">
      <c r="A22" s="29" t="s">
        <v>227</v>
      </c>
      <c r="B22" s="35" t="s">
        <v>221</v>
      </c>
      <c r="C22" s="30" t="s">
        <v>217</v>
      </c>
      <c r="D22" s="201">
        <f>SUM(D23:D26)</f>
        <v>0</v>
      </c>
      <c r="E22" s="201">
        <f>SUM(E23:E26)</f>
        <v>0</v>
      </c>
      <c r="F22" s="201">
        <f t="shared" ref="F22:P22" si="4">SUM(F23:F26)</f>
        <v>0</v>
      </c>
      <c r="G22" s="201">
        <f>SUM(G23:G26)</f>
        <v>0</v>
      </c>
      <c r="H22" s="201">
        <f t="shared" si="4"/>
        <v>0</v>
      </c>
      <c r="I22" s="201">
        <f>SUM(I23:I26)</f>
        <v>0</v>
      </c>
      <c r="J22" s="201">
        <f t="shared" si="4"/>
        <v>0</v>
      </c>
      <c r="K22" s="201">
        <f>SUM(K23:K26)</f>
        <v>0</v>
      </c>
      <c r="L22" s="201">
        <f t="shared" si="4"/>
        <v>0</v>
      </c>
      <c r="M22" s="201">
        <f>SUM(M23:M26)</f>
        <v>0</v>
      </c>
      <c r="N22" s="201">
        <f t="shared" si="4"/>
        <v>0</v>
      </c>
      <c r="O22" s="201">
        <f>SUM(O23:O26)</f>
        <v>0</v>
      </c>
      <c r="P22" s="201">
        <f t="shared" si="4"/>
        <v>0</v>
      </c>
      <c r="Q22" s="201">
        <f>SUM(Q23:Q26)</f>
        <v>0</v>
      </c>
      <c r="R22" s="201">
        <f t="shared" si="0"/>
        <v>0</v>
      </c>
      <c r="S22" s="201">
        <f t="shared" si="1"/>
        <v>0</v>
      </c>
    </row>
    <row r="23" spans="1:19" ht="21.75" customHeight="1" x14ac:dyDescent="0.25">
      <c r="A23" s="29" t="s">
        <v>228</v>
      </c>
      <c r="B23" s="105" t="s">
        <v>183</v>
      </c>
      <c r="C23" s="34"/>
      <c r="D23" s="201"/>
      <c r="E23" s="201"/>
      <c r="F23" s="201"/>
      <c r="G23" s="201"/>
      <c r="H23" s="201"/>
      <c r="I23" s="201"/>
      <c r="J23" s="201"/>
      <c r="K23" s="201"/>
      <c r="L23" s="201"/>
      <c r="M23" s="201"/>
      <c r="N23" s="201"/>
      <c r="O23" s="201"/>
      <c r="P23" s="201"/>
      <c r="Q23" s="201"/>
      <c r="R23" s="201">
        <f t="shared" si="0"/>
        <v>0</v>
      </c>
      <c r="S23" s="201">
        <f t="shared" si="1"/>
        <v>0</v>
      </c>
    </row>
    <row r="24" spans="1:19" ht="21.75" customHeight="1" x14ac:dyDescent="0.25">
      <c r="A24" s="29" t="s">
        <v>229</v>
      </c>
      <c r="B24" s="36" t="s">
        <v>553</v>
      </c>
      <c r="C24" s="34"/>
      <c r="D24" s="201"/>
      <c r="E24" s="201"/>
      <c r="F24" s="201"/>
      <c r="G24" s="201"/>
      <c r="H24" s="201"/>
      <c r="I24" s="201"/>
      <c r="J24" s="201"/>
      <c r="K24" s="201"/>
      <c r="L24" s="201"/>
      <c r="M24" s="201"/>
      <c r="N24" s="201"/>
      <c r="O24" s="201"/>
      <c r="P24" s="201"/>
      <c r="Q24" s="201"/>
      <c r="R24" s="201">
        <f t="shared" si="0"/>
        <v>0</v>
      </c>
      <c r="S24" s="201">
        <f t="shared" si="1"/>
        <v>0</v>
      </c>
    </row>
    <row r="25" spans="1:19" ht="21.75" customHeight="1" x14ac:dyDescent="0.25">
      <c r="A25" s="29" t="s">
        <v>230</v>
      </c>
      <c r="B25" s="36" t="s">
        <v>554</v>
      </c>
      <c r="C25" s="34"/>
      <c r="D25" s="201"/>
      <c r="E25" s="201"/>
      <c r="F25" s="201"/>
      <c r="G25" s="201"/>
      <c r="H25" s="201"/>
      <c r="I25" s="201"/>
      <c r="J25" s="201"/>
      <c r="K25" s="201"/>
      <c r="L25" s="201"/>
      <c r="M25" s="201"/>
      <c r="N25" s="201"/>
      <c r="O25" s="201"/>
      <c r="P25" s="201"/>
      <c r="Q25" s="201"/>
      <c r="R25" s="201">
        <f t="shared" si="0"/>
        <v>0</v>
      </c>
      <c r="S25" s="201">
        <f t="shared" si="1"/>
        <v>0</v>
      </c>
    </row>
    <row r="26" spans="1:19" ht="21.75" customHeight="1" x14ac:dyDescent="0.25">
      <c r="A26" s="29" t="s">
        <v>231</v>
      </c>
      <c r="B26" s="36" t="s">
        <v>127</v>
      </c>
      <c r="C26" s="34"/>
      <c r="D26" s="201"/>
      <c r="E26" s="201"/>
      <c r="F26" s="201"/>
      <c r="G26" s="201"/>
      <c r="H26" s="201"/>
      <c r="I26" s="201"/>
      <c r="J26" s="201"/>
      <c r="K26" s="201"/>
      <c r="L26" s="201"/>
      <c r="M26" s="201"/>
      <c r="N26" s="201"/>
      <c r="O26" s="201"/>
      <c r="P26" s="201"/>
      <c r="Q26" s="201"/>
      <c r="R26" s="201">
        <f t="shared" si="0"/>
        <v>0</v>
      </c>
      <c r="S26" s="201">
        <f t="shared" si="1"/>
        <v>0</v>
      </c>
    </row>
    <row r="27" spans="1:19" ht="21.75" customHeight="1" x14ac:dyDescent="0.25">
      <c r="A27" s="29" t="s">
        <v>232</v>
      </c>
      <c r="B27" s="267" t="s">
        <v>816</v>
      </c>
      <c r="C27" s="34"/>
      <c r="D27" s="201"/>
      <c r="E27" s="201"/>
      <c r="F27" s="201"/>
      <c r="G27" s="201"/>
      <c r="H27" s="201"/>
      <c r="I27" s="201"/>
      <c r="J27" s="201"/>
      <c r="K27" s="201"/>
      <c r="L27" s="201"/>
      <c r="M27" s="201"/>
      <c r="N27" s="201"/>
      <c r="O27" s="201"/>
      <c r="P27" s="201"/>
      <c r="Q27" s="201"/>
      <c r="R27" s="201">
        <f t="shared" si="0"/>
        <v>0</v>
      </c>
      <c r="S27" s="201">
        <f t="shared" si="1"/>
        <v>0</v>
      </c>
    </row>
    <row r="28" spans="1:19" s="38" customFormat="1" ht="21.75" customHeight="1" x14ac:dyDescent="0.25">
      <c r="A28" s="29" t="s">
        <v>233</v>
      </c>
      <c r="B28" s="37" t="s">
        <v>32</v>
      </c>
      <c r="C28" s="30"/>
      <c r="D28" s="202">
        <f>+D9+D10+D11+D12+D13+D23+D24</f>
        <v>0</v>
      </c>
      <c r="E28" s="202">
        <f>+E9+E10+E11+E12+E13+E23+E24</f>
        <v>4801934</v>
      </c>
      <c r="F28" s="202">
        <f t="shared" ref="F28:P28" si="5">+F9+F10+F11+F12+F13+F23+F24</f>
        <v>107431061</v>
      </c>
      <c r="G28" s="202">
        <f>+G9+G10+G11+G12+G13+G23+G24</f>
        <v>111746598</v>
      </c>
      <c r="H28" s="202">
        <f t="shared" si="5"/>
        <v>3000000</v>
      </c>
      <c r="I28" s="202">
        <f>+I9+I10+I11+I12+I13+I23+I24</f>
        <v>1400000</v>
      </c>
      <c r="J28" s="202">
        <f t="shared" si="5"/>
        <v>736600</v>
      </c>
      <c r="K28" s="202">
        <f>+K9+K10+K11+K12+K13+K23+K24</f>
        <v>736600</v>
      </c>
      <c r="L28" s="202">
        <f t="shared" si="5"/>
        <v>1968500</v>
      </c>
      <c r="M28" s="202">
        <f>+M9+M10+M11+M12+M13+M23+M24</f>
        <v>1968500</v>
      </c>
      <c r="N28" s="202">
        <f>+N9+N10+N11+N12+N13+N23+N24</f>
        <v>729600</v>
      </c>
      <c r="O28" s="202">
        <f>+O9+O10+O11+O12+O13+O23+O24</f>
        <v>6146401</v>
      </c>
      <c r="P28" s="202">
        <f t="shared" si="5"/>
        <v>2326627</v>
      </c>
      <c r="Q28" s="202">
        <f>+Q9+Q10+Q11+Q12+Q13+Q23+Q24</f>
        <v>3400398</v>
      </c>
      <c r="R28" s="202">
        <f t="shared" si="0"/>
        <v>116192388</v>
      </c>
      <c r="S28" s="202">
        <f t="shared" si="1"/>
        <v>130200431</v>
      </c>
    </row>
    <row r="29" spans="1:19" s="38" customFormat="1" ht="21.75" customHeight="1" x14ac:dyDescent="0.25">
      <c r="A29" s="29" t="s">
        <v>260</v>
      </c>
      <c r="B29" s="37" t="s">
        <v>33</v>
      </c>
      <c r="C29" s="30"/>
      <c r="D29" s="202">
        <f>+D17+D18+D19+D25+D26</f>
        <v>0</v>
      </c>
      <c r="E29" s="202">
        <f>+E17+E18+E19+E25+E26</f>
        <v>0</v>
      </c>
      <c r="F29" s="202">
        <f t="shared" ref="F29:P29" si="6">+F17+F18+F19+F25+F26</f>
        <v>762000</v>
      </c>
      <c r="G29" s="202">
        <f>+G17+G18+G19+G25+G26</f>
        <v>1778000</v>
      </c>
      <c r="H29" s="202">
        <f t="shared" si="6"/>
        <v>0</v>
      </c>
      <c r="I29" s="202">
        <f>+I17+I18+I19+I25+I26</f>
        <v>0</v>
      </c>
      <c r="J29" s="202">
        <f t="shared" si="6"/>
        <v>127000</v>
      </c>
      <c r="K29" s="202">
        <f>+K17+K18+K19+K25+K26</f>
        <v>127000</v>
      </c>
      <c r="L29" s="202">
        <f t="shared" si="6"/>
        <v>0</v>
      </c>
      <c r="M29" s="202">
        <f>+M17+M18+M19+M25+M26</f>
        <v>0</v>
      </c>
      <c r="N29" s="202">
        <f>+N17+N18+N19+N25+N26</f>
        <v>240000</v>
      </c>
      <c r="O29" s="202">
        <f>+O17+O18+O19+O25+O26</f>
        <v>240000</v>
      </c>
      <c r="P29" s="202">
        <f t="shared" si="6"/>
        <v>0</v>
      </c>
      <c r="Q29" s="202">
        <f>+Q17+Q18+Q19+Q25+Q26</f>
        <v>0</v>
      </c>
      <c r="R29" s="202">
        <f t="shared" si="0"/>
        <v>1129000</v>
      </c>
      <c r="S29" s="202">
        <f t="shared" si="1"/>
        <v>2145000</v>
      </c>
    </row>
    <row r="30" spans="1:19" s="38" customFormat="1" ht="21.75" customHeight="1" x14ac:dyDescent="0.25">
      <c r="A30" s="29" t="s">
        <v>261</v>
      </c>
      <c r="B30" s="37" t="s">
        <v>327</v>
      </c>
      <c r="C30" s="30" t="s">
        <v>31</v>
      </c>
      <c r="D30" s="202">
        <f>SUM(D28:D29)</f>
        <v>0</v>
      </c>
      <c r="E30" s="202">
        <f>SUM(E28:E29)</f>
        <v>4801934</v>
      </c>
      <c r="F30" s="202">
        <f t="shared" ref="F30:P30" si="7">SUM(F28:F29)</f>
        <v>108193061</v>
      </c>
      <c r="G30" s="202">
        <f>SUM(G28:G29)</f>
        <v>113524598</v>
      </c>
      <c r="H30" s="202">
        <f t="shared" si="7"/>
        <v>3000000</v>
      </c>
      <c r="I30" s="202">
        <f>SUM(I28:I29)</f>
        <v>1400000</v>
      </c>
      <c r="J30" s="202">
        <f t="shared" si="7"/>
        <v>863600</v>
      </c>
      <c r="K30" s="202">
        <f>SUM(K28:K29)</f>
        <v>863600</v>
      </c>
      <c r="L30" s="202">
        <f t="shared" si="7"/>
        <v>1968500</v>
      </c>
      <c r="M30" s="202">
        <f>SUM(M28:M29)</f>
        <v>1968500</v>
      </c>
      <c r="N30" s="202">
        <f>SUM(N28:N29)</f>
        <v>969600</v>
      </c>
      <c r="O30" s="202">
        <f>SUM(O28:O29)</f>
        <v>6386401</v>
      </c>
      <c r="P30" s="202">
        <f t="shared" si="7"/>
        <v>2326627</v>
      </c>
      <c r="Q30" s="202">
        <f>SUM(Q28:Q29)</f>
        <v>3400398</v>
      </c>
      <c r="R30" s="202">
        <f t="shared" si="0"/>
        <v>117321388</v>
      </c>
      <c r="S30" s="202">
        <f t="shared" si="1"/>
        <v>132345431</v>
      </c>
    </row>
    <row r="31" spans="1:19" ht="21.75" customHeight="1" x14ac:dyDescent="0.25">
      <c r="A31" s="29" t="s">
        <v>262</v>
      </c>
      <c r="B31" s="31" t="s">
        <v>52</v>
      </c>
      <c r="C31" s="35" t="s">
        <v>209</v>
      </c>
      <c r="D31" s="201"/>
      <c r="E31" s="201"/>
      <c r="F31" s="201"/>
      <c r="G31" s="201"/>
      <c r="H31" s="201"/>
      <c r="I31" s="201"/>
      <c r="J31" s="201"/>
      <c r="K31" s="201"/>
      <c r="L31" s="201"/>
      <c r="M31" s="201"/>
      <c r="N31" s="201"/>
      <c r="O31" s="201"/>
      <c r="P31" s="201"/>
      <c r="Q31" s="201"/>
      <c r="R31" s="201">
        <f t="shared" si="0"/>
        <v>0</v>
      </c>
      <c r="S31" s="201">
        <f t="shared" si="1"/>
        <v>0</v>
      </c>
    </row>
    <row r="32" spans="1:19" ht="21.75" customHeight="1" x14ac:dyDescent="0.25">
      <c r="A32" s="29" t="s">
        <v>263</v>
      </c>
      <c r="B32" s="31" t="s">
        <v>220</v>
      </c>
      <c r="C32" s="35" t="s">
        <v>210</v>
      </c>
      <c r="D32" s="201"/>
      <c r="E32" s="201"/>
      <c r="F32" s="201"/>
      <c r="G32" s="201"/>
      <c r="H32" s="201"/>
      <c r="I32" s="201"/>
      <c r="J32" s="201"/>
      <c r="K32" s="201"/>
      <c r="L32" s="201"/>
      <c r="M32" s="201"/>
      <c r="N32" s="201"/>
      <c r="O32" s="201"/>
      <c r="P32" s="201"/>
      <c r="Q32" s="201"/>
      <c r="R32" s="201">
        <f t="shared" si="0"/>
        <v>0</v>
      </c>
      <c r="S32" s="201">
        <f t="shared" si="1"/>
        <v>0</v>
      </c>
    </row>
    <row r="33" spans="1:19" ht="21.75" customHeight="1" x14ac:dyDescent="0.25">
      <c r="A33" s="29" t="s">
        <v>264</v>
      </c>
      <c r="B33" s="31" t="s">
        <v>219</v>
      </c>
      <c r="C33" s="35" t="s">
        <v>211</v>
      </c>
      <c r="D33" s="201"/>
      <c r="E33" s="201"/>
      <c r="F33" s="201"/>
      <c r="G33" s="201"/>
      <c r="H33" s="201"/>
      <c r="I33" s="201"/>
      <c r="J33" s="201"/>
      <c r="K33" s="201"/>
      <c r="L33" s="201"/>
      <c r="M33" s="201"/>
      <c r="N33" s="201"/>
      <c r="O33" s="201"/>
      <c r="P33" s="201"/>
      <c r="Q33" s="201"/>
      <c r="R33" s="201">
        <f t="shared" si="0"/>
        <v>0</v>
      </c>
      <c r="S33" s="201">
        <f t="shared" si="1"/>
        <v>0</v>
      </c>
    </row>
    <row r="34" spans="1:19" ht="21.75" customHeight="1" x14ac:dyDescent="0.25">
      <c r="A34" s="29" t="s">
        <v>265</v>
      </c>
      <c r="B34" s="32" t="s">
        <v>0</v>
      </c>
      <c r="C34" s="35" t="s">
        <v>212</v>
      </c>
      <c r="D34" s="201"/>
      <c r="E34" s="201"/>
      <c r="F34" s="201">
        <v>100</v>
      </c>
      <c r="G34" s="201">
        <f>+F34+992384+921+10000-95-7383</f>
        <v>995927</v>
      </c>
      <c r="H34" s="201"/>
      <c r="I34" s="201"/>
      <c r="J34" s="201"/>
      <c r="K34" s="201"/>
      <c r="L34" s="201"/>
      <c r="M34" s="201"/>
      <c r="N34" s="201"/>
      <c r="O34" s="201">
        <f>1+1684800+726000+6000</f>
        <v>2416801</v>
      </c>
      <c r="P34" s="201">
        <v>1300000</v>
      </c>
      <c r="Q34" s="201">
        <f>+P34+2540000-1466229</f>
        <v>2373771</v>
      </c>
      <c r="R34" s="201">
        <f t="shared" si="0"/>
        <v>1300100</v>
      </c>
      <c r="S34" s="201">
        <f t="shared" si="1"/>
        <v>5786499</v>
      </c>
    </row>
    <row r="35" spans="1:19" ht="21.75" customHeight="1" x14ac:dyDescent="0.25">
      <c r="A35" s="29" t="s">
        <v>266</v>
      </c>
      <c r="B35" s="31" t="s">
        <v>242</v>
      </c>
      <c r="C35" s="35" t="s">
        <v>213</v>
      </c>
      <c r="D35" s="201"/>
      <c r="E35" s="201"/>
      <c r="F35" s="201"/>
      <c r="G35" s="201"/>
      <c r="H35" s="201"/>
      <c r="I35" s="201"/>
      <c r="J35" s="201"/>
      <c r="K35" s="201"/>
      <c r="L35" s="201"/>
      <c r="M35" s="201"/>
      <c r="N35" s="201"/>
      <c r="O35" s="201"/>
      <c r="P35" s="201"/>
      <c r="Q35" s="201"/>
      <c r="R35" s="201">
        <f t="shared" si="0"/>
        <v>0</v>
      </c>
      <c r="S35" s="201">
        <f t="shared" si="1"/>
        <v>0</v>
      </c>
    </row>
    <row r="36" spans="1:19" ht="21.75" customHeight="1" x14ac:dyDescent="0.25">
      <c r="A36" s="29" t="s">
        <v>267</v>
      </c>
      <c r="B36" s="31" t="s">
        <v>237</v>
      </c>
      <c r="C36" s="35" t="s">
        <v>214</v>
      </c>
      <c r="D36" s="201"/>
      <c r="E36" s="201"/>
      <c r="F36" s="201"/>
      <c r="G36" s="201"/>
      <c r="H36" s="201"/>
      <c r="I36" s="201"/>
      <c r="J36" s="201"/>
      <c r="K36" s="201"/>
      <c r="L36" s="201"/>
      <c r="M36" s="201"/>
      <c r="N36" s="201"/>
      <c r="O36" s="201"/>
      <c r="P36" s="201"/>
      <c r="Q36" s="201"/>
      <c r="R36" s="201">
        <f t="shared" si="0"/>
        <v>0</v>
      </c>
      <c r="S36" s="201">
        <f t="shared" si="1"/>
        <v>0</v>
      </c>
    </row>
    <row r="37" spans="1:19" ht="21.75" customHeight="1" x14ac:dyDescent="0.25">
      <c r="A37" s="29" t="s">
        <v>268</v>
      </c>
      <c r="B37" s="31" t="s">
        <v>238</v>
      </c>
      <c r="C37" s="35" t="s">
        <v>215</v>
      </c>
      <c r="D37" s="201"/>
      <c r="E37" s="201"/>
      <c r="F37" s="201"/>
      <c r="G37" s="201"/>
      <c r="H37" s="201"/>
      <c r="I37" s="201"/>
      <c r="J37" s="201"/>
      <c r="K37" s="201"/>
      <c r="L37" s="201"/>
      <c r="M37" s="201"/>
      <c r="N37" s="201"/>
      <c r="O37" s="201"/>
      <c r="P37" s="201"/>
      <c r="Q37" s="201"/>
      <c r="R37" s="201">
        <f t="shared" si="0"/>
        <v>0</v>
      </c>
      <c r="S37" s="201">
        <f t="shared" si="1"/>
        <v>0</v>
      </c>
    </row>
    <row r="38" spans="1:19" ht="21.75" customHeight="1" x14ac:dyDescent="0.25">
      <c r="A38" s="29" t="s">
        <v>269</v>
      </c>
      <c r="B38" s="32" t="s">
        <v>239</v>
      </c>
      <c r="C38" s="35" t="s">
        <v>216</v>
      </c>
      <c r="D38" s="202">
        <f>+D31+D32+D33+D34+D35+D36+D37</f>
        <v>0</v>
      </c>
      <c r="E38" s="202">
        <f>+E31+E32+E33+E34+E35+E36+E37</f>
        <v>0</v>
      </c>
      <c r="F38" s="202">
        <f t="shared" ref="F38:P38" si="8">+F31+F32+F33+F34+F35+F36+F37</f>
        <v>100</v>
      </c>
      <c r="G38" s="202">
        <f>+G31+G32+G33+G34+G35+G36+G37</f>
        <v>995927</v>
      </c>
      <c r="H38" s="202">
        <f t="shared" si="8"/>
        <v>0</v>
      </c>
      <c r="I38" s="202">
        <f>+I31+I32+I33+I34+I35+I36+I37</f>
        <v>0</v>
      </c>
      <c r="J38" s="202">
        <f t="shared" si="8"/>
        <v>0</v>
      </c>
      <c r="K38" s="202">
        <f>+K31+K32+K33+K34+K35+K36+K37</f>
        <v>0</v>
      </c>
      <c r="L38" s="202">
        <f t="shared" si="8"/>
        <v>0</v>
      </c>
      <c r="M38" s="202">
        <f>+M31+M32+M33+M34+M35+M36+M37</f>
        <v>0</v>
      </c>
      <c r="N38" s="202">
        <f>+N31+N32+N33+N34+N35+N36+N37</f>
        <v>0</v>
      </c>
      <c r="O38" s="202">
        <f>+O31+O32+O33+O34+O35+O36+O37</f>
        <v>2416801</v>
      </c>
      <c r="P38" s="202">
        <f t="shared" si="8"/>
        <v>1300000</v>
      </c>
      <c r="Q38" s="202">
        <f>+Q31+Q32+Q33+Q34+Q35+Q36+Q37</f>
        <v>2373771</v>
      </c>
      <c r="R38" s="202">
        <f t="shared" si="0"/>
        <v>1300100</v>
      </c>
      <c r="S38" s="202">
        <f t="shared" si="1"/>
        <v>5786499</v>
      </c>
    </row>
    <row r="39" spans="1:19" ht="21.75" customHeight="1" x14ac:dyDescent="0.25">
      <c r="A39" s="29" t="s">
        <v>270</v>
      </c>
      <c r="B39" s="35" t="s">
        <v>240</v>
      </c>
      <c r="C39" s="30" t="s">
        <v>218</v>
      </c>
      <c r="D39" s="201">
        <f>SUM(D41:D45)</f>
        <v>116021288</v>
      </c>
      <c r="E39" s="201">
        <f>SUM(E41:E45)</f>
        <v>126558932</v>
      </c>
      <c r="F39" s="201">
        <f t="shared" ref="F39:P39" si="9">SUM(F41:F45)</f>
        <v>0</v>
      </c>
      <c r="G39" s="201">
        <f>SUM(G41:G45)</f>
        <v>0</v>
      </c>
      <c r="H39" s="201">
        <f t="shared" si="9"/>
        <v>0</v>
      </c>
      <c r="I39" s="201">
        <f>SUM(I41:I45)</f>
        <v>0</v>
      </c>
      <c r="J39" s="201">
        <f t="shared" si="9"/>
        <v>0</v>
      </c>
      <c r="K39" s="201">
        <f>SUM(K41:K45)</f>
        <v>0</v>
      </c>
      <c r="L39" s="201">
        <f t="shared" si="9"/>
        <v>0</v>
      </c>
      <c r="M39" s="201">
        <f>SUM(M41:M45)</f>
        <v>0</v>
      </c>
      <c r="N39" s="201">
        <f>SUM(N41:N45)</f>
        <v>0</v>
      </c>
      <c r="O39" s="201">
        <f>SUM(O41:O45)</f>
        <v>0</v>
      </c>
      <c r="P39" s="201">
        <f t="shared" si="9"/>
        <v>0</v>
      </c>
      <c r="Q39" s="201">
        <f>SUM(Q41:Q45)</f>
        <v>0</v>
      </c>
      <c r="R39" s="201">
        <f t="shared" si="0"/>
        <v>116021288</v>
      </c>
      <c r="S39" s="201">
        <f t="shared" si="1"/>
        <v>126558932</v>
      </c>
    </row>
    <row r="40" spans="1:19" ht="21.75" customHeight="1" x14ac:dyDescent="0.25">
      <c r="A40" s="29" t="s">
        <v>271</v>
      </c>
      <c r="B40" s="105" t="s">
        <v>566</v>
      </c>
      <c r="C40" s="30"/>
      <c r="D40" s="201"/>
      <c r="E40" s="201"/>
      <c r="F40" s="201"/>
      <c r="G40" s="201"/>
      <c r="H40" s="201"/>
      <c r="I40" s="201"/>
      <c r="J40" s="201"/>
      <c r="K40" s="201"/>
      <c r="L40" s="201"/>
      <c r="M40" s="201"/>
      <c r="N40" s="201"/>
      <c r="O40" s="201"/>
      <c r="P40" s="201"/>
      <c r="Q40" s="201"/>
      <c r="R40" s="201">
        <f t="shared" si="0"/>
        <v>0</v>
      </c>
      <c r="S40" s="201">
        <f t="shared" si="1"/>
        <v>0</v>
      </c>
    </row>
    <row r="41" spans="1:19" ht="21.75" customHeight="1" x14ac:dyDescent="0.25">
      <c r="A41" s="29" t="s">
        <v>272</v>
      </c>
      <c r="B41" s="36" t="s">
        <v>846</v>
      </c>
      <c r="C41" s="34"/>
      <c r="D41" s="201">
        <f>93560+131355</f>
        <v>224915</v>
      </c>
      <c r="E41" s="201">
        <f>+D41+4801934</f>
        <v>5026849</v>
      </c>
      <c r="F41" s="201"/>
      <c r="G41" s="201"/>
      <c r="H41" s="201"/>
      <c r="I41" s="201"/>
      <c r="J41" s="201"/>
      <c r="K41" s="201"/>
      <c r="L41" s="201"/>
      <c r="M41" s="201"/>
      <c r="N41" s="201"/>
      <c r="O41" s="201"/>
      <c r="P41" s="201"/>
      <c r="Q41" s="201"/>
      <c r="R41" s="201">
        <f t="shared" si="0"/>
        <v>224915</v>
      </c>
      <c r="S41" s="201">
        <f t="shared" si="1"/>
        <v>5026849</v>
      </c>
    </row>
    <row r="42" spans="1:19" ht="21.75" customHeight="1" x14ac:dyDescent="0.25">
      <c r="A42" s="29" t="s">
        <v>276</v>
      </c>
      <c r="B42" s="36" t="s">
        <v>847</v>
      </c>
      <c r="C42" s="34"/>
      <c r="D42" s="201"/>
      <c r="E42" s="201"/>
      <c r="F42" s="201"/>
      <c r="G42" s="201"/>
      <c r="H42" s="201"/>
      <c r="I42" s="201"/>
      <c r="J42" s="201"/>
      <c r="K42" s="201"/>
      <c r="L42" s="201"/>
      <c r="M42" s="201"/>
      <c r="N42" s="201"/>
      <c r="O42" s="201"/>
      <c r="P42" s="201"/>
      <c r="Q42" s="201"/>
      <c r="R42" s="201">
        <f t="shared" si="0"/>
        <v>0</v>
      </c>
      <c r="S42" s="201">
        <f t="shared" si="1"/>
        <v>0</v>
      </c>
    </row>
    <row r="43" spans="1:19" ht="21.75" customHeight="1" x14ac:dyDescent="0.25">
      <c r="A43" s="29" t="s">
        <v>277</v>
      </c>
      <c r="B43" s="36" t="s">
        <v>539</v>
      </c>
      <c r="C43" s="34"/>
      <c r="D43" s="201">
        <f>+R28-R31-R33-R34-R36-R41</f>
        <v>114667373</v>
      </c>
      <c r="E43" s="201">
        <f>+S28-S31-S33-S34-S36-S41</f>
        <v>119387083</v>
      </c>
      <c r="F43" s="201"/>
      <c r="G43" s="201"/>
      <c r="H43" s="201"/>
      <c r="I43" s="201"/>
      <c r="J43" s="201"/>
      <c r="K43" s="201"/>
      <c r="L43" s="201"/>
      <c r="M43" s="201"/>
      <c r="N43" s="201"/>
      <c r="O43" s="201"/>
      <c r="P43" s="201"/>
      <c r="Q43" s="201"/>
      <c r="R43" s="201">
        <f t="shared" si="0"/>
        <v>114667373</v>
      </c>
      <c r="S43" s="201">
        <f t="shared" si="1"/>
        <v>119387083</v>
      </c>
    </row>
    <row r="44" spans="1:19" ht="21.75" customHeight="1" x14ac:dyDescent="0.25">
      <c r="A44" s="29" t="s">
        <v>278</v>
      </c>
      <c r="B44" s="36" t="s">
        <v>540</v>
      </c>
      <c r="C44" s="34"/>
      <c r="D44" s="201">
        <f>+R29-R32-R35-R37-R42</f>
        <v>1129000</v>
      </c>
      <c r="E44" s="201">
        <f>+S29-S32-S35-S37-S42</f>
        <v>2145000</v>
      </c>
      <c r="F44" s="201"/>
      <c r="G44" s="201"/>
      <c r="H44" s="201"/>
      <c r="I44" s="201"/>
      <c r="J44" s="201"/>
      <c r="K44" s="201"/>
      <c r="L44" s="201"/>
      <c r="M44" s="201"/>
      <c r="N44" s="201"/>
      <c r="O44" s="201"/>
      <c r="P44" s="201"/>
      <c r="Q44" s="201"/>
      <c r="R44" s="201">
        <f t="shared" si="0"/>
        <v>1129000</v>
      </c>
      <c r="S44" s="201">
        <f t="shared" si="1"/>
        <v>2145000</v>
      </c>
    </row>
    <row r="45" spans="1:19" ht="21.75" customHeight="1" x14ac:dyDescent="0.25">
      <c r="A45" s="29" t="s">
        <v>279</v>
      </c>
      <c r="B45" s="36" t="s">
        <v>574</v>
      </c>
      <c r="C45" s="34"/>
      <c r="D45" s="201"/>
      <c r="E45" s="201"/>
      <c r="F45" s="201"/>
      <c r="G45" s="201"/>
      <c r="H45" s="201"/>
      <c r="I45" s="201"/>
      <c r="J45" s="201"/>
      <c r="K45" s="201"/>
      <c r="L45" s="201"/>
      <c r="M45" s="201"/>
      <c r="N45" s="201"/>
      <c r="O45" s="201"/>
      <c r="P45" s="201"/>
      <c r="Q45" s="201"/>
      <c r="R45" s="201">
        <f t="shared" si="0"/>
        <v>0</v>
      </c>
      <c r="S45" s="201">
        <f t="shared" si="1"/>
        <v>0</v>
      </c>
    </row>
    <row r="46" spans="1:19" ht="21.75" customHeight="1" x14ac:dyDescent="0.25">
      <c r="A46" s="29" t="s">
        <v>280</v>
      </c>
      <c r="B46" s="267" t="s">
        <v>815</v>
      </c>
      <c r="C46" s="34"/>
      <c r="D46" s="201"/>
      <c r="E46" s="201"/>
      <c r="F46" s="201"/>
      <c r="G46" s="201"/>
      <c r="H46" s="201"/>
      <c r="I46" s="201"/>
      <c r="J46" s="201"/>
      <c r="K46" s="201"/>
      <c r="L46" s="201"/>
      <c r="M46" s="201"/>
      <c r="N46" s="201"/>
      <c r="O46" s="201"/>
      <c r="P46" s="201"/>
      <c r="Q46" s="201"/>
      <c r="R46" s="201">
        <f t="shared" si="0"/>
        <v>0</v>
      </c>
      <c r="S46" s="201">
        <f t="shared" si="1"/>
        <v>0</v>
      </c>
    </row>
    <row r="47" spans="1:19" ht="21.75" customHeight="1" x14ac:dyDescent="0.25">
      <c r="A47" s="29" t="s">
        <v>281</v>
      </c>
      <c r="B47" s="37" t="s">
        <v>113</v>
      </c>
      <c r="C47" s="30"/>
      <c r="D47" s="202">
        <f>+D31+D33+D34+D36+D41+D43</f>
        <v>114892288</v>
      </c>
      <c r="E47" s="202">
        <f>+E31+E33+E34+E36+E41+E43</f>
        <v>124413932</v>
      </c>
      <c r="F47" s="202">
        <f t="shared" ref="F47:P47" si="10">+F31+F33+F34+F36+F41+F43</f>
        <v>100</v>
      </c>
      <c r="G47" s="202">
        <f>+G31+G33+G34+G36+G41+G43</f>
        <v>995927</v>
      </c>
      <c r="H47" s="202">
        <f t="shared" si="10"/>
        <v>0</v>
      </c>
      <c r="I47" s="202">
        <f>+I31+I33+I34+I36+I41+I43</f>
        <v>0</v>
      </c>
      <c r="J47" s="202">
        <f t="shared" si="10"/>
        <v>0</v>
      </c>
      <c r="K47" s="202">
        <f>+K31+K33+K34+K36+K41+K43</f>
        <v>0</v>
      </c>
      <c r="L47" s="202">
        <f t="shared" si="10"/>
        <v>0</v>
      </c>
      <c r="M47" s="202">
        <f>+M31+M33+M34+M36+M41+M43</f>
        <v>0</v>
      </c>
      <c r="N47" s="202">
        <f>+N31+N33+N34+N36+N41+N43</f>
        <v>0</v>
      </c>
      <c r="O47" s="202">
        <f>+O31+O33+O34+O36+O41+O43</f>
        <v>2416801</v>
      </c>
      <c r="P47" s="202">
        <f t="shared" si="10"/>
        <v>1300000</v>
      </c>
      <c r="Q47" s="202">
        <f>+Q31+Q33+Q34+Q36+Q41+Q43</f>
        <v>2373771</v>
      </c>
      <c r="R47" s="202">
        <f t="shared" si="0"/>
        <v>116192388</v>
      </c>
      <c r="S47" s="202">
        <f t="shared" si="1"/>
        <v>130200431</v>
      </c>
    </row>
    <row r="48" spans="1:19" ht="21.75" customHeight="1" x14ac:dyDescent="0.25">
      <c r="A48" s="29" t="s">
        <v>282</v>
      </c>
      <c r="B48" s="37" t="s">
        <v>114</v>
      </c>
      <c r="C48" s="30"/>
      <c r="D48" s="202">
        <f>+D32+D35+D37+D42+D429+D45+D44</f>
        <v>1129000</v>
      </c>
      <c r="E48" s="202">
        <f>+E32+E35+E37+E42+E429+E45+E44</f>
        <v>2145000</v>
      </c>
      <c r="F48" s="202">
        <f t="shared" ref="F48:P48" si="11">+F32+F35+F37+F42+F429+F45+F44</f>
        <v>0</v>
      </c>
      <c r="G48" s="202">
        <f>+G32+G35+G37+G42+G429+G45+G44</f>
        <v>0</v>
      </c>
      <c r="H48" s="202">
        <f t="shared" si="11"/>
        <v>0</v>
      </c>
      <c r="I48" s="202">
        <f>+I32+I35+I37+I42+I429+I45+I44</f>
        <v>0</v>
      </c>
      <c r="J48" s="202">
        <f t="shared" si="11"/>
        <v>0</v>
      </c>
      <c r="K48" s="202">
        <f>+K32+K35+K37+K42+K429+K45+K44</f>
        <v>0</v>
      </c>
      <c r="L48" s="202">
        <f t="shared" si="11"/>
        <v>0</v>
      </c>
      <c r="M48" s="202">
        <f>+M32+M35+M37+M42+M429+M45+M44</f>
        <v>0</v>
      </c>
      <c r="N48" s="202">
        <f>+N32+N35+N37+N42+N429+N45+N44</f>
        <v>0</v>
      </c>
      <c r="O48" s="202">
        <f>+O32+O35+O37+O42+O429+O45+O44</f>
        <v>0</v>
      </c>
      <c r="P48" s="202">
        <f t="shared" si="11"/>
        <v>0</v>
      </c>
      <c r="Q48" s="202">
        <f>+Q32+Q35+Q37+Q42+Q429+Q45+Q44</f>
        <v>0</v>
      </c>
      <c r="R48" s="202">
        <f t="shared" si="0"/>
        <v>1129000</v>
      </c>
      <c r="S48" s="202">
        <f t="shared" si="1"/>
        <v>2145000</v>
      </c>
    </row>
    <row r="49" spans="1:20" ht="21.75" customHeight="1" x14ac:dyDescent="0.25">
      <c r="A49" s="29" t="s">
        <v>283</v>
      </c>
      <c r="B49" s="37" t="s">
        <v>328</v>
      </c>
      <c r="C49" s="30"/>
      <c r="D49" s="202">
        <f>+D47+D48</f>
        <v>116021288</v>
      </c>
      <c r="E49" s="202">
        <f>+E47+E48</f>
        <v>126558932</v>
      </c>
      <c r="F49" s="202">
        <f t="shared" ref="F49:P49" si="12">+F47+F48</f>
        <v>100</v>
      </c>
      <c r="G49" s="202">
        <f>+G47+G48</f>
        <v>995927</v>
      </c>
      <c r="H49" s="202">
        <f t="shared" si="12"/>
        <v>0</v>
      </c>
      <c r="I49" s="202">
        <f>+I47+I48</f>
        <v>0</v>
      </c>
      <c r="J49" s="202">
        <f t="shared" si="12"/>
        <v>0</v>
      </c>
      <c r="K49" s="202">
        <f>+K47+K48</f>
        <v>0</v>
      </c>
      <c r="L49" s="202">
        <f t="shared" si="12"/>
        <v>0</v>
      </c>
      <c r="M49" s="202">
        <f>+M47+M48</f>
        <v>0</v>
      </c>
      <c r="N49" s="202">
        <f>+N47+N48</f>
        <v>0</v>
      </c>
      <c r="O49" s="202">
        <f>+O47+O48</f>
        <v>2416801</v>
      </c>
      <c r="P49" s="202">
        <f t="shared" si="12"/>
        <v>1300000</v>
      </c>
      <c r="Q49" s="202">
        <f>+Q47+Q48</f>
        <v>2373771</v>
      </c>
      <c r="R49" s="202">
        <f t="shared" si="0"/>
        <v>117321388</v>
      </c>
      <c r="S49" s="202">
        <f t="shared" si="1"/>
        <v>132345431</v>
      </c>
    </row>
    <row r="50" spans="1:20" ht="21.75" customHeight="1" x14ac:dyDescent="0.25">
      <c r="A50" s="29" t="s">
        <v>284</v>
      </c>
      <c r="B50" s="414" t="s">
        <v>437</v>
      </c>
      <c r="C50" s="207"/>
      <c r="D50" s="201"/>
      <c r="E50" s="201"/>
      <c r="F50" s="201">
        <v>10</v>
      </c>
      <c r="G50" s="201">
        <f>+F50</f>
        <v>10</v>
      </c>
      <c r="H50" s="201"/>
      <c r="I50" s="201"/>
      <c r="J50" s="201"/>
      <c r="K50" s="201"/>
      <c r="L50" s="201"/>
      <c r="M50" s="201"/>
      <c r="N50" s="201"/>
      <c r="O50" s="201"/>
      <c r="P50" s="201"/>
      <c r="Q50" s="201"/>
      <c r="R50" s="201">
        <f t="shared" si="0"/>
        <v>10</v>
      </c>
      <c r="S50" s="201">
        <f t="shared" si="1"/>
        <v>10</v>
      </c>
      <c r="T50" s="94">
        <f>R49-R30</f>
        <v>0</v>
      </c>
    </row>
    <row r="51" spans="1:20" ht="21.75" customHeight="1" x14ac:dyDescent="0.25">
      <c r="A51" s="29" t="s">
        <v>285</v>
      </c>
      <c r="B51" s="55" t="s">
        <v>1346</v>
      </c>
      <c r="C51" s="207"/>
      <c r="D51" s="242"/>
      <c r="E51" s="242"/>
      <c r="F51" s="242"/>
      <c r="G51" s="242"/>
      <c r="H51" s="242"/>
      <c r="I51" s="242"/>
      <c r="J51" s="242"/>
      <c r="K51" s="242"/>
      <c r="L51" s="242"/>
      <c r="M51" s="242"/>
      <c r="N51" s="242"/>
      <c r="O51" s="242"/>
      <c r="P51" s="242"/>
      <c r="Q51" s="242"/>
      <c r="R51" s="201">
        <f t="shared" si="0"/>
        <v>0</v>
      </c>
      <c r="S51" s="201">
        <f t="shared" si="1"/>
        <v>0</v>
      </c>
      <c r="T51" s="94"/>
    </row>
  </sheetData>
  <mergeCells count="25">
    <mergeCell ref="J6:J7"/>
    <mergeCell ref="L2:O2"/>
    <mergeCell ref="M6:M7"/>
    <mergeCell ref="O6:O7"/>
    <mergeCell ref="P2:S2"/>
    <mergeCell ref="Q6:Q7"/>
    <mergeCell ref="S4:S7"/>
    <mergeCell ref="N6:N7"/>
    <mergeCell ref="R4:R7"/>
    <mergeCell ref="A2:C3"/>
    <mergeCell ref="B6:C6"/>
    <mergeCell ref="L6:L7"/>
    <mergeCell ref="P6:P7"/>
    <mergeCell ref="A4:A7"/>
    <mergeCell ref="B4:C4"/>
    <mergeCell ref="D6:D7"/>
    <mergeCell ref="F6:F7"/>
    <mergeCell ref="B5:C5"/>
    <mergeCell ref="E6:E7"/>
    <mergeCell ref="G6:G7"/>
    <mergeCell ref="D2:G2"/>
    <mergeCell ref="H2:K2"/>
    <mergeCell ref="I6:I7"/>
    <mergeCell ref="K6:K7"/>
    <mergeCell ref="H6:H7"/>
  </mergeCells>
  <phoneticPr fontId="50" type="noConversion"/>
  <printOptions horizontalCentered="1" verticalCentered="1"/>
  <pageMargins left="0.35433070866141736" right="0.35433070866141736" top="0.39370078740157483" bottom="0.39370078740157483" header="0.51181102362204722" footer="0.51181102362204722"/>
  <pageSetup paperSize="9" scale="55" orientation="portrait" r:id="rId1"/>
  <headerFooter alignWithMargins="0">
    <oddHeader>&amp;C2023. évi költségvetés&amp;R&amp;A</oddHeader>
    <oddFooter>&amp;C&amp;P/&amp;N</oddFooter>
  </headerFooter>
  <colBreaks count="3" manualBreakCount="3">
    <brk id="7" max="50" man="1"/>
    <brk id="11" max="50" man="1"/>
    <brk id="15"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AT51"/>
  <sheetViews>
    <sheetView view="pageBreakPreview" zoomScale="80" zoomScaleNormal="80" zoomScaleSheetLayoutView="80" workbookViewId="0">
      <pane xSplit="3" ySplit="8" topLeftCell="AQ9" activePane="bottomRight" state="frozen"/>
      <selection pane="topRight" activeCell="D1" sqref="D1"/>
      <selection pane="bottomLeft" activeCell="A8" sqref="A8"/>
      <selection pane="bottomRight" activeCell="AQ11" sqref="AQ11"/>
    </sheetView>
  </sheetViews>
  <sheetFormatPr defaultRowHeight="12.75" x14ac:dyDescent="0.2"/>
  <cols>
    <col min="1" max="1" width="5.85546875" style="23" customWidth="1"/>
    <col min="2" max="2" width="64.85546875" style="23" customWidth="1"/>
    <col min="3" max="3" width="8" style="23" customWidth="1"/>
    <col min="4" max="5" width="18.140625" style="24" customWidth="1"/>
    <col min="6" max="7" width="16.28515625" style="24" customWidth="1"/>
    <col min="8" max="11" width="17.28515625" style="24" customWidth="1"/>
    <col min="12" max="13" width="18.7109375" style="24" customWidth="1"/>
    <col min="14" max="15" width="17" style="24" customWidth="1"/>
    <col min="16" max="17" width="16.28515625" style="24" customWidth="1"/>
    <col min="18" max="19" width="17.28515625" style="24" customWidth="1"/>
    <col min="20" max="20" width="17.7109375" style="24" customWidth="1"/>
    <col min="21" max="21" width="15.7109375" style="24" customWidth="1"/>
    <col min="22" max="22" width="17.85546875" style="24" customWidth="1"/>
    <col min="23" max="23" width="15.85546875" style="24" customWidth="1"/>
    <col min="24" max="24" width="18.85546875" style="24" customWidth="1"/>
    <col min="25" max="25" width="19.5703125" style="24" customWidth="1"/>
    <col min="26" max="27" width="17.7109375" style="24" customWidth="1"/>
    <col min="28" max="29" width="17.85546875" style="24" customWidth="1"/>
    <col min="30" max="31" width="18" style="24" customWidth="1"/>
    <col min="32" max="35" width="18.5703125" style="24" customWidth="1"/>
    <col min="36" max="37" width="17.42578125" style="24" customWidth="1"/>
    <col min="38" max="41" width="19" style="24" customWidth="1"/>
    <col min="42" max="43" width="17.42578125" style="24" customWidth="1"/>
    <col min="44" max="44" width="18.140625" style="24" customWidth="1"/>
    <col min="45" max="45" width="18" style="23" customWidth="1"/>
    <col min="46" max="46" width="13" style="23" bestFit="1" customWidth="1"/>
    <col min="47" max="16384" width="9.140625" style="23"/>
  </cols>
  <sheetData>
    <row r="1" spans="1:46" ht="15.75" x14ac:dyDescent="0.25">
      <c r="A1" s="195"/>
      <c r="B1" s="208"/>
      <c r="C1" s="195"/>
      <c r="D1" s="197"/>
      <c r="E1" s="197"/>
      <c r="F1" s="197"/>
      <c r="G1" s="198" t="s">
        <v>431</v>
      </c>
      <c r="H1" s="197"/>
      <c r="I1" s="197"/>
      <c r="K1" s="198" t="s">
        <v>431</v>
      </c>
      <c r="L1" s="197"/>
      <c r="M1" s="197"/>
      <c r="N1" s="197"/>
      <c r="O1" s="198" t="s">
        <v>431</v>
      </c>
      <c r="P1" s="197"/>
      <c r="Q1" s="197"/>
      <c r="S1" s="198" t="s">
        <v>431</v>
      </c>
      <c r="T1" s="197"/>
      <c r="U1" s="197"/>
      <c r="V1" s="197"/>
      <c r="W1" s="198" t="s">
        <v>431</v>
      </c>
      <c r="X1" s="197"/>
      <c r="Y1" s="197"/>
      <c r="AA1" s="198" t="s">
        <v>431</v>
      </c>
      <c r="AB1" s="197"/>
      <c r="AC1" s="197"/>
      <c r="AD1" s="197"/>
      <c r="AE1" s="198" t="s">
        <v>431</v>
      </c>
      <c r="AF1" s="198"/>
      <c r="AG1" s="198"/>
      <c r="AI1" s="198" t="s">
        <v>431</v>
      </c>
      <c r="AJ1" s="197"/>
      <c r="AK1" s="197"/>
      <c r="AL1" s="197"/>
      <c r="AM1" s="198" t="s">
        <v>431</v>
      </c>
      <c r="AN1" s="198"/>
      <c r="AO1" s="198"/>
      <c r="AP1" s="197"/>
      <c r="AQ1" s="198" t="s">
        <v>431</v>
      </c>
      <c r="AR1" s="198"/>
      <c r="AS1" s="198" t="s">
        <v>431</v>
      </c>
    </row>
    <row r="2" spans="1:46" ht="36.75" customHeight="1" x14ac:dyDescent="0.2">
      <c r="A2" s="1739" t="s">
        <v>137</v>
      </c>
      <c r="B2" s="1740"/>
      <c r="C2" s="1741"/>
      <c r="D2" s="1745" t="s">
        <v>2749</v>
      </c>
      <c r="E2" s="1746"/>
      <c r="F2" s="1746"/>
      <c r="G2" s="1747"/>
      <c r="H2" s="1745" t="s">
        <v>2749</v>
      </c>
      <c r="I2" s="1746"/>
      <c r="J2" s="1746"/>
      <c r="K2" s="1747"/>
      <c r="L2" s="1745" t="s">
        <v>2749</v>
      </c>
      <c r="M2" s="1746"/>
      <c r="N2" s="1746"/>
      <c r="O2" s="1747"/>
      <c r="P2" s="1745" t="s">
        <v>2749</v>
      </c>
      <c r="Q2" s="1746"/>
      <c r="R2" s="1746"/>
      <c r="S2" s="1747"/>
      <c r="T2" s="1745" t="s">
        <v>2749</v>
      </c>
      <c r="U2" s="1746"/>
      <c r="V2" s="1746"/>
      <c r="W2" s="1747"/>
      <c r="X2" s="1745" t="s">
        <v>2749</v>
      </c>
      <c r="Y2" s="1746"/>
      <c r="Z2" s="1746"/>
      <c r="AA2" s="1747"/>
      <c r="AB2" s="1745" t="s">
        <v>2749</v>
      </c>
      <c r="AC2" s="1746"/>
      <c r="AD2" s="1746"/>
      <c r="AE2" s="1747"/>
      <c r="AF2" s="1745" t="s">
        <v>2749</v>
      </c>
      <c r="AG2" s="1746"/>
      <c r="AH2" s="1746"/>
      <c r="AI2" s="1747"/>
      <c r="AJ2" s="1745" t="s">
        <v>2749</v>
      </c>
      <c r="AK2" s="1746"/>
      <c r="AL2" s="1746"/>
      <c r="AM2" s="1747"/>
      <c r="AN2" s="1745" t="s">
        <v>2749</v>
      </c>
      <c r="AO2" s="1746"/>
      <c r="AP2" s="1746"/>
      <c r="AQ2" s="1746"/>
      <c r="AR2" s="1746" t="s">
        <v>2749</v>
      </c>
      <c r="AS2" s="1747"/>
    </row>
    <row r="3" spans="1:46" ht="36.75" customHeight="1" x14ac:dyDescent="0.2">
      <c r="A3" s="1742"/>
      <c r="B3" s="1743"/>
      <c r="C3" s="1744"/>
      <c r="D3" s="1611" t="s">
        <v>273</v>
      </c>
      <c r="E3" s="1611" t="s">
        <v>1561</v>
      </c>
      <c r="F3" s="1611" t="s">
        <v>273</v>
      </c>
      <c r="G3" s="1611" t="s">
        <v>1561</v>
      </c>
      <c r="H3" s="1611" t="s">
        <v>273</v>
      </c>
      <c r="I3" s="1611" t="s">
        <v>1561</v>
      </c>
      <c r="J3" s="1611" t="s">
        <v>273</v>
      </c>
      <c r="K3" s="1611" t="s">
        <v>1561</v>
      </c>
      <c r="L3" s="1611" t="s">
        <v>273</v>
      </c>
      <c r="M3" s="1611" t="s">
        <v>1561</v>
      </c>
      <c r="N3" s="1611" t="s">
        <v>273</v>
      </c>
      <c r="O3" s="1611" t="s">
        <v>1561</v>
      </c>
      <c r="P3" s="1611" t="s">
        <v>273</v>
      </c>
      <c r="Q3" s="1611" t="s">
        <v>1561</v>
      </c>
      <c r="R3" s="1611" t="s">
        <v>273</v>
      </c>
      <c r="S3" s="1611" t="s">
        <v>1561</v>
      </c>
      <c r="T3" s="1611" t="s">
        <v>273</v>
      </c>
      <c r="U3" s="1611" t="s">
        <v>1561</v>
      </c>
      <c r="V3" s="1611" t="s">
        <v>273</v>
      </c>
      <c r="W3" s="1611" t="s">
        <v>1561</v>
      </c>
      <c r="X3" s="1611" t="s">
        <v>273</v>
      </c>
      <c r="Y3" s="1611" t="s">
        <v>1561</v>
      </c>
      <c r="Z3" s="1611" t="s">
        <v>273</v>
      </c>
      <c r="AA3" s="1611" t="s">
        <v>1561</v>
      </c>
      <c r="AB3" s="1611" t="s">
        <v>273</v>
      </c>
      <c r="AC3" s="1611" t="s">
        <v>1561</v>
      </c>
      <c r="AD3" s="1611" t="s">
        <v>273</v>
      </c>
      <c r="AE3" s="1611" t="s">
        <v>1561</v>
      </c>
      <c r="AF3" s="1611" t="s">
        <v>273</v>
      </c>
      <c r="AG3" s="1611" t="s">
        <v>1561</v>
      </c>
      <c r="AH3" s="1611" t="s">
        <v>273</v>
      </c>
      <c r="AI3" s="1611" t="s">
        <v>1561</v>
      </c>
      <c r="AJ3" s="1611" t="s">
        <v>273</v>
      </c>
      <c r="AK3" s="1611" t="s">
        <v>1561</v>
      </c>
      <c r="AL3" s="1611" t="s">
        <v>273</v>
      </c>
      <c r="AM3" s="1611" t="s">
        <v>1561</v>
      </c>
      <c r="AN3" s="1611" t="s">
        <v>273</v>
      </c>
      <c r="AO3" s="1611" t="s">
        <v>1561</v>
      </c>
      <c r="AP3" s="1611" t="s">
        <v>273</v>
      </c>
      <c r="AQ3" s="1611" t="s">
        <v>1561</v>
      </c>
      <c r="AR3" s="1611" t="s">
        <v>273</v>
      </c>
      <c r="AS3" s="1611" t="s">
        <v>1561</v>
      </c>
    </row>
    <row r="4" spans="1:46" ht="103.5" customHeight="1" x14ac:dyDescent="0.2">
      <c r="A4" s="1748" t="s">
        <v>186</v>
      </c>
      <c r="B4" s="1749" t="s">
        <v>244</v>
      </c>
      <c r="C4" s="1749"/>
      <c r="D4" s="1604" t="s">
        <v>433</v>
      </c>
      <c r="E4" s="1604" t="s">
        <v>433</v>
      </c>
      <c r="F4" s="209" t="s">
        <v>434</v>
      </c>
      <c r="G4" s="209" t="s">
        <v>434</v>
      </c>
      <c r="H4" s="1604" t="s">
        <v>870</v>
      </c>
      <c r="I4" s="1604" t="s">
        <v>870</v>
      </c>
      <c r="J4" s="1604" t="s">
        <v>339</v>
      </c>
      <c r="K4" s="1604" t="s">
        <v>339</v>
      </c>
      <c r="L4" s="1604" t="s">
        <v>147</v>
      </c>
      <c r="M4" s="1604" t="s">
        <v>147</v>
      </c>
      <c r="N4" s="1604" t="s">
        <v>347</v>
      </c>
      <c r="O4" s="1604" t="s">
        <v>347</v>
      </c>
      <c r="P4" s="1604" t="s">
        <v>148</v>
      </c>
      <c r="Q4" s="1604" t="s">
        <v>148</v>
      </c>
      <c r="R4" s="1604" t="s">
        <v>483</v>
      </c>
      <c r="S4" s="1604" t="s">
        <v>483</v>
      </c>
      <c r="T4" s="1604" t="s">
        <v>149</v>
      </c>
      <c r="U4" s="1604" t="s">
        <v>149</v>
      </c>
      <c r="V4" s="200" t="s">
        <v>140</v>
      </c>
      <c r="W4" s="200" t="s">
        <v>140</v>
      </c>
      <c r="X4" s="199" t="s">
        <v>141</v>
      </c>
      <c r="Y4" s="199" t="s">
        <v>141</v>
      </c>
      <c r="Z4" s="199" t="s">
        <v>142</v>
      </c>
      <c r="AA4" s="199" t="s">
        <v>142</v>
      </c>
      <c r="AB4" s="199" t="s">
        <v>180</v>
      </c>
      <c r="AC4" s="199" t="s">
        <v>180</v>
      </c>
      <c r="AD4" s="199" t="s">
        <v>180</v>
      </c>
      <c r="AE4" s="199" t="s">
        <v>180</v>
      </c>
      <c r="AF4" s="199" t="s">
        <v>180</v>
      </c>
      <c r="AG4" s="199" t="s">
        <v>180</v>
      </c>
      <c r="AH4" s="199" t="s">
        <v>426</v>
      </c>
      <c r="AI4" s="199" t="s">
        <v>426</v>
      </c>
      <c r="AJ4" s="199" t="s">
        <v>185</v>
      </c>
      <c r="AK4" s="199" t="s">
        <v>185</v>
      </c>
      <c r="AL4" s="199" t="s">
        <v>871</v>
      </c>
      <c r="AM4" s="199" t="s">
        <v>871</v>
      </c>
      <c r="AN4" s="1604" t="s">
        <v>347</v>
      </c>
      <c r="AO4" s="1604" t="s">
        <v>347</v>
      </c>
      <c r="AP4" s="209" t="s">
        <v>434</v>
      </c>
      <c r="AQ4" s="209" t="s">
        <v>434</v>
      </c>
      <c r="AR4" s="1738" t="s">
        <v>139</v>
      </c>
      <c r="AS4" s="1738" t="s">
        <v>139</v>
      </c>
    </row>
    <row r="5" spans="1:46" ht="25.5" customHeight="1" x14ac:dyDescent="0.2">
      <c r="A5" s="1748"/>
      <c r="B5" s="1749" t="s">
        <v>11</v>
      </c>
      <c r="C5" s="1749"/>
      <c r="D5" s="1604" t="s">
        <v>222</v>
      </c>
      <c r="E5" s="1604" t="s">
        <v>222</v>
      </c>
      <c r="F5" s="1604" t="s">
        <v>222</v>
      </c>
      <c r="G5" s="1604" t="s">
        <v>222</v>
      </c>
      <c r="H5" s="1604" t="s">
        <v>222</v>
      </c>
      <c r="I5" s="1604" t="s">
        <v>222</v>
      </c>
      <c r="J5" s="1604" t="s">
        <v>223</v>
      </c>
      <c r="K5" s="1604" t="s">
        <v>223</v>
      </c>
      <c r="L5" s="1604" t="s">
        <v>223</v>
      </c>
      <c r="M5" s="1604" t="s">
        <v>223</v>
      </c>
      <c r="N5" s="1604" t="s">
        <v>222</v>
      </c>
      <c r="O5" s="1604" t="s">
        <v>222</v>
      </c>
      <c r="P5" s="1604" t="s">
        <v>222</v>
      </c>
      <c r="Q5" s="1604" t="s">
        <v>222</v>
      </c>
      <c r="R5" s="1604" t="s">
        <v>223</v>
      </c>
      <c r="S5" s="1604" t="s">
        <v>223</v>
      </c>
      <c r="T5" s="1604" t="s">
        <v>223</v>
      </c>
      <c r="U5" s="1604" t="s">
        <v>223</v>
      </c>
      <c r="V5" s="1604" t="s">
        <v>223</v>
      </c>
      <c r="W5" s="1604" t="s">
        <v>223</v>
      </c>
      <c r="X5" s="1604" t="s">
        <v>222</v>
      </c>
      <c r="Y5" s="1604" t="s">
        <v>222</v>
      </c>
      <c r="Z5" s="1604" t="s">
        <v>222</v>
      </c>
      <c r="AA5" s="1604" t="s">
        <v>222</v>
      </c>
      <c r="AB5" s="1604" t="s">
        <v>222</v>
      </c>
      <c r="AC5" s="1604" t="s">
        <v>222</v>
      </c>
      <c r="AD5" s="1604" t="s">
        <v>222</v>
      </c>
      <c r="AE5" s="1604" t="s">
        <v>222</v>
      </c>
      <c r="AF5" s="1604" t="s">
        <v>222</v>
      </c>
      <c r="AG5" s="1604" t="s">
        <v>222</v>
      </c>
      <c r="AH5" s="1604" t="s">
        <v>222</v>
      </c>
      <c r="AI5" s="1604" t="s">
        <v>222</v>
      </c>
      <c r="AJ5" s="1604" t="s">
        <v>222</v>
      </c>
      <c r="AK5" s="1604" t="s">
        <v>222</v>
      </c>
      <c r="AL5" s="1604" t="s">
        <v>222</v>
      </c>
      <c r="AM5" s="1604" t="s">
        <v>222</v>
      </c>
      <c r="AN5" s="1604" t="s">
        <v>222</v>
      </c>
      <c r="AO5" s="1604" t="s">
        <v>222</v>
      </c>
      <c r="AP5" s="1604" t="s">
        <v>222</v>
      </c>
      <c r="AQ5" s="1604" t="s">
        <v>222</v>
      </c>
      <c r="AR5" s="1738"/>
      <c r="AS5" s="1738"/>
    </row>
    <row r="6" spans="1:46" ht="15.75" customHeight="1" x14ac:dyDescent="0.2">
      <c r="A6" s="1748"/>
      <c r="B6" s="1719" t="s">
        <v>713</v>
      </c>
      <c r="C6" s="1719"/>
      <c r="D6" s="1738" t="s">
        <v>346</v>
      </c>
      <c r="E6" s="1738" t="s">
        <v>346</v>
      </c>
      <c r="F6" s="1738" t="s">
        <v>608</v>
      </c>
      <c r="G6" s="1738" t="s">
        <v>608</v>
      </c>
      <c r="H6" s="1738" t="s">
        <v>345</v>
      </c>
      <c r="I6" s="1738" t="s">
        <v>345</v>
      </c>
      <c r="J6" s="1755" t="s">
        <v>344</v>
      </c>
      <c r="K6" s="1755" t="s">
        <v>344</v>
      </c>
      <c r="L6" s="1755" t="s">
        <v>343</v>
      </c>
      <c r="M6" s="1755" t="s">
        <v>343</v>
      </c>
      <c r="N6" s="1738" t="s">
        <v>503</v>
      </c>
      <c r="O6" s="1738" t="s">
        <v>503</v>
      </c>
      <c r="P6" s="1738" t="s">
        <v>505</v>
      </c>
      <c r="Q6" s="1738" t="s">
        <v>505</v>
      </c>
      <c r="R6" s="1738" t="s">
        <v>342</v>
      </c>
      <c r="S6" s="1738" t="s">
        <v>342</v>
      </c>
      <c r="T6" s="1738" t="s">
        <v>341</v>
      </c>
      <c r="U6" s="1738" t="s">
        <v>341</v>
      </c>
      <c r="V6" s="1738" t="s">
        <v>143</v>
      </c>
      <c r="W6" s="1738" t="s">
        <v>143</v>
      </c>
      <c r="X6" s="1738" t="s">
        <v>144</v>
      </c>
      <c r="Y6" s="1738" t="s">
        <v>144</v>
      </c>
      <c r="Z6" s="1738" t="s">
        <v>145</v>
      </c>
      <c r="AA6" s="1738" t="s">
        <v>145</v>
      </c>
      <c r="AB6" s="1738" t="s">
        <v>392</v>
      </c>
      <c r="AC6" s="1738" t="s">
        <v>392</v>
      </c>
      <c r="AD6" s="1738" t="s">
        <v>410</v>
      </c>
      <c r="AE6" s="1738" t="s">
        <v>410</v>
      </c>
      <c r="AF6" s="1738" t="s">
        <v>393</v>
      </c>
      <c r="AG6" s="1738" t="s">
        <v>393</v>
      </c>
      <c r="AH6" s="1738" t="s">
        <v>146</v>
      </c>
      <c r="AI6" s="1738" t="s">
        <v>146</v>
      </c>
      <c r="AJ6" s="1738" t="s">
        <v>340</v>
      </c>
      <c r="AK6" s="1738" t="s">
        <v>340</v>
      </c>
      <c r="AL6" s="1738" t="s">
        <v>504</v>
      </c>
      <c r="AM6" s="1738" t="s">
        <v>504</v>
      </c>
      <c r="AN6" s="1738" t="s">
        <v>3335</v>
      </c>
      <c r="AO6" s="1738" t="s">
        <v>3336</v>
      </c>
      <c r="AP6" s="1738" t="s">
        <v>177</v>
      </c>
      <c r="AQ6" s="1738" t="s">
        <v>177</v>
      </c>
      <c r="AR6" s="1738"/>
      <c r="AS6" s="1738"/>
    </row>
    <row r="7" spans="1:46" ht="68.25" customHeight="1" x14ac:dyDescent="0.2">
      <c r="A7" s="1748"/>
      <c r="B7" s="1606" t="s">
        <v>187</v>
      </c>
      <c r="C7" s="144" t="s">
        <v>245</v>
      </c>
      <c r="D7" s="1738"/>
      <c r="E7" s="1738"/>
      <c r="F7" s="1738"/>
      <c r="G7" s="1738"/>
      <c r="H7" s="1738"/>
      <c r="I7" s="1738"/>
      <c r="J7" s="1755"/>
      <c r="K7" s="1755"/>
      <c r="L7" s="1755"/>
      <c r="M7" s="1755"/>
      <c r="N7" s="1738"/>
      <c r="O7" s="1738"/>
      <c r="P7" s="1738"/>
      <c r="Q7" s="1738"/>
      <c r="R7" s="1738"/>
      <c r="S7" s="1738"/>
      <c r="T7" s="1738"/>
      <c r="U7" s="1738"/>
      <c r="V7" s="1738"/>
      <c r="W7" s="1738"/>
      <c r="X7" s="1738"/>
      <c r="Y7" s="1738"/>
      <c r="Z7" s="1738"/>
      <c r="AA7" s="1738"/>
      <c r="AB7" s="1738"/>
      <c r="AC7" s="1738"/>
      <c r="AD7" s="1738"/>
      <c r="AE7" s="1738"/>
      <c r="AF7" s="1738"/>
      <c r="AG7" s="1738"/>
      <c r="AH7" s="1738"/>
      <c r="AI7" s="1738"/>
      <c r="AJ7" s="1738"/>
      <c r="AK7" s="1738"/>
      <c r="AL7" s="1738"/>
      <c r="AM7" s="1738"/>
      <c r="AN7" s="1738"/>
      <c r="AO7" s="1738"/>
      <c r="AP7" s="1738"/>
      <c r="AQ7" s="1738"/>
      <c r="AR7" s="1738"/>
      <c r="AS7" s="1738"/>
    </row>
    <row r="8" spans="1:46" ht="15.75" x14ac:dyDescent="0.2">
      <c r="A8" s="27" t="s">
        <v>188</v>
      </c>
      <c r="B8" s="28" t="s">
        <v>189</v>
      </c>
      <c r="C8" s="28" t="s">
        <v>190</v>
      </c>
      <c r="D8" s="419" t="s">
        <v>191</v>
      </c>
      <c r="E8" s="419" t="s">
        <v>192</v>
      </c>
      <c r="F8" s="419" t="s">
        <v>193</v>
      </c>
      <c r="G8" s="419" t="s">
        <v>194</v>
      </c>
      <c r="H8" s="419" t="s">
        <v>195</v>
      </c>
      <c r="I8" s="419" t="s">
        <v>196</v>
      </c>
      <c r="J8" s="419" t="s">
        <v>197</v>
      </c>
      <c r="K8" s="419" t="s">
        <v>198</v>
      </c>
      <c r="L8" s="419" t="s">
        <v>225</v>
      </c>
      <c r="M8" s="419" t="s">
        <v>226</v>
      </c>
      <c r="N8" s="419" t="s">
        <v>227</v>
      </c>
      <c r="O8" s="419" t="s">
        <v>228</v>
      </c>
      <c r="P8" s="419" t="s">
        <v>229</v>
      </c>
      <c r="Q8" s="419" t="s">
        <v>230</v>
      </c>
      <c r="R8" s="419" t="s">
        <v>231</v>
      </c>
      <c r="S8" s="419" t="s">
        <v>232</v>
      </c>
      <c r="T8" s="419" t="s">
        <v>233</v>
      </c>
      <c r="U8" s="419" t="s">
        <v>260</v>
      </c>
      <c r="V8" s="419" t="s">
        <v>261</v>
      </c>
      <c r="W8" s="419" t="s">
        <v>262</v>
      </c>
      <c r="X8" s="419" t="s">
        <v>263</v>
      </c>
      <c r="Y8" s="419" t="s">
        <v>264</v>
      </c>
      <c r="Z8" s="419" t="s">
        <v>265</v>
      </c>
      <c r="AA8" s="419" t="s">
        <v>266</v>
      </c>
      <c r="AB8" s="419" t="s">
        <v>267</v>
      </c>
      <c r="AC8" s="419" t="s">
        <v>268</v>
      </c>
      <c r="AD8" s="419" t="s">
        <v>269</v>
      </c>
      <c r="AE8" s="419" t="s">
        <v>270</v>
      </c>
      <c r="AF8" s="419" t="s">
        <v>271</v>
      </c>
      <c r="AG8" s="419" t="s">
        <v>272</v>
      </c>
      <c r="AH8" s="419" t="s">
        <v>276</v>
      </c>
      <c r="AI8" s="419" t="s">
        <v>277</v>
      </c>
      <c r="AJ8" s="419" t="s">
        <v>278</v>
      </c>
      <c r="AK8" s="419" t="s">
        <v>279</v>
      </c>
      <c r="AL8" s="419" t="s">
        <v>280</v>
      </c>
      <c r="AM8" s="419" t="s">
        <v>281</v>
      </c>
      <c r="AN8" s="419" t="s">
        <v>282</v>
      </c>
      <c r="AO8" s="419" t="s">
        <v>283</v>
      </c>
      <c r="AP8" s="419" t="s">
        <v>284</v>
      </c>
      <c r="AQ8" s="419" t="s">
        <v>285</v>
      </c>
      <c r="AR8" s="419" t="s">
        <v>286</v>
      </c>
      <c r="AS8" s="419" t="s">
        <v>287</v>
      </c>
    </row>
    <row r="9" spans="1:46" ht="21.75" customHeight="1" x14ac:dyDescent="0.25">
      <c r="A9" s="29" t="s">
        <v>188</v>
      </c>
      <c r="B9" s="26" t="s">
        <v>329</v>
      </c>
      <c r="C9" s="30" t="s">
        <v>199</v>
      </c>
      <c r="D9" s="201"/>
      <c r="E9" s="201"/>
      <c r="F9" s="201">
        <v>90303487</v>
      </c>
      <c r="G9" s="201">
        <f>+F9-2992212+22212+2970000-38163+18900+19263-101617+68900+32717-101095+68900+32195+1200000-75680+48900+26780-159455+118900+40555-285951+248975+36976-146142+118900+27242+900000-52642+18900+33742-241552+208900+32652-5236233+5000000+128900+107333-1543337+1015544+38900+34390-1403985+1292225</f>
        <v>91837224</v>
      </c>
      <c r="H9" s="201">
        <v>6755000</v>
      </c>
      <c r="I9" s="201">
        <f>+H9-5108+5108-5108+5108-5108+5108-5108+5108+150000-5108+5108-5108+5108-5108+5108-5108+5108+100000-85108+80000+5108-5108+5108-505108+500000+5108+249395+5108+200000+111760</f>
        <v>7571263</v>
      </c>
      <c r="J9" s="201">
        <v>30280600</v>
      </c>
      <c r="K9" s="201">
        <f>+J9-75000+75000-107800+107800-107800+107800-107800+107800+600000-107800+107800-107800+107800-170300+170300-170300+170300+400000-107800+107800-638150+107800+530350-1857800+1750000+107800-807800+107800+700000-335280+335280</f>
        <v>31280600</v>
      </c>
      <c r="L9" s="201">
        <v>17859400</v>
      </c>
      <c r="M9" s="201">
        <f>+L9-168225+3825+164400-353625+27600+3375+322650-323460+27600+4860+291000-187680+27600+5130+154950+300000-355290+27600+4590+323100-192830+20000+5130+167700-334490+20000+4590+309900-431350+100000+5400+325950+200000-222227+20000+5130+197097-338330+20000+5130+313200-1178250+1000000+20000+158250-1541553+803493+20000+4860+713200-111760+111760</f>
        <v>18359400</v>
      </c>
      <c r="N9" s="201"/>
      <c r="O9" s="201"/>
      <c r="P9" s="201"/>
      <c r="Q9" s="201"/>
      <c r="R9" s="201">
        <v>3253628</v>
      </c>
      <c r="S9" s="201">
        <f>+R9-190000+190000-190000+190000-190000+190000-190000+190000-190000+190000-190000+190000-190000+190000-190000+190000-190000+190000-190000+190000-190000+190000</f>
        <v>3253628</v>
      </c>
      <c r="T9" s="201">
        <v>13334835</v>
      </c>
      <c r="U9" s="201">
        <f>+T9-3762+3762-7524+7524-88829+8208+80621-9029+9029+300000-7387+7387-8618+8618-8618+8618-6156+6156+200000-3694+3694-8208+8208-1000000+1000000-8618+8618</f>
        <v>13834835</v>
      </c>
      <c r="V9" s="201">
        <v>14451304</v>
      </c>
      <c r="W9" s="201">
        <f>+V9+300000-60681+60681+200000-1000000+1000000</f>
        <v>14951304</v>
      </c>
      <c r="X9" s="201">
        <v>107895492</v>
      </c>
      <c r="Y9" s="201">
        <f>+X9-49227+13371+35856-24849+24849-37333+12860+24473-29459+29459+1500000-23357+23357-30000+30000-506193+479458+26735-507448+485458+21990</f>
        <v>109395492</v>
      </c>
      <c r="Z9" s="201">
        <v>27002904</v>
      </c>
      <c r="AA9" s="201">
        <f>+Z9-10234+10234-136583+136583-10234+10234-240356+240356+450000-10234+10234-10234+10234-10234+10234-31518+10234+21284+300000-153030+10234+142796-10234+10234-1510234+1500000+10234-10234+10234</f>
        <v>27752904</v>
      </c>
      <c r="AB9" s="201"/>
      <c r="AC9" s="201"/>
      <c r="AD9" s="201">
        <v>6755000</v>
      </c>
      <c r="AE9" s="201">
        <f>+AD9+150000+100000-339039+184200+154839-300000+300000</f>
        <v>7005000</v>
      </c>
      <c r="AF9" s="201"/>
      <c r="AG9" s="201"/>
      <c r="AH9" s="201"/>
      <c r="AI9" s="201"/>
      <c r="AJ9" s="201"/>
      <c r="AK9" s="201"/>
      <c r="AL9" s="201"/>
      <c r="AM9" s="201"/>
      <c r="AN9" s="201"/>
      <c r="AO9" s="201"/>
      <c r="AP9" s="201"/>
      <c r="AQ9" s="201"/>
      <c r="AR9" s="201">
        <f>D9+F9+H9+J9+L9+N9+P9+R9+T9+V9+X9+AB9+Z9+AD9+AF9+AH9+AJ9+AP9+AL9+AN9</f>
        <v>317891650</v>
      </c>
      <c r="AS9" s="201">
        <f>E9+G9+I9+K9+M9+O9+Q9+S9+U9+W9+Y9+AC9+AA9+AE9+AG9+AI9+AK9+AQ9+AM9+AO9</f>
        <v>325241650</v>
      </c>
      <c r="AT9" s="94"/>
    </row>
    <row r="10" spans="1:46" ht="21.75" customHeight="1" x14ac:dyDescent="0.25">
      <c r="A10" s="29" t="s">
        <v>189</v>
      </c>
      <c r="B10" s="31" t="s">
        <v>200</v>
      </c>
      <c r="C10" s="30" t="s">
        <v>201</v>
      </c>
      <c r="D10" s="201"/>
      <c r="E10" s="201"/>
      <c r="F10" s="201">
        <f>12136953+1100000+300000</f>
        <v>13536953</v>
      </c>
      <c r="G10" s="201">
        <f>+F10+156000+252000-125977</f>
        <v>13818976</v>
      </c>
      <c r="H10" s="201">
        <v>913150</v>
      </c>
      <c r="I10" s="201">
        <f>+H10+19500+28000+43519</f>
        <v>1004169</v>
      </c>
      <c r="J10" s="201">
        <v>3566478</v>
      </c>
      <c r="K10" s="201">
        <f>+J10+78000+112000+82458</f>
        <v>3838936</v>
      </c>
      <c r="L10" s="201">
        <v>2391722</v>
      </c>
      <c r="M10" s="201">
        <f>+L10+39000+56000</f>
        <v>2486722</v>
      </c>
      <c r="N10" s="201"/>
      <c r="O10" s="201"/>
      <c r="P10" s="201"/>
      <c r="Q10" s="201"/>
      <c r="R10" s="201">
        <v>457972</v>
      </c>
      <c r="S10" s="201">
        <f>+R10</f>
        <v>457972</v>
      </c>
      <c r="T10" s="201">
        <v>1803528</v>
      </c>
      <c r="U10" s="201">
        <f>+T10+39000+56000</f>
        <v>1898528</v>
      </c>
      <c r="V10" s="201">
        <v>2123670</v>
      </c>
      <c r="W10" s="201">
        <f>+V10+39000+56000</f>
        <v>2218670</v>
      </c>
      <c r="X10" s="201">
        <v>14411414</v>
      </c>
      <c r="Y10" s="201">
        <f>+X10+195000</f>
        <v>14606414</v>
      </c>
      <c r="Z10" s="201">
        <v>3615378</v>
      </c>
      <c r="AA10" s="201">
        <f>+Z10+58500+84000</f>
        <v>3757878</v>
      </c>
      <c r="AB10" s="201"/>
      <c r="AC10" s="201"/>
      <c r="AD10" s="201">
        <v>913150</v>
      </c>
      <c r="AE10" s="201">
        <f>+AD10+19500+28000</f>
        <v>960650</v>
      </c>
      <c r="AF10" s="201"/>
      <c r="AG10" s="201"/>
      <c r="AH10" s="201"/>
      <c r="AI10" s="201"/>
      <c r="AJ10" s="201"/>
      <c r="AK10" s="201"/>
      <c r="AL10" s="201"/>
      <c r="AM10" s="201"/>
      <c r="AN10" s="201"/>
      <c r="AO10" s="201"/>
      <c r="AP10" s="201"/>
      <c r="AQ10" s="201"/>
      <c r="AR10" s="201">
        <f t="shared" ref="AR10:AR51" si="0">D10+F10+H10+J10+L10+N10+P10+R10+T10+V10+X10+AB10+Z10+AD10+AF10+AH10+AJ10+AP10+AL10+AN10</f>
        <v>43733415</v>
      </c>
      <c r="AS10" s="201">
        <f t="shared" ref="AS10:AS51" si="1">E10+G10+I10+K10+M10+O10+Q10+S10+U10+W10+Y10+AC10+AA10+AE10+AG10+AI10+AK10+AQ10+AM10+AO10</f>
        <v>45048915</v>
      </c>
      <c r="AT10" s="94"/>
    </row>
    <row r="11" spans="1:46" s="279" customFormat="1" ht="21.75" customHeight="1" x14ac:dyDescent="0.25">
      <c r="A11" s="276" t="s">
        <v>190</v>
      </c>
      <c r="B11" s="277" t="s">
        <v>330</v>
      </c>
      <c r="C11" s="281" t="s">
        <v>202</v>
      </c>
      <c r="D11" s="203">
        <v>36784071</v>
      </c>
      <c r="E11" s="203">
        <f>+D11</f>
        <v>36784071</v>
      </c>
      <c r="F11" s="203">
        <f>+(36963025)+1084180+977169</f>
        <v>39024374</v>
      </c>
      <c r="G11" s="203">
        <f>+F11-2200339+225154+214+1974971+2200125+594034+880439+9000+240149+34328+9269+1000000+270000-400000-108000+1300000+351000+650000+1500000+405000+600000+150000+40500+635000-800000+800000+50000+900000+66000-1073860</f>
        <v>49327358</v>
      </c>
      <c r="H11" s="203">
        <f>+(51292125)+1698207+1282471</f>
        <v>54272803</v>
      </c>
      <c r="I11" s="203">
        <f>+H11+1500000+405000+1500000+405000+800000+216000+200000+54000-2000000+2000000+1600000+432000-564030</f>
        <v>60820773</v>
      </c>
      <c r="J11" s="203">
        <f>+(923100)+7770+24278</f>
        <v>955148</v>
      </c>
      <c r="K11" s="203">
        <f>+J11-153416+150000+3416+800000+393701+106299-381420</f>
        <v>1873728</v>
      </c>
      <c r="L11" s="203">
        <f>+(3200069)+3885+241701</f>
        <v>3445655</v>
      </c>
      <c r="M11" s="203">
        <f>+L11+200000+300000-220085</f>
        <v>3725570</v>
      </c>
      <c r="N11" s="203">
        <f>+(43129171)+199306+1492731</f>
        <v>44821208</v>
      </c>
      <c r="O11" s="203">
        <f>+N11-1905000-97089+97089+1597089+431214+32344+8733+110000+3500+30645+1000000+270000+1990725+537496+288000+77760+109680+29614+94274+36254+787402+212598+1066142+233858+500000-651431</f>
        <v>51712105</v>
      </c>
      <c r="P11" s="203">
        <f>+(25438174)+76288+561046</f>
        <v>26075508</v>
      </c>
      <c r="Q11" s="203">
        <f>+P11+10768+2907+125000+33750+135000+340000+91800+750000+202500-120000+120000</f>
        <v>27767233</v>
      </c>
      <c r="R11" s="203">
        <f>+(19238200)+11594+662829</f>
        <v>19912623</v>
      </c>
      <c r="S11" s="203">
        <f>+R11-92837+92837+38579-2100000+100000+2000000-500000+500000</f>
        <v>19951202</v>
      </c>
      <c r="T11" s="203">
        <f>+(18540070)+123227+105657</f>
        <v>18768954</v>
      </c>
      <c r="U11" s="203">
        <f>+T11-40803+40803+40803+11017+24112</f>
        <v>18844886</v>
      </c>
      <c r="V11" s="203">
        <f>+(7031812)+3885+80300</f>
        <v>7115997</v>
      </c>
      <c r="W11" s="203">
        <f>+V11+190725+51496+40000-100000+100000</f>
        <v>7398218</v>
      </c>
      <c r="X11" s="203">
        <f>+(44230483)+30476+248606</f>
        <v>44509565</v>
      </c>
      <c r="Y11" s="203">
        <f>+X11-1400000+500000+900000</f>
        <v>44509565</v>
      </c>
      <c r="Z11" s="203">
        <f>+(13251480)+5826+64534</f>
        <v>13321840</v>
      </c>
      <c r="AA11" s="203">
        <f>+Z11-60000+60000+6000000-200000+200000+1818500+2484100+2502000</f>
        <v>26126440</v>
      </c>
      <c r="AB11" s="203">
        <f>+(265807891)+9523705+2522670</f>
        <v>277854266</v>
      </c>
      <c r="AC11" s="203">
        <f>+AB11-50000+50000+944882+255118+151065+40788+8000000+2160000+10000000+2700000-2276843-614747+2891590+1447720+6000000+1620000-6000000+6000000-1332267</f>
        <v>309841572</v>
      </c>
      <c r="AD11" s="203">
        <f>+(410309391)+14978227+3233120</f>
        <v>428520738</v>
      </c>
      <c r="AE11" s="203">
        <f>+AD11+500000-1200000+1200000+1000000+2000000+2000000+1350000+2362205+637795+17000000+4590000+16000000+4320000-5260291-1420279+6381440+3291520-1000000+1000000+15000000+4050000+990000+267300+8000000+2160000-6741020</f>
        <v>506999408</v>
      </c>
      <c r="AF11" s="203">
        <f>+(24232750)+1004383+296305</f>
        <v>25533438</v>
      </c>
      <c r="AG11" s="203">
        <f>+AF11+500000+1500000+405000+393701+106299+2200000+594000+2000000+540000-314047-84793+398840+30720-3000000+3000000+1500000+405000-600000+600000-2345660</f>
        <v>33362498</v>
      </c>
      <c r="AH11" s="203">
        <f>+(14963389)+96911+285063</f>
        <v>15345363</v>
      </c>
      <c r="AI11" s="203">
        <f>+AH11+299130+198040-50000+50000</f>
        <v>15842533</v>
      </c>
      <c r="AJ11" s="203"/>
      <c r="AK11" s="203"/>
      <c r="AL11" s="203">
        <v>2540000</v>
      </c>
      <c r="AM11" s="203">
        <f>+AL11+800000+216000+320922+86649</f>
        <v>3963571</v>
      </c>
      <c r="AN11" s="203"/>
      <c r="AO11" s="203"/>
      <c r="AP11" s="203">
        <f>+(10160000)+2111570</f>
        <v>12271570</v>
      </c>
      <c r="AQ11" s="203">
        <f>+AP11+10000000+2700000+10000000+2700000-1116860-392115</f>
        <v>36162595</v>
      </c>
      <c r="AR11" s="201">
        <f t="shared" si="0"/>
        <v>1071073121</v>
      </c>
      <c r="AS11" s="201">
        <f t="shared" si="1"/>
        <v>1255013326</v>
      </c>
      <c r="AT11" s="280"/>
    </row>
    <row r="12" spans="1:46" ht="21.75" customHeight="1" x14ac:dyDescent="0.25">
      <c r="A12" s="29" t="s">
        <v>191</v>
      </c>
      <c r="B12" s="32" t="s">
        <v>331</v>
      </c>
      <c r="C12" s="30" t="s">
        <v>203</v>
      </c>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f t="shared" si="0"/>
        <v>0</v>
      </c>
      <c r="AS12" s="201">
        <f t="shared" si="1"/>
        <v>0</v>
      </c>
    </row>
    <row r="13" spans="1:46" ht="21.75" customHeight="1" x14ac:dyDescent="0.25">
      <c r="A13" s="29" t="s">
        <v>192</v>
      </c>
      <c r="B13" s="32" t="s">
        <v>234</v>
      </c>
      <c r="C13" s="30" t="s">
        <v>204</v>
      </c>
      <c r="D13" s="202">
        <f>SUM(D14:D16)</f>
        <v>0</v>
      </c>
      <c r="E13" s="202">
        <f>SUM(E14:E16)</f>
        <v>41070640</v>
      </c>
      <c r="F13" s="202">
        <f t="shared" ref="F13:AQ13" si="2">SUM(F14:F16)</f>
        <v>0</v>
      </c>
      <c r="G13" s="202">
        <f t="shared" si="2"/>
        <v>0</v>
      </c>
      <c r="H13" s="202">
        <f t="shared" si="2"/>
        <v>0</v>
      </c>
      <c r="I13" s="202">
        <f t="shared" si="2"/>
        <v>0</v>
      </c>
      <c r="J13" s="202">
        <f t="shared" si="2"/>
        <v>0</v>
      </c>
      <c r="K13" s="202">
        <f t="shared" si="2"/>
        <v>0</v>
      </c>
      <c r="L13" s="202">
        <f t="shared" si="2"/>
        <v>0</v>
      </c>
      <c r="M13" s="202"/>
      <c r="N13" s="202">
        <f t="shared" si="2"/>
        <v>0</v>
      </c>
      <c r="O13" s="202"/>
      <c r="P13" s="202">
        <f t="shared" si="2"/>
        <v>0</v>
      </c>
      <c r="Q13" s="202">
        <f t="shared" si="2"/>
        <v>0</v>
      </c>
      <c r="R13" s="202">
        <f t="shared" si="2"/>
        <v>0</v>
      </c>
      <c r="S13" s="202">
        <f t="shared" si="2"/>
        <v>0</v>
      </c>
      <c r="T13" s="202">
        <f t="shared" si="2"/>
        <v>0</v>
      </c>
      <c r="U13" s="202">
        <f t="shared" si="2"/>
        <v>0</v>
      </c>
      <c r="V13" s="202">
        <f t="shared" si="2"/>
        <v>0</v>
      </c>
      <c r="W13" s="202">
        <f t="shared" si="2"/>
        <v>0</v>
      </c>
      <c r="X13" s="202">
        <f t="shared" si="2"/>
        <v>0</v>
      </c>
      <c r="Y13" s="202">
        <f t="shared" si="2"/>
        <v>0</v>
      </c>
      <c r="Z13" s="202">
        <f t="shared" si="2"/>
        <v>0</v>
      </c>
      <c r="AA13" s="202">
        <f t="shared" si="2"/>
        <v>0</v>
      </c>
      <c r="AB13" s="202">
        <f t="shared" si="2"/>
        <v>0</v>
      </c>
      <c r="AC13" s="202">
        <f t="shared" si="2"/>
        <v>0</v>
      </c>
      <c r="AD13" s="202">
        <f t="shared" si="2"/>
        <v>0</v>
      </c>
      <c r="AE13" s="202">
        <f t="shared" si="2"/>
        <v>0</v>
      </c>
      <c r="AF13" s="202">
        <f t="shared" si="2"/>
        <v>0</v>
      </c>
      <c r="AG13" s="202">
        <f t="shared" si="2"/>
        <v>0</v>
      </c>
      <c r="AH13" s="202">
        <f t="shared" si="2"/>
        <v>0</v>
      </c>
      <c r="AI13" s="202">
        <f t="shared" si="2"/>
        <v>0</v>
      </c>
      <c r="AJ13" s="202">
        <f t="shared" si="2"/>
        <v>0</v>
      </c>
      <c r="AK13" s="202">
        <f t="shared" si="2"/>
        <v>0</v>
      </c>
      <c r="AL13" s="202">
        <f t="shared" si="2"/>
        <v>0</v>
      </c>
      <c r="AM13" s="202">
        <f t="shared" si="2"/>
        <v>0</v>
      </c>
      <c r="AN13" s="202">
        <f t="shared" si="2"/>
        <v>0</v>
      </c>
      <c r="AO13" s="202">
        <f t="shared" si="2"/>
        <v>0</v>
      </c>
      <c r="AP13" s="202">
        <f t="shared" si="2"/>
        <v>0</v>
      </c>
      <c r="AQ13" s="202">
        <f t="shared" si="2"/>
        <v>0</v>
      </c>
      <c r="AR13" s="202">
        <f t="shared" si="0"/>
        <v>0</v>
      </c>
      <c r="AS13" s="202">
        <f t="shared" si="1"/>
        <v>41070640</v>
      </c>
    </row>
    <row r="14" spans="1:46" ht="21.75" customHeight="1" x14ac:dyDescent="0.25">
      <c r="A14" s="29" t="s">
        <v>193</v>
      </c>
      <c r="B14" s="33" t="s">
        <v>126</v>
      </c>
      <c r="C14" s="30"/>
      <c r="D14" s="201"/>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f t="shared" si="0"/>
        <v>0</v>
      </c>
      <c r="AS14" s="201">
        <f t="shared" si="1"/>
        <v>0</v>
      </c>
    </row>
    <row r="15" spans="1:46" ht="21.75" customHeight="1" x14ac:dyDescent="0.25">
      <c r="A15" s="29" t="s">
        <v>194</v>
      </c>
      <c r="B15" s="33" t="s">
        <v>116</v>
      </c>
      <c r="C15" s="34"/>
      <c r="D15" s="201"/>
      <c r="E15" s="201"/>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f t="shared" si="0"/>
        <v>0</v>
      </c>
      <c r="AS15" s="201">
        <f t="shared" si="1"/>
        <v>0</v>
      </c>
    </row>
    <row r="16" spans="1:46" ht="21.75" customHeight="1" x14ac:dyDescent="0.25">
      <c r="A16" s="29" t="s">
        <v>195</v>
      </c>
      <c r="B16" s="103" t="s">
        <v>550</v>
      </c>
      <c r="C16" s="34"/>
      <c r="D16" s="201"/>
      <c r="E16" s="201">
        <v>41070640</v>
      </c>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f t="shared" si="0"/>
        <v>0</v>
      </c>
      <c r="AS16" s="201">
        <f t="shared" si="1"/>
        <v>41070640</v>
      </c>
    </row>
    <row r="17" spans="1:45" ht="21.75" customHeight="1" x14ac:dyDescent="0.25">
      <c r="A17" s="29" t="s">
        <v>196</v>
      </c>
      <c r="B17" s="35" t="s">
        <v>241</v>
      </c>
      <c r="C17" s="30" t="s">
        <v>205</v>
      </c>
      <c r="D17" s="201"/>
      <c r="E17" s="201"/>
      <c r="F17" s="201">
        <f>+'6.sz. Beruházások'!D160</f>
        <v>508000</v>
      </c>
      <c r="G17" s="201">
        <f>+F17+400000+108000-80000+80000</f>
        <v>1016000</v>
      </c>
      <c r="H17" s="201">
        <f>+'6.sz. Beruházások'!D161</f>
        <v>381000</v>
      </c>
      <c r="I17" s="201">
        <f>+H17</f>
        <v>381000</v>
      </c>
      <c r="J17" s="201">
        <f>+'6.sz. Beruházások'!D162</f>
        <v>254000</v>
      </c>
      <c r="K17" s="201">
        <f>+J17</f>
        <v>254000</v>
      </c>
      <c r="L17" s="201">
        <f>+'6.sz. Beruházások'!D163</f>
        <v>63500</v>
      </c>
      <c r="M17" s="201">
        <f>+L17</f>
        <v>63500</v>
      </c>
      <c r="N17" s="201">
        <f>+'6.sz. Beruházások'!D164</f>
        <v>635000</v>
      </c>
      <c r="O17" s="201">
        <f>+N17</f>
        <v>635000</v>
      </c>
      <c r="P17" s="201">
        <f>+'6.sz. Beruházások'!D165</f>
        <v>254000</v>
      </c>
      <c r="Q17" s="201">
        <f>+P17</f>
        <v>254000</v>
      </c>
      <c r="R17" s="201">
        <f>+'6.sz. Beruházások'!D166</f>
        <v>635000</v>
      </c>
      <c r="S17" s="201">
        <f>+R17</f>
        <v>635000</v>
      </c>
      <c r="T17" s="201">
        <f>+'6.sz. Beruházások'!D167</f>
        <v>508000</v>
      </c>
      <c r="U17" s="201">
        <f>+T17</f>
        <v>508000</v>
      </c>
      <c r="V17" s="201">
        <f>+'6.sz. Beruházások'!D168</f>
        <v>635000</v>
      </c>
      <c r="W17" s="201">
        <f>+V17+725000+195750-153517+153517-16000+16000</f>
        <v>1555750</v>
      </c>
      <c r="X17" s="201">
        <f>+'6.sz. Beruházások'!D169</f>
        <v>698500</v>
      </c>
      <c r="Y17" s="201">
        <f>+X17</f>
        <v>698500</v>
      </c>
      <c r="Z17" s="201">
        <f>+'6.sz. Beruházások'!D170</f>
        <v>254000</v>
      </c>
      <c r="AA17" s="201">
        <f>+Z17</f>
        <v>254000</v>
      </c>
      <c r="AB17" s="201"/>
      <c r="AC17" s="201"/>
      <c r="AD17" s="201">
        <f>+'6.sz. Beruházások'!D172</f>
        <v>508000</v>
      </c>
      <c r="AE17" s="201">
        <f>+AD17</f>
        <v>508000</v>
      </c>
      <c r="AF17" s="201"/>
      <c r="AG17" s="201"/>
      <c r="AH17" s="201"/>
      <c r="AI17" s="201"/>
      <c r="AJ17" s="201"/>
      <c r="AK17" s="201"/>
      <c r="AL17" s="201"/>
      <c r="AM17" s="201"/>
      <c r="AN17" s="201"/>
      <c r="AO17" s="201"/>
      <c r="AP17" s="201"/>
      <c r="AQ17" s="201"/>
      <c r="AR17" s="201">
        <f t="shared" si="0"/>
        <v>5334000</v>
      </c>
      <c r="AS17" s="201">
        <f t="shared" si="1"/>
        <v>6762750</v>
      </c>
    </row>
    <row r="18" spans="1:45" ht="21.75" customHeight="1" x14ac:dyDescent="0.25">
      <c r="A18" s="29" t="s">
        <v>197</v>
      </c>
      <c r="B18" s="32" t="s">
        <v>332</v>
      </c>
      <c r="C18" s="30" t="s">
        <v>206</v>
      </c>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f t="shared" si="0"/>
        <v>0</v>
      </c>
      <c r="AS18" s="201">
        <f t="shared" si="1"/>
        <v>0</v>
      </c>
    </row>
    <row r="19" spans="1:45" ht="21.75" customHeight="1" x14ac:dyDescent="0.25">
      <c r="A19" s="29" t="s">
        <v>198</v>
      </c>
      <c r="B19" s="32" t="s">
        <v>235</v>
      </c>
      <c r="C19" s="30" t="s">
        <v>207</v>
      </c>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f t="shared" si="0"/>
        <v>0</v>
      </c>
      <c r="AS19" s="202">
        <f t="shared" si="1"/>
        <v>0</v>
      </c>
    </row>
    <row r="20" spans="1:45" ht="21.75" customHeight="1" x14ac:dyDescent="0.25">
      <c r="A20" s="29" t="s">
        <v>225</v>
      </c>
      <c r="B20" s="33" t="s">
        <v>125</v>
      </c>
      <c r="C20" s="30"/>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f t="shared" si="0"/>
        <v>0</v>
      </c>
      <c r="AS20" s="201">
        <f t="shared" si="1"/>
        <v>0</v>
      </c>
    </row>
    <row r="21" spans="1:45" ht="21.75" customHeight="1" x14ac:dyDescent="0.25">
      <c r="A21" s="29" t="s">
        <v>226</v>
      </c>
      <c r="B21" s="35" t="s">
        <v>236</v>
      </c>
      <c r="C21" s="30" t="s">
        <v>208</v>
      </c>
      <c r="D21" s="202">
        <f>+D9+D10+D11+D12+D13+D17+D18+D19</f>
        <v>36784071</v>
      </c>
      <c r="E21" s="202">
        <f>+E9+E10+E11+E12+E13+E17+E18+E19</f>
        <v>77854711</v>
      </c>
      <c r="F21" s="202">
        <f t="shared" ref="F21:AP21" si="3">+F9+F10+F11+F12+F13+F17+F18+F19</f>
        <v>143372814</v>
      </c>
      <c r="G21" s="202">
        <f>+G9+G10+G11+G12+G13+G17+G18+G19</f>
        <v>155999558</v>
      </c>
      <c r="H21" s="202">
        <f t="shared" si="3"/>
        <v>62321953</v>
      </c>
      <c r="I21" s="202">
        <f>+I9+I10+I11+I12+I13+I17+I18+I19</f>
        <v>69777205</v>
      </c>
      <c r="J21" s="202">
        <f t="shared" si="3"/>
        <v>35056226</v>
      </c>
      <c r="K21" s="202">
        <f>+K9+K10+K11+K12+K13+K17+K18+K19</f>
        <v>37247264</v>
      </c>
      <c r="L21" s="202">
        <f t="shared" si="3"/>
        <v>23760277</v>
      </c>
      <c r="M21" s="202">
        <f>+M9+M10+M11+M12+M13+M17+M18+M19</f>
        <v>24635192</v>
      </c>
      <c r="N21" s="202">
        <f t="shared" si="3"/>
        <v>45456208</v>
      </c>
      <c r="O21" s="202">
        <f>+O9+O10+O11+O12+O13+O17+O18+O19</f>
        <v>52347105</v>
      </c>
      <c r="P21" s="202">
        <f t="shared" si="3"/>
        <v>26329508</v>
      </c>
      <c r="Q21" s="202">
        <f>+Q9+Q10+Q11+Q12+Q13+Q17+Q18+Q19</f>
        <v>28021233</v>
      </c>
      <c r="R21" s="202">
        <f t="shared" si="3"/>
        <v>24259223</v>
      </c>
      <c r="S21" s="202">
        <f t="shared" si="3"/>
        <v>24297802</v>
      </c>
      <c r="T21" s="202">
        <f t="shared" si="3"/>
        <v>34415317</v>
      </c>
      <c r="U21" s="202">
        <f>+U9+U10+U11+U12+U13+U17+U18+U19</f>
        <v>35086249</v>
      </c>
      <c r="V21" s="202">
        <f t="shared" si="3"/>
        <v>24325971</v>
      </c>
      <c r="W21" s="202">
        <f>+W9+W10+W11+W12+W13+W17+W18+W19</f>
        <v>26123942</v>
      </c>
      <c r="X21" s="202">
        <f t="shared" si="3"/>
        <v>167514971</v>
      </c>
      <c r="Y21" s="202">
        <f>+Y9+Y10+Y11+Y12+Y13+Y17+Y18+Y19</f>
        <v>169209971</v>
      </c>
      <c r="Z21" s="202">
        <f t="shared" si="3"/>
        <v>44194122</v>
      </c>
      <c r="AA21" s="202">
        <f>+AA9+AA10+AA11+AA12+AA13+AA17+AA18+AA19</f>
        <v>57891222</v>
      </c>
      <c r="AB21" s="202">
        <f t="shared" si="3"/>
        <v>277854266</v>
      </c>
      <c r="AC21" s="202">
        <f>+AC9+AC10+AC11+AC12+AC13+AC17+AC18+AC19</f>
        <v>309841572</v>
      </c>
      <c r="AD21" s="202">
        <f t="shared" si="3"/>
        <v>436696888</v>
      </c>
      <c r="AE21" s="202">
        <f>+AE9+AE10+AE11+AE12+AE13+AE17+AE18+AE19</f>
        <v>515473058</v>
      </c>
      <c r="AF21" s="202">
        <f t="shared" si="3"/>
        <v>25533438</v>
      </c>
      <c r="AG21" s="202">
        <f>+AG9+AG10+AG11+AG12+AG13+AG17+AG18+AG19</f>
        <v>33362498</v>
      </c>
      <c r="AH21" s="202">
        <f t="shared" si="3"/>
        <v>15345363</v>
      </c>
      <c r="AI21" s="202">
        <f>+AI9+AI10+AI11+AI12+AI13+AI17+AI18+AI19</f>
        <v>15842533</v>
      </c>
      <c r="AJ21" s="202">
        <f t="shared" si="3"/>
        <v>0</v>
      </c>
      <c r="AK21" s="202">
        <f>+AK9+AK10+AK11+AK12+AK13+AK17+AK18+AK19</f>
        <v>0</v>
      </c>
      <c r="AL21" s="202">
        <f t="shared" si="3"/>
        <v>2540000</v>
      </c>
      <c r="AM21" s="202">
        <f>+AM9+AM10+AM11+AM12+AM13+AM17+AM18+AM19</f>
        <v>3963571</v>
      </c>
      <c r="AN21" s="202">
        <f t="shared" ref="AN21:AO21" si="4">+AN9+AN10+AN11+AN12+AN13+AN17+AN18+AN19</f>
        <v>0</v>
      </c>
      <c r="AO21" s="202">
        <f t="shared" si="4"/>
        <v>0</v>
      </c>
      <c r="AP21" s="202">
        <f t="shared" si="3"/>
        <v>12271570</v>
      </c>
      <c r="AQ21" s="202">
        <f>+AQ9+AQ10+AQ11+AQ12+AQ13+AQ17+AQ18+AQ19</f>
        <v>36162595</v>
      </c>
      <c r="AR21" s="202">
        <f t="shared" si="0"/>
        <v>1438032186</v>
      </c>
      <c r="AS21" s="202">
        <f t="shared" si="1"/>
        <v>1673137281</v>
      </c>
    </row>
    <row r="22" spans="1:45" ht="21.75" customHeight="1" x14ac:dyDescent="0.25">
      <c r="A22" s="29" t="s">
        <v>227</v>
      </c>
      <c r="B22" s="35" t="s">
        <v>221</v>
      </c>
      <c r="C22" s="30" t="s">
        <v>217</v>
      </c>
      <c r="D22" s="202">
        <f>SUM(D23:D26)</f>
        <v>0</v>
      </c>
      <c r="E22" s="202">
        <f>SUM(E23:E26)</f>
        <v>0</v>
      </c>
      <c r="F22" s="202">
        <f t="shared" ref="F22:AP22" si="5">SUM(F23:F26)</f>
        <v>0</v>
      </c>
      <c r="G22" s="202">
        <f>SUM(G23:G26)</f>
        <v>0</v>
      </c>
      <c r="H22" s="202">
        <f t="shared" si="5"/>
        <v>0</v>
      </c>
      <c r="I22" s="202">
        <f>SUM(I23:I26)</f>
        <v>0</v>
      </c>
      <c r="J22" s="202">
        <f t="shared" si="5"/>
        <v>0</v>
      </c>
      <c r="K22" s="202">
        <f>SUM(K23:K26)</f>
        <v>0</v>
      </c>
      <c r="L22" s="202">
        <f t="shared" si="5"/>
        <v>0</v>
      </c>
      <c r="M22" s="202">
        <f>SUM(M23:M26)</f>
        <v>0</v>
      </c>
      <c r="N22" s="202">
        <f t="shared" si="5"/>
        <v>0</v>
      </c>
      <c r="O22" s="202">
        <f>SUM(O23:O26)</f>
        <v>0</v>
      </c>
      <c r="P22" s="202">
        <f t="shared" si="5"/>
        <v>0</v>
      </c>
      <c r="Q22" s="202">
        <f>SUM(Q23:Q26)</f>
        <v>0</v>
      </c>
      <c r="R22" s="202">
        <f t="shared" si="5"/>
        <v>0</v>
      </c>
      <c r="S22" s="202"/>
      <c r="T22" s="202">
        <f t="shared" si="5"/>
        <v>0</v>
      </c>
      <c r="U22" s="202">
        <f>SUM(U23:U26)</f>
        <v>0</v>
      </c>
      <c r="V22" s="202">
        <f t="shared" si="5"/>
        <v>0</v>
      </c>
      <c r="W22" s="202">
        <f>SUM(W23:W26)</f>
        <v>0</v>
      </c>
      <c r="X22" s="202">
        <f t="shared" si="5"/>
        <v>0</v>
      </c>
      <c r="Y22" s="202">
        <f>SUM(Y23:Y26)</f>
        <v>0</v>
      </c>
      <c r="Z22" s="202">
        <f t="shared" si="5"/>
        <v>0</v>
      </c>
      <c r="AA22" s="202">
        <f>SUM(AA23:AA26)</f>
        <v>0</v>
      </c>
      <c r="AB22" s="202">
        <f t="shared" si="5"/>
        <v>0</v>
      </c>
      <c r="AC22" s="202">
        <f>SUM(AC23:AC26)</f>
        <v>0</v>
      </c>
      <c r="AD22" s="202">
        <f t="shared" si="5"/>
        <v>0</v>
      </c>
      <c r="AE22" s="202">
        <f>SUM(AE23:AE26)</f>
        <v>0</v>
      </c>
      <c r="AF22" s="202">
        <f t="shared" si="5"/>
        <v>0</v>
      </c>
      <c r="AG22" s="202">
        <f>SUM(AG23:AG26)</f>
        <v>0</v>
      </c>
      <c r="AH22" s="202">
        <f t="shared" si="5"/>
        <v>0</v>
      </c>
      <c r="AI22" s="202">
        <f>SUM(AI23:AI26)</f>
        <v>0</v>
      </c>
      <c r="AJ22" s="202">
        <f t="shared" si="5"/>
        <v>0</v>
      </c>
      <c r="AK22" s="202">
        <f>SUM(AK23:AK26)</f>
        <v>0</v>
      </c>
      <c r="AL22" s="202">
        <f t="shared" si="5"/>
        <v>0</v>
      </c>
      <c r="AM22" s="202">
        <f>SUM(AM23:AM26)</f>
        <v>0</v>
      </c>
      <c r="AN22" s="202">
        <f t="shared" ref="AN22:AO22" si="6">SUM(AN23:AN26)</f>
        <v>0</v>
      </c>
      <c r="AO22" s="202">
        <f t="shared" si="6"/>
        <v>0</v>
      </c>
      <c r="AP22" s="202">
        <f t="shared" si="5"/>
        <v>0</v>
      </c>
      <c r="AQ22" s="202">
        <f>SUM(AQ23:AQ26)</f>
        <v>0</v>
      </c>
      <c r="AR22" s="202">
        <f t="shared" si="0"/>
        <v>0</v>
      </c>
      <c r="AS22" s="202">
        <f t="shared" si="1"/>
        <v>0</v>
      </c>
    </row>
    <row r="23" spans="1:45" ht="21.75" customHeight="1" x14ac:dyDescent="0.25">
      <c r="A23" s="29" t="s">
        <v>228</v>
      </c>
      <c r="B23" s="105" t="s">
        <v>183</v>
      </c>
      <c r="C23" s="34"/>
      <c r="D23" s="201"/>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f t="shared" si="0"/>
        <v>0</v>
      </c>
      <c r="AS23" s="201">
        <f t="shared" si="1"/>
        <v>0</v>
      </c>
    </row>
    <row r="24" spans="1:45" ht="21.75" customHeight="1" x14ac:dyDescent="0.25">
      <c r="A24" s="29" t="s">
        <v>229</v>
      </c>
      <c r="B24" s="36" t="s">
        <v>553</v>
      </c>
      <c r="C24" s="34"/>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f t="shared" si="0"/>
        <v>0</v>
      </c>
      <c r="AS24" s="201">
        <f t="shared" si="1"/>
        <v>0</v>
      </c>
    </row>
    <row r="25" spans="1:45" ht="21.75" customHeight="1" x14ac:dyDescent="0.25">
      <c r="A25" s="29" t="s">
        <v>230</v>
      </c>
      <c r="B25" s="36" t="s">
        <v>554</v>
      </c>
      <c r="C25" s="34"/>
      <c r="D25" s="201"/>
      <c r="E25" s="201"/>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c r="AF25" s="201"/>
      <c r="AG25" s="201"/>
      <c r="AH25" s="201"/>
      <c r="AI25" s="201"/>
      <c r="AJ25" s="201"/>
      <c r="AK25" s="201"/>
      <c r="AL25" s="201"/>
      <c r="AM25" s="201"/>
      <c r="AN25" s="201"/>
      <c r="AO25" s="201"/>
      <c r="AP25" s="201"/>
      <c r="AQ25" s="201"/>
      <c r="AR25" s="201">
        <f t="shared" si="0"/>
        <v>0</v>
      </c>
      <c r="AS25" s="201">
        <f t="shared" si="1"/>
        <v>0</v>
      </c>
    </row>
    <row r="26" spans="1:45" ht="21.75" customHeight="1" x14ac:dyDescent="0.25">
      <c r="A26" s="29" t="s">
        <v>231</v>
      </c>
      <c r="B26" s="36" t="s">
        <v>127</v>
      </c>
      <c r="C26" s="34"/>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f t="shared" si="0"/>
        <v>0</v>
      </c>
      <c r="AS26" s="201">
        <f t="shared" si="1"/>
        <v>0</v>
      </c>
    </row>
    <row r="27" spans="1:45" ht="21.75" customHeight="1" x14ac:dyDescent="0.25">
      <c r="A27" s="29" t="s">
        <v>232</v>
      </c>
      <c r="B27" s="267" t="s">
        <v>816</v>
      </c>
      <c r="C27" s="34"/>
      <c r="D27" s="201"/>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f t="shared" si="0"/>
        <v>0</v>
      </c>
      <c r="AS27" s="201">
        <f t="shared" si="1"/>
        <v>0</v>
      </c>
    </row>
    <row r="28" spans="1:45" s="38" customFormat="1" ht="21.75" customHeight="1" x14ac:dyDescent="0.25">
      <c r="A28" s="29" t="s">
        <v>233</v>
      </c>
      <c r="B28" s="37" t="s">
        <v>32</v>
      </c>
      <c r="C28" s="30"/>
      <c r="D28" s="202">
        <f>+D9+D10+D11+D12+D13+D23+D24</f>
        <v>36784071</v>
      </c>
      <c r="E28" s="202">
        <f>+E9+E10+E11+E12+E13+E23+E24</f>
        <v>77854711</v>
      </c>
      <c r="F28" s="202">
        <f t="shared" ref="F28:AP28" si="7">+F9+F10+F11+F12+F13+F23+F24</f>
        <v>142864814</v>
      </c>
      <c r="G28" s="202">
        <f>+G9+G10+G11+G12+G13+G23+G24</f>
        <v>154983558</v>
      </c>
      <c r="H28" s="202">
        <f t="shared" si="7"/>
        <v>61940953</v>
      </c>
      <c r="I28" s="202">
        <f>+I9+I10+I11+I12+I13+I23+I24</f>
        <v>69396205</v>
      </c>
      <c r="J28" s="202">
        <f t="shared" si="7"/>
        <v>34802226</v>
      </c>
      <c r="K28" s="202">
        <f>+K9+K10+K11+K12+K13+K23+K24</f>
        <v>36993264</v>
      </c>
      <c r="L28" s="202">
        <f t="shared" si="7"/>
        <v>23696777</v>
      </c>
      <c r="M28" s="202">
        <f>+M9+M10+M11+M12+M13+M23+M24</f>
        <v>24571692</v>
      </c>
      <c r="N28" s="202">
        <f t="shared" si="7"/>
        <v>44821208</v>
      </c>
      <c r="O28" s="202">
        <f>+O9+O10+O11+O12+O13+O23+O24</f>
        <v>51712105</v>
      </c>
      <c r="P28" s="202">
        <f t="shared" si="7"/>
        <v>26075508</v>
      </c>
      <c r="Q28" s="202">
        <f>+Q9+Q10+Q11+Q12+Q13+Q23+Q24</f>
        <v>27767233</v>
      </c>
      <c r="R28" s="202">
        <f t="shared" si="7"/>
        <v>23624223</v>
      </c>
      <c r="S28" s="202">
        <f>+S9+S10+S11+S12+S13+S23+S24</f>
        <v>23662802</v>
      </c>
      <c r="T28" s="202">
        <f t="shared" si="7"/>
        <v>33907317</v>
      </c>
      <c r="U28" s="202">
        <f>+U9+U10+U11+U12+U13+U23+U24</f>
        <v>34578249</v>
      </c>
      <c r="V28" s="202">
        <f t="shared" si="7"/>
        <v>23690971</v>
      </c>
      <c r="W28" s="202">
        <f>+W9+W10+W11+W12+W13+W23+W24</f>
        <v>24568192</v>
      </c>
      <c r="X28" s="202">
        <f t="shared" si="7"/>
        <v>166816471</v>
      </c>
      <c r="Y28" s="202">
        <f>+Y9+Y10+Y11+Y12+Y13+Y23+Y24</f>
        <v>168511471</v>
      </c>
      <c r="Z28" s="202">
        <f t="shared" si="7"/>
        <v>43940122</v>
      </c>
      <c r="AA28" s="202">
        <f>+AA9+AA10+AA11+AA12+AA13+AA23+AA24</f>
        <v>57637222</v>
      </c>
      <c r="AB28" s="202">
        <f t="shared" si="7"/>
        <v>277854266</v>
      </c>
      <c r="AC28" s="202">
        <f>+AC9+AC10+AC11+AC12+AC13+AC23+AC24</f>
        <v>309841572</v>
      </c>
      <c r="AD28" s="202">
        <f t="shared" si="7"/>
        <v>436188888</v>
      </c>
      <c r="AE28" s="202">
        <f>+AE9+AE10+AE11+AE12+AE13+AE23+AE24</f>
        <v>514965058</v>
      </c>
      <c r="AF28" s="202">
        <f t="shared" si="7"/>
        <v>25533438</v>
      </c>
      <c r="AG28" s="202">
        <f>+AG9+AG10+AG11+AG12+AG13+AG23+AG24</f>
        <v>33362498</v>
      </c>
      <c r="AH28" s="202">
        <f t="shared" si="7"/>
        <v>15345363</v>
      </c>
      <c r="AI28" s="202">
        <f>+AI9+AI10+AI11+AI12+AI13+AI23+AI24</f>
        <v>15842533</v>
      </c>
      <c r="AJ28" s="202">
        <f t="shared" si="7"/>
        <v>0</v>
      </c>
      <c r="AK28" s="202">
        <f>+AK9+AK10+AK11+AK12+AK13+AK23+AK24</f>
        <v>0</v>
      </c>
      <c r="AL28" s="202">
        <f t="shared" si="7"/>
        <v>2540000</v>
      </c>
      <c r="AM28" s="202">
        <f>+AM9+AM10+AM11+AM12+AM13+AM23+AM24</f>
        <v>3963571</v>
      </c>
      <c r="AN28" s="202">
        <f t="shared" ref="AN28:AO28" si="8">+AN9+AN10+AN11+AN12+AN13+AN23+AN24</f>
        <v>0</v>
      </c>
      <c r="AO28" s="202">
        <f t="shared" si="8"/>
        <v>0</v>
      </c>
      <c r="AP28" s="202">
        <f t="shared" si="7"/>
        <v>12271570</v>
      </c>
      <c r="AQ28" s="202">
        <f>+AQ9+AQ10+AQ11+AQ12+AQ13+AQ23+AQ24</f>
        <v>36162595</v>
      </c>
      <c r="AR28" s="202">
        <f t="shared" si="0"/>
        <v>1432698186</v>
      </c>
      <c r="AS28" s="202">
        <f t="shared" si="1"/>
        <v>1666374531</v>
      </c>
    </row>
    <row r="29" spans="1:45" s="38" customFormat="1" ht="21.75" customHeight="1" x14ac:dyDescent="0.25">
      <c r="A29" s="29" t="s">
        <v>260</v>
      </c>
      <c r="B29" s="37" t="s">
        <v>33</v>
      </c>
      <c r="C29" s="30"/>
      <c r="D29" s="202">
        <f>+D17+D18+D19+D25+D26</f>
        <v>0</v>
      </c>
      <c r="E29" s="202">
        <f>+E17+E18+E19+E25+E26</f>
        <v>0</v>
      </c>
      <c r="F29" s="202">
        <f t="shared" ref="F29:AP29" si="9">+F17+F18+F19+F25+F26</f>
        <v>508000</v>
      </c>
      <c r="G29" s="202">
        <f>+G17+G18+G19+G25+G26</f>
        <v>1016000</v>
      </c>
      <c r="H29" s="202">
        <f t="shared" si="9"/>
        <v>381000</v>
      </c>
      <c r="I29" s="202">
        <f>+I17+I18+I19+I25+I26</f>
        <v>381000</v>
      </c>
      <c r="J29" s="202">
        <f t="shared" si="9"/>
        <v>254000</v>
      </c>
      <c r="K29" s="202">
        <f>+K17+K18+K19+K25+K26</f>
        <v>254000</v>
      </c>
      <c r="L29" s="202">
        <f t="shared" si="9"/>
        <v>63500</v>
      </c>
      <c r="M29" s="202">
        <f>+M17+M18+M19+M25+M26</f>
        <v>63500</v>
      </c>
      <c r="N29" s="202">
        <f t="shared" si="9"/>
        <v>635000</v>
      </c>
      <c r="O29" s="202">
        <f>+O17+O18+O19+O25+O26</f>
        <v>635000</v>
      </c>
      <c r="P29" s="202">
        <f t="shared" si="9"/>
        <v>254000</v>
      </c>
      <c r="Q29" s="202">
        <f>+Q17+Q18+Q19+Q25+Q26</f>
        <v>254000</v>
      </c>
      <c r="R29" s="202">
        <f t="shared" si="9"/>
        <v>635000</v>
      </c>
      <c r="S29" s="202">
        <f>+S17+S18+S19+S25+S26</f>
        <v>635000</v>
      </c>
      <c r="T29" s="202">
        <f t="shared" si="9"/>
        <v>508000</v>
      </c>
      <c r="U29" s="202">
        <f>+U17+U18+U19+U25+U26</f>
        <v>508000</v>
      </c>
      <c r="V29" s="202">
        <f t="shared" si="9"/>
        <v>635000</v>
      </c>
      <c r="W29" s="202">
        <f>+W17+W18+W19+W25+W26</f>
        <v>1555750</v>
      </c>
      <c r="X29" s="202">
        <f t="shared" si="9"/>
        <v>698500</v>
      </c>
      <c r="Y29" s="202">
        <f>+Y17+Y18+Y19+Y25+Y26</f>
        <v>698500</v>
      </c>
      <c r="Z29" s="202">
        <f t="shared" si="9"/>
        <v>254000</v>
      </c>
      <c r="AA29" s="202">
        <f>+AA17+AA18+AA19+AA25+AA26</f>
        <v>254000</v>
      </c>
      <c r="AB29" s="202">
        <f t="shared" si="9"/>
        <v>0</v>
      </c>
      <c r="AC29" s="202">
        <f>+AC17+AC18+AC19+AC25+AC26</f>
        <v>0</v>
      </c>
      <c r="AD29" s="202">
        <f t="shared" si="9"/>
        <v>508000</v>
      </c>
      <c r="AE29" s="202">
        <f>+AE17+AE18+AE19+AE25+AE26</f>
        <v>508000</v>
      </c>
      <c r="AF29" s="202">
        <f t="shared" si="9"/>
        <v>0</v>
      </c>
      <c r="AG29" s="202">
        <f>+AG17+AG18+AG19+AG25+AG26</f>
        <v>0</v>
      </c>
      <c r="AH29" s="202">
        <f t="shared" si="9"/>
        <v>0</v>
      </c>
      <c r="AI29" s="202">
        <f>+AI17+AI18+AI19+AI25+AI26</f>
        <v>0</v>
      </c>
      <c r="AJ29" s="202">
        <f t="shared" si="9"/>
        <v>0</v>
      </c>
      <c r="AK29" s="202">
        <f>+AK17+AK18+AK19+AK25+AK26</f>
        <v>0</v>
      </c>
      <c r="AL29" s="202">
        <f t="shared" si="9"/>
        <v>0</v>
      </c>
      <c r="AM29" s="202">
        <f>+AM17+AM18+AM19+AM25+AM26</f>
        <v>0</v>
      </c>
      <c r="AN29" s="202">
        <f t="shared" ref="AN29:AO29" si="10">+AN17+AN18+AN19+AN25+AN26</f>
        <v>0</v>
      </c>
      <c r="AO29" s="202">
        <f t="shared" si="10"/>
        <v>0</v>
      </c>
      <c r="AP29" s="202">
        <f t="shared" si="9"/>
        <v>0</v>
      </c>
      <c r="AQ29" s="202">
        <f>+AQ17+AQ18+AQ19+AQ25+AQ26</f>
        <v>0</v>
      </c>
      <c r="AR29" s="202">
        <f t="shared" si="0"/>
        <v>5334000</v>
      </c>
      <c r="AS29" s="202">
        <f t="shared" si="1"/>
        <v>6762750</v>
      </c>
    </row>
    <row r="30" spans="1:45" s="38" customFormat="1" ht="21.75" customHeight="1" x14ac:dyDescent="0.25">
      <c r="A30" s="29" t="s">
        <v>261</v>
      </c>
      <c r="B30" s="37" t="s">
        <v>327</v>
      </c>
      <c r="C30" s="30" t="s">
        <v>31</v>
      </c>
      <c r="D30" s="202">
        <f>SUM(D28:D29)</f>
        <v>36784071</v>
      </c>
      <c r="E30" s="202">
        <f>SUM(E28:E29)</f>
        <v>77854711</v>
      </c>
      <c r="F30" s="202">
        <f t="shared" ref="F30:AP30" si="11">SUM(F28:F29)</f>
        <v>143372814</v>
      </c>
      <c r="G30" s="202">
        <f>SUM(G28:G29)</f>
        <v>155999558</v>
      </c>
      <c r="H30" s="202">
        <f t="shared" si="11"/>
        <v>62321953</v>
      </c>
      <c r="I30" s="202">
        <f>SUM(I28:I29)</f>
        <v>69777205</v>
      </c>
      <c r="J30" s="202">
        <f t="shared" si="11"/>
        <v>35056226</v>
      </c>
      <c r="K30" s="202">
        <f>SUM(K28:K29)</f>
        <v>37247264</v>
      </c>
      <c r="L30" s="202">
        <f t="shared" si="11"/>
        <v>23760277</v>
      </c>
      <c r="M30" s="202">
        <f>SUM(M28:M29)</f>
        <v>24635192</v>
      </c>
      <c r="N30" s="202">
        <f t="shared" si="11"/>
        <v>45456208</v>
      </c>
      <c r="O30" s="202">
        <f>SUM(O28:O29)</f>
        <v>52347105</v>
      </c>
      <c r="P30" s="202">
        <f t="shared" si="11"/>
        <v>26329508</v>
      </c>
      <c r="Q30" s="202">
        <f>SUM(Q28:Q29)</f>
        <v>28021233</v>
      </c>
      <c r="R30" s="202">
        <f t="shared" si="11"/>
        <v>24259223</v>
      </c>
      <c r="S30" s="202">
        <f>SUM(S28:S29)</f>
        <v>24297802</v>
      </c>
      <c r="T30" s="202">
        <f t="shared" si="11"/>
        <v>34415317</v>
      </c>
      <c r="U30" s="202">
        <f>SUM(U28:U29)</f>
        <v>35086249</v>
      </c>
      <c r="V30" s="202">
        <f t="shared" si="11"/>
        <v>24325971</v>
      </c>
      <c r="W30" s="202">
        <f>SUM(W28:W29)</f>
        <v>26123942</v>
      </c>
      <c r="X30" s="202">
        <f t="shared" si="11"/>
        <v>167514971</v>
      </c>
      <c r="Y30" s="202">
        <f>SUM(Y28:Y29)</f>
        <v>169209971</v>
      </c>
      <c r="Z30" s="202">
        <f t="shared" si="11"/>
        <v>44194122</v>
      </c>
      <c r="AA30" s="202">
        <f>SUM(AA28:AA29)</f>
        <v>57891222</v>
      </c>
      <c r="AB30" s="202">
        <f t="shared" si="11"/>
        <v>277854266</v>
      </c>
      <c r="AC30" s="202">
        <f>SUM(AC28:AC29)</f>
        <v>309841572</v>
      </c>
      <c r="AD30" s="202">
        <f t="shared" si="11"/>
        <v>436696888</v>
      </c>
      <c r="AE30" s="202">
        <f>SUM(AE28:AE29)</f>
        <v>515473058</v>
      </c>
      <c r="AF30" s="202">
        <f t="shared" si="11"/>
        <v>25533438</v>
      </c>
      <c r="AG30" s="202">
        <f>SUM(AG28:AG29)</f>
        <v>33362498</v>
      </c>
      <c r="AH30" s="202">
        <f t="shared" si="11"/>
        <v>15345363</v>
      </c>
      <c r="AI30" s="202">
        <f>SUM(AI28:AI29)</f>
        <v>15842533</v>
      </c>
      <c r="AJ30" s="202">
        <f t="shared" si="11"/>
        <v>0</v>
      </c>
      <c r="AK30" s="202">
        <f>SUM(AK28:AK29)</f>
        <v>0</v>
      </c>
      <c r="AL30" s="202">
        <f t="shared" si="11"/>
        <v>2540000</v>
      </c>
      <c r="AM30" s="202">
        <f>SUM(AM28:AM29)</f>
        <v>3963571</v>
      </c>
      <c r="AN30" s="202">
        <f t="shared" ref="AN30:AO30" si="12">SUM(AN28:AN29)</f>
        <v>0</v>
      </c>
      <c r="AO30" s="202">
        <f t="shared" si="12"/>
        <v>0</v>
      </c>
      <c r="AP30" s="202">
        <f t="shared" si="11"/>
        <v>12271570</v>
      </c>
      <c r="AQ30" s="202">
        <f>SUM(AQ28:AQ29)</f>
        <v>36162595</v>
      </c>
      <c r="AR30" s="202">
        <f t="shared" si="0"/>
        <v>1438032186</v>
      </c>
      <c r="AS30" s="202">
        <f t="shared" si="1"/>
        <v>1673137281</v>
      </c>
    </row>
    <row r="31" spans="1:45" ht="21.75" customHeight="1" x14ac:dyDescent="0.25">
      <c r="A31" s="29" t="s">
        <v>262</v>
      </c>
      <c r="B31" s="31" t="s">
        <v>52</v>
      </c>
      <c r="C31" s="35" t="s">
        <v>209</v>
      </c>
      <c r="D31" s="201"/>
      <c r="E31" s="201"/>
      <c r="F31" s="201"/>
      <c r="G31" s="201"/>
      <c r="H31" s="201"/>
      <c r="I31" s="201"/>
      <c r="J31" s="201"/>
      <c r="K31" s="201"/>
      <c r="L31" s="201"/>
      <c r="M31" s="201"/>
      <c r="N31" s="201"/>
      <c r="O31" s="201"/>
      <c r="P31" s="201"/>
      <c r="Q31" s="201"/>
      <c r="R31" s="201"/>
      <c r="S31" s="201"/>
      <c r="T31" s="201"/>
      <c r="U31" s="201"/>
      <c r="V31" s="201"/>
      <c r="W31" s="201"/>
      <c r="X31" s="203">
        <f>+'11.a.sz. Műk.célú tám.ÁHbelül'!I27</f>
        <v>90000000</v>
      </c>
      <c r="Y31" s="203">
        <f>+X31</f>
        <v>90000000</v>
      </c>
      <c r="Z31" s="203">
        <f>+'11.a.sz. Műk.célú tám.ÁHbelül'!I28</f>
        <v>2000000</v>
      </c>
      <c r="AA31" s="203">
        <f>+Z31+6000000+1818500+2484100+2502000</f>
        <v>14804600</v>
      </c>
      <c r="AB31" s="203"/>
      <c r="AC31" s="203"/>
      <c r="AD31" s="203"/>
      <c r="AE31" s="203"/>
      <c r="AF31" s="203"/>
      <c r="AG31" s="203"/>
      <c r="AH31" s="203"/>
      <c r="AI31" s="203"/>
      <c r="AJ31" s="201"/>
      <c r="AK31" s="201"/>
      <c r="AL31" s="201"/>
      <c r="AM31" s="201"/>
      <c r="AN31" s="201"/>
      <c r="AO31" s="201"/>
      <c r="AP31" s="201"/>
      <c r="AQ31" s="201"/>
      <c r="AR31" s="201">
        <f t="shared" si="0"/>
        <v>92000000</v>
      </c>
      <c r="AS31" s="201">
        <f t="shared" si="1"/>
        <v>104804600</v>
      </c>
    </row>
    <row r="32" spans="1:45" ht="21.75" customHeight="1" x14ac:dyDescent="0.25">
      <c r="A32" s="29" t="s">
        <v>263</v>
      </c>
      <c r="B32" s="31" t="s">
        <v>220</v>
      </c>
      <c r="C32" s="35" t="s">
        <v>210</v>
      </c>
      <c r="D32" s="201"/>
      <c r="E32" s="201"/>
      <c r="F32" s="201"/>
      <c r="G32" s="201"/>
      <c r="H32" s="201"/>
      <c r="I32" s="201"/>
      <c r="J32" s="201"/>
      <c r="K32" s="201"/>
      <c r="L32" s="201"/>
      <c r="M32" s="201"/>
      <c r="N32" s="201"/>
      <c r="O32" s="201"/>
      <c r="P32" s="201"/>
      <c r="Q32" s="201"/>
      <c r="R32" s="201"/>
      <c r="S32" s="201"/>
      <c r="T32" s="201"/>
      <c r="U32" s="201"/>
      <c r="V32" s="201"/>
      <c r="W32" s="201"/>
      <c r="X32" s="203"/>
      <c r="Y32" s="203"/>
      <c r="Z32" s="203"/>
      <c r="AA32" s="203"/>
      <c r="AB32" s="203"/>
      <c r="AC32" s="203"/>
      <c r="AD32" s="203"/>
      <c r="AE32" s="203"/>
      <c r="AF32" s="203"/>
      <c r="AG32" s="203"/>
      <c r="AH32" s="203"/>
      <c r="AI32" s="203"/>
      <c r="AJ32" s="201"/>
      <c r="AK32" s="201"/>
      <c r="AL32" s="201"/>
      <c r="AM32" s="201"/>
      <c r="AN32" s="201"/>
      <c r="AO32" s="201"/>
      <c r="AP32" s="201"/>
      <c r="AQ32" s="201"/>
      <c r="AR32" s="201">
        <f t="shared" si="0"/>
        <v>0</v>
      </c>
      <c r="AS32" s="201">
        <f t="shared" si="1"/>
        <v>0</v>
      </c>
    </row>
    <row r="33" spans="1:45" ht="21.75" customHeight="1" x14ac:dyDescent="0.25">
      <c r="A33" s="29" t="s">
        <v>264</v>
      </c>
      <c r="B33" s="31" t="s">
        <v>219</v>
      </c>
      <c r="C33" s="35" t="s">
        <v>211</v>
      </c>
      <c r="D33" s="201"/>
      <c r="E33" s="201"/>
      <c r="F33" s="201"/>
      <c r="G33" s="201"/>
      <c r="H33" s="201"/>
      <c r="I33" s="201"/>
      <c r="J33" s="201"/>
      <c r="K33" s="201"/>
      <c r="L33" s="201"/>
      <c r="M33" s="201"/>
      <c r="N33" s="201"/>
      <c r="O33" s="201"/>
      <c r="P33" s="201"/>
      <c r="Q33" s="201"/>
      <c r="R33" s="201"/>
      <c r="S33" s="201"/>
      <c r="T33" s="201"/>
      <c r="U33" s="201"/>
      <c r="V33" s="201"/>
      <c r="W33" s="201"/>
      <c r="X33" s="203"/>
      <c r="Y33" s="203"/>
      <c r="Z33" s="203"/>
      <c r="AA33" s="203"/>
      <c r="AB33" s="203"/>
      <c r="AC33" s="203"/>
      <c r="AD33" s="203"/>
      <c r="AE33" s="203"/>
      <c r="AF33" s="203"/>
      <c r="AG33" s="203"/>
      <c r="AH33" s="203"/>
      <c r="AI33" s="203"/>
      <c r="AJ33" s="201"/>
      <c r="AK33" s="201"/>
      <c r="AL33" s="201"/>
      <c r="AM33" s="201"/>
      <c r="AN33" s="201"/>
      <c r="AO33" s="201"/>
      <c r="AP33" s="201"/>
      <c r="AQ33" s="201"/>
      <c r="AR33" s="201">
        <f t="shared" si="0"/>
        <v>0</v>
      </c>
      <c r="AS33" s="201">
        <f t="shared" si="1"/>
        <v>0</v>
      </c>
    </row>
    <row r="34" spans="1:45" ht="21.75" customHeight="1" x14ac:dyDescent="0.25">
      <c r="A34" s="29" t="s">
        <v>265</v>
      </c>
      <c r="B34" s="32" t="s">
        <v>0</v>
      </c>
      <c r="C34" s="35" t="s">
        <v>212</v>
      </c>
      <c r="D34" s="201"/>
      <c r="E34" s="201"/>
      <c r="F34" s="203">
        <v>4110100</v>
      </c>
      <c r="G34" s="203">
        <f>+F34+650000+1500000+405000+600000+500000+135000+800000+216000-471448-115809-31-486572</f>
        <v>7842240</v>
      </c>
      <c r="H34" s="203">
        <v>6350000</v>
      </c>
      <c r="I34" s="203">
        <f>+H34+1500000+405000+800000+216000+200000+54000+1600000+432000-444121-119909</f>
        <v>10992970</v>
      </c>
      <c r="J34" s="203">
        <v>2700000</v>
      </c>
      <c r="K34" s="203">
        <f>+J34+800000+500000-381420</f>
        <v>3618580</v>
      </c>
      <c r="L34" s="203">
        <v>800000</v>
      </c>
      <c r="M34" s="203">
        <f>+L34+200000+300000-220085</f>
        <v>1079915</v>
      </c>
      <c r="N34" s="201">
        <v>6500000</v>
      </c>
      <c r="O34" s="201">
        <f>+N34+133540+90987+1270000+1000000+400000+700000+500000-12460-476263</f>
        <v>10105804</v>
      </c>
      <c r="P34" s="201"/>
      <c r="Q34" s="201"/>
      <c r="R34" s="201"/>
      <c r="S34" s="201">
        <v>38579</v>
      </c>
      <c r="T34" s="201"/>
      <c r="U34" s="201">
        <v>24112</v>
      </c>
      <c r="V34" s="201"/>
      <c r="W34" s="201"/>
      <c r="X34" s="203"/>
      <c r="Y34" s="203"/>
      <c r="Z34" s="203"/>
      <c r="AA34" s="203"/>
      <c r="AB34" s="203">
        <v>57810000</v>
      </c>
      <c r="AC34" s="203">
        <f>+AB34+3186950+860408+1200000+151065+40788+8000000+2160000+10000000+2700000+1447720+6000000+1620000-1072808-289456+29997</f>
        <v>93844664</v>
      </c>
      <c r="AD34" s="203">
        <v>116621000</v>
      </c>
      <c r="AE34" s="203">
        <f>+AD34+23353330+6308805+12593+500000+5000000+1350000+3000000+17000000+4590000+16000000+4320000+3291520+15000000+4050000+8000000+2160000-4428755-1188145-990-243274</f>
        <v>224696084</v>
      </c>
      <c r="AF34" s="203">
        <v>6516000</v>
      </c>
      <c r="AG34" s="203">
        <f>+AF34+549540+148372+500000+1500000+405000+500000+2200000+594000+2000000+540000+30720+1500000+405000-1454652-392320-498688</f>
        <v>15042972</v>
      </c>
      <c r="AH34" s="203">
        <v>3340000</v>
      </c>
      <c r="AI34" s="203">
        <f>+AH34+167790+45304+198040-392569-105996</f>
        <v>3252569</v>
      </c>
      <c r="AJ34" s="201">
        <v>36784071</v>
      </c>
      <c r="AK34" s="201">
        <f>+AJ34-133540-1514476-27260028-7772447-103580</f>
        <v>0</v>
      </c>
      <c r="AL34" s="201">
        <v>1016000</v>
      </c>
      <c r="AM34" s="201">
        <f>+AL34+2418+652+800000+216000+320922+86649-300365-80926</f>
        <v>2061350</v>
      </c>
      <c r="AN34" s="201"/>
      <c r="AO34" s="201">
        <f>200000-162708</f>
        <v>37292</v>
      </c>
      <c r="AP34" s="201">
        <v>10260000</v>
      </c>
      <c r="AQ34" s="201">
        <f>+AP34+1514476+408906+10000000+2700000+10000000+2700000-1016860-392115-100000</f>
        <v>36074407</v>
      </c>
      <c r="AR34" s="201">
        <f t="shared" si="0"/>
        <v>252807171</v>
      </c>
      <c r="AS34" s="201">
        <f>E34+G34+I34+K34+M34+O34+Q34+S34+U34+W34+Y34+AC34+AA34+AE34+AG34+AI34+AK34+AQ34+AM34+AO34</f>
        <v>408711538</v>
      </c>
    </row>
    <row r="35" spans="1:45" ht="21.75" customHeight="1" x14ac:dyDescent="0.25">
      <c r="A35" s="29" t="s">
        <v>266</v>
      </c>
      <c r="B35" s="31" t="s">
        <v>242</v>
      </c>
      <c r="C35" s="35" t="s">
        <v>213</v>
      </c>
      <c r="D35" s="201"/>
      <c r="E35" s="201"/>
      <c r="F35" s="201"/>
      <c r="G35" s="201"/>
      <c r="H35" s="201"/>
      <c r="I35" s="201"/>
      <c r="J35" s="201"/>
      <c r="K35" s="201"/>
      <c r="L35" s="201"/>
      <c r="M35" s="201"/>
      <c r="N35" s="201"/>
      <c r="O35" s="201"/>
      <c r="P35" s="201"/>
      <c r="Q35" s="201"/>
      <c r="R35" s="201"/>
      <c r="S35" s="201"/>
      <c r="T35" s="201"/>
      <c r="U35" s="201"/>
      <c r="V35" s="201"/>
      <c r="W35" s="201"/>
      <c r="X35" s="203"/>
      <c r="Y35" s="203"/>
      <c r="Z35" s="203"/>
      <c r="AA35" s="203"/>
      <c r="AB35" s="203"/>
      <c r="AC35" s="203"/>
      <c r="AD35" s="203"/>
      <c r="AE35" s="203"/>
      <c r="AF35" s="203"/>
      <c r="AG35" s="203"/>
      <c r="AH35" s="203"/>
      <c r="AI35" s="203"/>
      <c r="AJ35" s="201"/>
      <c r="AK35" s="201"/>
      <c r="AL35" s="201"/>
      <c r="AM35" s="201"/>
      <c r="AN35" s="201"/>
      <c r="AO35" s="201"/>
      <c r="AP35" s="201"/>
      <c r="AQ35" s="201"/>
      <c r="AR35" s="201">
        <f t="shared" si="0"/>
        <v>0</v>
      </c>
      <c r="AS35" s="201">
        <f t="shared" si="1"/>
        <v>0</v>
      </c>
    </row>
    <row r="36" spans="1:45" ht="21.75" customHeight="1" x14ac:dyDescent="0.25">
      <c r="A36" s="29" t="s">
        <v>267</v>
      </c>
      <c r="B36" s="31" t="s">
        <v>237</v>
      </c>
      <c r="C36" s="35" t="s">
        <v>214</v>
      </c>
      <c r="D36" s="201"/>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f t="shared" si="0"/>
        <v>0</v>
      </c>
      <c r="AS36" s="201">
        <f t="shared" si="1"/>
        <v>0</v>
      </c>
    </row>
    <row r="37" spans="1:45" ht="21.75" customHeight="1" x14ac:dyDescent="0.25">
      <c r="A37" s="29" t="s">
        <v>268</v>
      </c>
      <c r="B37" s="31" t="s">
        <v>238</v>
      </c>
      <c r="C37" s="35" t="s">
        <v>215</v>
      </c>
      <c r="D37" s="201"/>
      <c r="E37" s="201"/>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f t="shared" si="0"/>
        <v>0</v>
      </c>
      <c r="AS37" s="201">
        <f t="shared" si="1"/>
        <v>0</v>
      </c>
    </row>
    <row r="38" spans="1:45" ht="21.75" customHeight="1" x14ac:dyDescent="0.25">
      <c r="A38" s="29" t="s">
        <v>269</v>
      </c>
      <c r="B38" s="32" t="s">
        <v>239</v>
      </c>
      <c r="C38" s="35" t="s">
        <v>216</v>
      </c>
      <c r="D38" s="202">
        <f>+D31+D32+D33+D34+D35+D36+D37</f>
        <v>0</v>
      </c>
      <c r="E38" s="202">
        <f>+E31+E32+E33+E34+E35+E36+E37</f>
        <v>0</v>
      </c>
      <c r="F38" s="202">
        <f t="shared" ref="F38:AP38" si="13">+F31+F32+F33+F34+F35+F36+F37</f>
        <v>4110100</v>
      </c>
      <c r="G38" s="202">
        <f>+G31+G32+G33+G34+G35+G36+G37</f>
        <v>7842240</v>
      </c>
      <c r="H38" s="202">
        <f t="shared" si="13"/>
        <v>6350000</v>
      </c>
      <c r="I38" s="202">
        <f>+I31+I32+I33+I34+I35+I36+I37</f>
        <v>10992970</v>
      </c>
      <c r="J38" s="202">
        <f t="shared" si="13"/>
        <v>2700000</v>
      </c>
      <c r="K38" s="202">
        <f>+K31+K32+K33+K34+K35+K36+K37</f>
        <v>3618580</v>
      </c>
      <c r="L38" s="202">
        <f t="shared" si="13"/>
        <v>800000</v>
      </c>
      <c r="M38" s="202">
        <f>+M31+M32+M33+M34+M35+M36+M37</f>
        <v>1079915</v>
      </c>
      <c r="N38" s="202">
        <f t="shared" si="13"/>
        <v>6500000</v>
      </c>
      <c r="O38" s="202">
        <f>+O31+O32+O33+O34+O35+O36+O37</f>
        <v>10105804</v>
      </c>
      <c r="P38" s="202">
        <f t="shared" si="13"/>
        <v>0</v>
      </c>
      <c r="Q38" s="202">
        <f>+Q31+Q32+Q33+Q34+Q35+Q36+Q37</f>
        <v>0</v>
      </c>
      <c r="R38" s="202">
        <f t="shared" si="13"/>
        <v>0</v>
      </c>
      <c r="S38" s="202">
        <f>+S31+S32+S33+S34+S35+S36+S37</f>
        <v>38579</v>
      </c>
      <c r="T38" s="202">
        <f t="shared" si="13"/>
        <v>0</v>
      </c>
      <c r="U38" s="202">
        <f>+U31+U32+U33+U34+U35+U36+U37</f>
        <v>24112</v>
      </c>
      <c r="V38" s="202">
        <f t="shared" si="13"/>
        <v>0</v>
      </c>
      <c r="W38" s="202">
        <f>+W31+W32+W33+W34+W35+W36+W37</f>
        <v>0</v>
      </c>
      <c r="X38" s="202">
        <f t="shared" si="13"/>
        <v>90000000</v>
      </c>
      <c r="Y38" s="202">
        <f>+Y31+Y32+Y33+Y34+Y35+Y36+Y37</f>
        <v>90000000</v>
      </c>
      <c r="Z38" s="202">
        <f t="shared" si="13"/>
        <v>2000000</v>
      </c>
      <c r="AA38" s="202">
        <f>+AA31+AA32+AA33+AA34+AA35+AA36+AA37</f>
        <v>14804600</v>
      </c>
      <c r="AB38" s="202">
        <f t="shared" si="13"/>
        <v>57810000</v>
      </c>
      <c r="AC38" s="202">
        <f>+AC31+AC32+AC33+AC34+AC35+AC36+AC37</f>
        <v>93844664</v>
      </c>
      <c r="AD38" s="202">
        <f t="shared" si="13"/>
        <v>116621000</v>
      </c>
      <c r="AE38" s="202">
        <f>+AE31+AE32+AE33+AE34+AE35+AE36+AE37</f>
        <v>224696084</v>
      </c>
      <c r="AF38" s="202">
        <f t="shared" si="13"/>
        <v>6516000</v>
      </c>
      <c r="AG38" s="202">
        <f>+AG31+AG32+AG33+AG34+AG35+AG36+AG37</f>
        <v>15042972</v>
      </c>
      <c r="AH38" s="202">
        <f t="shared" si="13"/>
        <v>3340000</v>
      </c>
      <c r="AI38" s="202">
        <f>+AI31+AI32+AI33+AI34+AI35+AI36+AI37</f>
        <v>3252569</v>
      </c>
      <c r="AJ38" s="202">
        <f t="shared" si="13"/>
        <v>36784071</v>
      </c>
      <c r="AK38" s="202">
        <f>+AK31+AK32+AK33+AK34+AK35+AK36+AK37</f>
        <v>0</v>
      </c>
      <c r="AL38" s="202">
        <f t="shared" si="13"/>
        <v>1016000</v>
      </c>
      <c r="AM38" s="202">
        <f>+AM31+AM32+AM33+AM34+AM35+AM36+AM37</f>
        <v>2061350</v>
      </c>
      <c r="AN38" s="202">
        <f t="shared" ref="AN38:AO38" si="14">+AN31+AN32+AN33+AN34+AN35+AN36+AN37</f>
        <v>0</v>
      </c>
      <c r="AO38" s="202">
        <f t="shared" si="14"/>
        <v>37292</v>
      </c>
      <c r="AP38" s="202">
        <f t="shared" si="13"/>
        <v>10260000</v>
      </c>
      <c r="AQ38" s="202">
        <f>+AQ31+AQ32+AQ33+AQ34+AQ35+AQ36+AQ37</f>
        <v>36074407</v>
      </c>
      <c r="AR38" s="202">
        <f t="shared" si="0"/>
        <v>344807171</v>
      </c>
      <c r="AS38" s="202">
        <f>E38+G38+I38+K38+M38+O38+Q38+S38+U38+W38+Y38+AC38+AA38+AE38+AG38+AI38+AK38+AQ38+AM38+AO38</f>
        <v>513516138</v>
      </c>
    </row>
    <row r="39" spans="1:45" ht="21.75" customHeight="1" x14ac:dyDescent="0.25">
      <c r="A39" s="29" t="s">
        <v>270</v>
      </c>
      <c r="B39" s="35" t="s">
        <v>240</v>
      </c>
      <c r="C39" s="30" t="s">
        <v>218</v>
      </c>
      <c r="D39" s="202">
        <f>SUM(D41:D45)</f>
        <v>1093225015</v>
      </c>
      <c r="E39" s="202">
        <f>SUM(E41:E45)</f>
        <v>1159621143</v>
      </c>
      <c r="F39" s="202">
        <f t="shared" ref="F39:AP39" si="15">SUM(F41:F45)</f>
        <v>0</v>
      </c>
      <c r="G39" s="202">
        <f>SUM(G41:G45)</f>
        <v>0</v>
      </c>
      <c r="H39" s="202">
        <f t="shared" si="15"/>
        <v>0</v>
      </c>
      <c r="I39" s="202">
        <f>SUM(I41:I45)</f>
        <v>0</v>
      </c>
      <c r="J39" s="202">
        <f t="shared" si="15"/>
        <v>0</v>
      </c>
      <c r="K39" s="202">
        <f>SUM(K41:K45)</f>
        <v>0</v>
      </c>
      <c r="L39" s="202">
        <f t="shared" si="15"/>
        <v>0</v>
      </c>
      <c r="M39" s="202">
        <f>SUM(M41:M45)</f>
        <v>0</v>
      </c>
      <c r="N39" s="202">
        <f t="shared" si="15"/>
        <v>0</v>
      </c>
      <c r="O39" s="202">
        <f>SUM(O41:O45)</f>
        <v>0</v>
      </c>
      <c r="P39" s="202">
        <f t="shared" si="15"/>
        <v>0</v>
      </c>
      <c r="Q39" s="202">
        <f>SUM(Q41:Q45)</f>
        <v>0</v>
      </c>
      <c r="R39" s="202">
        <f t="shared" si="15"/>
        <v>0</v>
      </c>
      <c r="S39" s="202">
        <f>SUM(S41:S45)</f>
        <v>0</v>
      </c>
      <c r="T39" s="202">
        <f t="shared" si="15"/>
        <v>0</v>
      </c>
      <c r="U39" s="202">
        <f>SUM(U41:U45)</f>
        <v>0</v>
      </c>
      <c r="V39" s="202">
        <f t="shared" si="15"/>
        <v>0</v>
      </c>
      <c r="W39" s="202">
        <f>SUM(W41:W45)</f>
        <v>0</v>
      </c>
      <c r="X39" s="202">
        <f t="shared" si="15"/>
        <v>0</v>
      </c>
      <c r="Y39" s="202">
        <f>SUM(Y41:Y45)</f>
        <v>0</v>
      </c>
      <c r="Z39" s="202">
        <f t="shared" si="15"/>
        <v>0</v>
      </c>
      <c r="AA39" s="202">
        <f>SUM(AA41:AA45)</f>
        <v>0</v>
      </c>
      <c r="AB39" s="202">
        <f t="shared" si="15"/>
        <v>0</v>
      </c>
      <c r="AC39" s="202">
        <f>SUM(AC41:AC45)</f>
        <v>0</v>
      </c>
      <c r="AD39" s="202">
        <f t="shared" si="15"/>
        <v>0</v>
      </c>
      <c r="AE39" s="202">
        <f>SUM(AE41:AE45)</f>
        <v>0</v>
      </c>
      <c r="AF39" s="202">
        <f t="shared" si="15"/>
        <v>0</v>
      </c>
      <c r="AG39" s="202">
        <f>SUM(AG41:AG45)</f>
        <v>0</v>
      </c>
      <c r="AH39" s="202">
        <f t="shared" si="15"/>
        <v>0</v>
      </c>
      <c r="AI39" s="202">
        <f>SUM(AI41:AI45)</f>
        <v>0</v>
      </c>
      <c r="AJ39" s="202">
        <f t="shared" si="15"/>
        <v>0</v>
      </c>
      <c r="AK39" s="202">
        <f>SUM(AK41:AK45)</f>
        <v>0</v>
      </c>
      <c r="AL39" s="202">
        <f t="shared" si="15"/>
        <v>0</v>
      </c>
      <c r="AM39" s="202">
        <f>SUM(AM41:AM45)</f>
        <v>0</v>
      </c>
      <c r="AN39" s="202">
        <f t="shared" ref="AN39:AO39" si="16">SUM(AN41:AN45)</f>
        <v>0</v>
      </c>
      <c r="AO39" s="202">
        <f t="shared" si="16"/>
        <v>0</v>
      </c>
      <c r="AP39" s="202">
        <f t="shared" si="15"/>
        <v>0</v>
      </c>
      <c r="AQ39" s="202">
        <f>SUM(AQ41:AQ45)</f>
        <v>0</v>
      </c>
      <c r="AR39" s="202">
        <f t="shared" si="0"/>
        <v>1093225015</v>
      </c>
      <c r="AS39" s="202">
        <f t="shared" si="1"/>
        <v>1159621143</v>
      </c>
    </row>
    <row r="40" spans="1:45" ht="21.75" customHeight="1" x14ac:dyDescent="0.25">
      <c r="A40" s="29" t="s">
        <v>271</v>
      </c>
      <c r="B40" s="105" t="s">
        <v>566</v>
      </c>
      <c r="C40" s="30"/>
      <c r="D40" s="201"/>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f t="shared" si="0"/>
        <v>0</v>
      </c>
      <c r="AS40" s="201">
        <f t="shared" si="1"/>
        <v>0</v>
      </c>
    </row>
    <row r="41" spans="1:45" ht="21.75" customHeight="1" x14ac:dyDescent="0.25">
      <c r="A41" s="29" t="s">
        <v>272</v>
      </c>
      <c r="B41" s="36" t="s">
        <v>846</v>
      </c>
      <c r="C41" s="34"/>
      <c r="D41" s="201">
        <f>30959440+12078480</f>
        <v>43037920</v>
      </c>
      <c r="E41" s="201">
        <f>+D41+41070640</f>
        <v>84108560</v>
      </c>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f t="shared" si="0"/>
        <v>43037920</v>
      </c>
      <c r="AS41" s="201">
        <f t="shared" si="1"/>
        <v>84108560</v>
      </c>
    </row>
    <row r="42" spans="1:45" ht="21.75" customHeight="1" x14ac:dyDescent="0.25">
      <c r="A42" s="29" t="s">
        <v>276</v>
      </c>
      <c r="B42" s="36" t="s">
        <v>847</v>
      </c>
      <c r="C42" s="34"/>
      <c r="D42" s="201"/>
      <c r="E42" s="201"/>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f t="shared" si="0"/>
        <v>0</v>
      </c>
      <c r="AS42" s="201">
        <f t="shared" si="1"/>
        <v>0</v>
      </c>
    </row>
    <row r="43" spans="1:45" ht="21.75" customHeight="1" x14ac:dyDescent="0.25">
      <c r="A43" s="29" t="s">
        <v>277</v>
      </c>
      <c r="B43" s="36" t="s">
        <v>539</v>
      </c>
      <c r="C43" s="34"/>
      <c r="D43" s="201">
        <f>AR28-AR31-AR33-AR34-AR36-AR41</f>
        <v>1044853095</v>
      </c>
      <c r="E43" s="201">
        <f>AS28-AS31-AS33-AS34-AS36-AS41</f>
        <v>1068749833</v>
      </c>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f t="shared" si="0"/>
        <v>1044853095</v>
      </c>
      <c r="AS43" s="201">
        <f t="shared" si="1"/>
        <v>1068749833</v>
      </c>
    </row>
    <row r="44" spans="1:45" ht="21.75" customHeight="1" x14ac:dyDescent="0.25">
      <c r="A44" s="29" t="s">
        <v>278</v>
      </c>
      <c r="B44" s="36" t="s">
        <v>540</v>
      </c>
      <c r="C44" s="34"/>
      <c r="D44" s="201">
        <f>AR29-AR32-AR35-AR37-AR42</f>
        <v>5334000</v>
      </c>
      <c r="E44" s="201">
        <f>AS29-AS32-AS35-AS37-AS42</f>
        <v>6762750</v>
      </c>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f t="shared" si="0"/>
        <v>5334000</v>
      </c>
      <c r="AS44" s="201">
        <f t="shared" si="1"/>
        <v>6762750</v>
      </c>
    </row>
    <row r="45" spans="1:45" ht="21.75" customHeight="1" x14ac:dyDescent="0.25">
      <c r="A45" s="29" t="s">
        <v>279</v>
      </c>
      <c r="B45" s="36" t="s">
        <v>574</v>
      </c>
      <c r="C45" s="34"/>
      <c r="D45" s="201"/>
      <c r="E45" s="201"/>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f t="shared" si="0"/>
        <v>0</v>
      </c>
      <c r="AS45" s="201">
        <f t="shared" si="1"/>
        <v>0</v>
      </c>
    </row>
    <row r="46" spans="1:45" ht="21.75" customHeight="1" x14ac:dyDescent="0.25">
      <c r="A46" s="29" t="s">
        <v>280</v>
      </c>
      <c r="B46" s="267" t="s">
        <v>815</v>
      </c>
      <c r="C46" s="34"/>
      <c r="D46" s="201"/>
      <c r="E46" s="201"/>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c r="AF46" s="201"/>
      <c r="AG46" s="201"/>
      <c r="AH46" s="201"/>
      <c r="AI46" s="201"/>
      <c r="AJ46" s="201"/>
      <c r="AK46" s="201"/>
      <c r="AL46" s="201"/>
      <c r="AM46" s="201"/>
      <c r="AN46" s="201"/>
      <c r="AO46" s="201"/>
      <c r="AP46" s="201"/>
      <c r="AQ46" s="201"/>
      <c r="AR46" s="201">
        <f t="shared" si="0"/>
        <v>0</v>
      </c>
      <c r="AS46" s="201">
        <f t="shared" si="1"/>
        <v>0</v>
      </c>
    </row>
    <row r="47" spans="1:45" ht="21.75" customHeight="1" x14ac:dyDescent="0.25">
      <c r="A47" s="29" t="s">
        <v>281</v>
      </c>
      <c r="B47" s="37" t="s">
        <v>113</v>
      </c>
      <c r="C47" s="30"/>
      <c r="D47" s="202">
        <f>+D31+D33+D34+D36+D41+D43</f>
        <v>1087891015</v>
      </c>
      <c r="E47" s="202">
        <f>+E31+E33+E34+E36+E41+E43</f>
        <v>1152858393</v>
      </c>
      <c r="F47" s="202">
        <f t="shared" ref="F47:AP47" si="17">+F31+F33+F34+F36+F41+F43</f>
        <v>4110100</v>
      </c>
      <c r="G47" s="202">
        <f>+G31+G33+G34+G36+G41+G43</f>
        <v>7842240</v>
      </c>
      <c r="H47" s="202">
        <f t="shared" si="17"/>
        <v>6350000</v>
      </c>
      <c r="I47" s="202">
        <f>+I31+I33+I34+I36+I41+I43</f>
        <v>10992970</v>
      </c>
      <c r="J47" s="202">
        <f t="shared" si="17"/>
        <v>2700000</v>
      </c>
      <c r="K47" s="202">
        <f>+K31+K33+K34+K36+K41+K43</f>
        <v>3618580</v>
      </c>
      <c r="L47" s="202">
        <f t="shared" si="17"/>
        <v>800000</v>
      </c>
      <c r="M47" s="202">
        <f>+M31+M33+M34+M36+M41+M43</f>
        <v>1079915</v>
      </c>
      <c r="N47" s="202">
        <f t="shared" si="17"/>
        <v>6500000</v>
      </c>
      <c r="O47" s="202">
        <f>+O31+O33+O34+O36+O41+O43</f>
        <v>10105804</v>
      </c>
      <c r="P47" s="202">
        <f t="shared" si="17"/>
        <v>0</v>
      </c>
      <c r="Q47" s="202">
        <f>+Q31+Q33+Q34+Q36+Q41+Q43</f>
        <v>0</v>
      </c>
      <c r="R47" s="202">
        <f t="shared" si="17"/>
        <v>0</v>
      </c>
      <c r="S47" s="202">
        <f>+S31+S33+S34+S36+S41+S43</f>
        <v>38579</v>
      </c>
      <c r="T47" s="202">
        <f t="shared" si="17"/>
        <v>0</v>
      </c>
      <c r="U47" s="202">
        <f>+U31+U33+U34+U36+U41+U43</f>
        <v>24112</v>
      </c>
      <c r="V47" s="202">
        <f t="shared" si="17"/>
        <v>0</v>
      </c>
      <c r="W47" s="202">
        <f>+W31+W33+W34+W36+W41+W43</f>
        <v>0</v>
      </c>
      <c r="X47" s="202">
        <f t="shared" si="17"/>
        <v>90000000</v>
      </c>
      <c r="Y47" s="202">
        <f>+Y31+Y33+Y34+Y36+Y41+Y43</f>
        <v>90000000</v>
      </c>
      <c r="Z47" s="202">
        <f t="shared" si="17"/>
        <v>2000000</v>
      </c>
      <c r="AA47" s="202">
        <f>+AA31+AA33+AA34+AA36+AA41+AA43</f>
        <v>14804600</v>
      </c>
      <c r="AB47" s="202">
        <f t="shared" si="17"/>
        <v>57810000</v>
      </c>
      <c r="AC47" s="202">
        <f>+AC31+AC33+AC34+AC36+AC41+AC43</f>
        <v>93844664</v>
      </c>
      <c r="AD47" s="202">
        <f t="shared" si="17"/>
        <v>116621000</v>
      </c>
      <c r="AE47" s="202">
        <f>+AE31+AE33+AE34+AE36+AE41+AE43</f>
        <v>224696084</v>
      </c>
      <c r="AF47" s="202">
        <f t="shared" si="17"/>
        <v>6516000</v>
      </c>
      <c r="AG47" s="202">
        <f>+AG31+AG33+AG34+AG36+AG41+AG43</f>
        <v>15042972</v>
      </c>
      <c r="AH47" s="202">
        <f t="shared" si="17"/>
        <v>3340000</v>
      </c>
      <c r="AI47" s="202">
        <f>+AI31+AI33+AI34+AI36+AI41+AI43</f>
        <v>3252569</v>
      </c>
      <c r="AJ47" s="202">
        <f t="shared" si="17"/>
        <v>36784071</v>
      </c>
      <c r="AK47" s="202">
        <f>+AK31+AK33+AK34+AK36+AK41+AK43</f>
        <v>0</v>
      </c>
      <c r="AL47" s="202">
        <f t="shared" si="17"/>
        <v>1016000</v>
      </c>
      <c r="AM47" s="202">
        <f>+AM31+AM33+AM34+AM36+AM41+AM43</f>
        <v>2061350</v>
      </c>
      <c r="AN47" s="202">
        <f t="shared" ref="AN47:AO47" si="18">+AN31+AN33+AN34+AN36+AN41+AN43</f>
        <v>0</v>
      </c>
      <c r="AO47" s="202">
        <f t="shared" si="18"/>
        <v>37292</v>
      </c>
      <c r="AP47" s="202">
        <f t="shared" si="17"/>
        <v>10260000</v>
      </c>
      <c r="AQ47" s="202">
        <f>+AQ31+AQ33+AQ34+AQ36+AQ41+AQ43</f>
        <v>36074407</v>
      </c>
      <c r="AR47" s="202">
        <f t="shared" si="0"/>
        <v>1432698186</v>
      </c>
      <c r="AS47" s="202">
        <f>E47+G47+I47+K47+M47+O47+Q47+S47+U47+W47+Y47+AC47+AA47+AE47+AG47+AI47+AK47+AQ47+AM47+AO47</f>
        <v>1666374531</v>
      </c>
    </row>
    <row r="48" spans="1:45" ht="21.75" customHeight="1" x14ac:dyDescent="0.25">
      <c r="A48" s="29" t="s">
        <v>282</v>
      </c>
      <c r="B48" s="37" t="s">
        <v>114</v>
      </c>
      <c r="C48" s="30"/>
      <c r="D48" s="202">
        <f>+D32+D35+D37+D42+D429+D45+D44</f>
        <v>5334000</v>
      </c>
      <c r="E48" s="202">
        <f>+E32+E35+E37+E42+E429+E45+E44</f>
        <v>6762750</v>
      </c>
      <c r="F48" s="202">
        <f t="shared" ref="F48:AP48" si="19">+F32+F35+F37+F42+F429+F45+F44</f>
        <v>0</v>
      </c>
      <c r="G48" s="202">
        <f>+G32+G35+G37+G42+G429+G45+G44</f>
        <v>0</v>
      </c>
      <c r="H48" s="202">
        <f t="shared" si="19"/>
        <v>0</v>
      </c>
      <c r="I48" s="202">
        <f>+I32+I35+I37+I42+I429+I45+I44</f>
        <v>0</v>
      </c>
      <c r="J48" s="202">
        <f t="shared" si="19"/>
        <v>0</v>
      </c>
      <c r="K48" s="202">
        <f>+K32+K35+K37+K42+K429+K45+K44</f>
        <v>0</v>
      </c>
      <c r="L48" s="202">
        <f t="shared" si="19"/>
        <v>0</v>
      </c>
      <c r="M48" s="202">
        <f>+M32+M35+M37+M42+M429+M45+M44</f>
        <v>0</v>
      </c>
      <c r="N48" s="202">
        <f t="shared" si="19"/>
        <v>0</v>
      </c>
      <c r="O48" s="202">
        <f>+O32+O35+O37+O42+O429+O45+O44</f>
        <v>0</v>
      </c>
      <c r="P48" s="202">
        <f t="shared" si="19"/>
        <v>0</v>
      </c>
      <c r="Q48" s="202">
        <f>+Q32+Q35+Q37+Q42+Q429+Q45+Q44</f>
        <v>0</v>
      </c>
      <c r="R48" s="202">
        <f t="shared" si="19"/>
        <v>0</v>
      </c>
      <c r="S48" s="202">
        <f>+S32+S35+S37+S42+S429+S45+S44</f>
        <v>0</v>
      </c>
      <c r="T48" s="202">
        <f t="shared" si="19"/>
        <v>0</v>
      </c>
      <c r="U48" s="202">
        <f>+U32+U35+U37+U42+U429+U45+U44</f>
        <v>0</v>
      </c>
      <c r="V48" s="202">
        <f t="shared" si="19"/>
        <v>0</v>
      </c>
      <c r="W48" s="202">
        <f>+W32+W35+W37+W42+W429+W45+W44</f>
        <v>0</v>
      </c>
      <c r="X48" s="202">
        <f t="shared" si="19"/>
        <v>0</v>
      </c>
      <c r="Y48" s="202">
        <f>+Y32+Y35+Y37+Y42+Y429+Y45+Y44</f>
        <v>0</v>
      </c>
      <c r="Z48" s="202">
        <f t="shared" si="19"/>
        <v>0</v>
      </c>
      <c r="AA48" s="202">
        <f>+AA32+AA35+AA37+AA42+AA429+AA45+AA44</f>
        <v>0</v>
      </c>
      <c r="AB48" s="202">
        <f t="shared" si="19"/>
        <v>0</v>
      </c>
      <c r="AC48" s="202">
        <f>+AC32+AC35+AC37+AC42+AC429+AC45+AC44</f>
        <v>0</v>
      </c>
      <c r="AD48" s="202">
        <f t="shared" si="19"/>
        <v>0</v>
      </c>
      <c r="AE48" s="202">
        <f>+AE32+AE35+AE37+AE42+AE429+AE45+AE44</f>
        <v>0</v>
      </c>
      <c r="AF48" s="202">
        <f t="shared" si="19"/>
        <v>0</v>
      </c>
      <c r="AG48" s="202">
        <f>+AG32+AG35+AG37+AG42+AG429+AG45+AG44</f>
        <v>0</v>
      </c>
      <c r="AH48" s="202">
        <f t="shared" si="19"/>
        <v>0</v>
      </c>
      <c r="AI48" s="202">
        <f>+AI32+AI35+AI37+AI42+AI429+AI45+AI44</f>
        <v>0</v>
      </c>
      <c r="AJ48" s="202">
        <f t="shared" si="19"/>
        <v>0</v>
      </c>
      <c r="AK48" s="202">
        <f>+AK32+AK35+AK37+AK42+AK429+AK45+AK44</f>
        <v>0</v>
      </c>
      <c r="AL48" s="202">
        <f t="shared" si="19"/>
        <v>0</v>
      </c>
      <c r="AM48" s="202">
        <f>+AM32+AM35+AM37+AM42+AM429+AM45+AM44</f>
        <v>0</v>
      </c>
      <c r="AN48" s="202">
        <f t="shared" ref="AN48:AO48" si="20">+AN32+AN35+AN37+AN42+AN429+AN45+AN44</f>
        <v>0</v>
      </c>
      <c r="AO48" s="202">
        <f t="shared" si="20"/>
        <v>0</v>
      </c>
      <c r="AP48" s="202">
        <f t="shared" si="19"/>
        <v>0</v>
      </c>
      <c r="AQ48" s="202">
        <f>+AQ32+AQ35+AQ37+AQ42+AQ429+AQ45+AQ44</f>
        <v>0</v>
      </c>
      <c r="AR48" s="202">
        <f t="shared" si="0"/>
        <v>5334000</v>
      </c>
      <c r="AS48" s="202">
        <f t="shared" si="1"/>
        <v>6762750</v>
      </c>
    </row>
    <row r="49" spans="1:46" ht="21.75" customHeight="1" x14ac:dyDescent="0.25">
      <c r="A49" s="29" t="s">
        <v>283</v>
      </c>
      <c r="B49" s="37" t="s">
        <v>328</v>
      </c>
      <c r="C49" s="30"/>
      <c r="D49" s="202">
        <f>+D47+D48</f>
        <v>1093225015</v>
      </c>
      <c r="E49" s="202">
        <f>+E47+E48</f>
        <v>1159621143</v>
      </c>
      <c r="F49" s="202">
        <f t="shared" ref="F49:AP49" si="21">+F47+F48</f>
        <v>4110100</v>
      </c>
      <c r="G49" s="202">
        <f>+G47+G48</f>
        <v>7842240</v>
      </c>
      <c r="H49" s="202">
        <f t="shared" si="21"/>
        <v>6350000</v>
      </c>
      <c r="I49" s="202">
        <f>+I47+I48</f>
        <v>10992970</v>
      </c>
      <c r="J49" s="202">
        <f t="shared" si="21"/>
        <v>2700000</v>
      </c>
      <c r="K49" s="202">
        <f>+K47+K48</f>
        <v>3618580</v>
      </c>
      <c r="L49" s="202">
        <f t="shared" si="21"/>
        <v>800000</v>
      </c>
      <c r="M49" s="202">
        <f>+M47+M48</f>
        <v>1079915</v>
      </c>
      <c r="N49" s="202">
        <f t="shared" si="21"/>
        <v>6500000</v>
      </c>
      <c r="O49" s="202">
        <f>+O47+O48</f>
        <v>10105804</v>
      </c>
      <c r="P49" s="202">
        <f t="shared" si="21"/>
        <v>0</v>
      </c>
      <c r="Q49" s="202">
        <f>+Q47+Q48</f>
        <v>0</v>
      </c>
      <c r="R49" s="202">
        <f t="shared" si="21"/>
        <v>0</v>
      </c>
      <c r="S49" s="202">
        <f>+S47+S48</f>
        <v>38579</v>
      </c>
      <c r="T49" s="202">
        <f t="shared" si="21"/>
        <v>0</v>
      </c>
      <c r="U49" s="202">
        <f>+U47+U48</f>
        <v>24112</v>
      </c>
      <c r="V49" s="202">
        <f t="shared" si="21"/>
        <v>0</v>
      </c>
      <c r="W49" s="202">
        <f>+W47+W48</f>
        <v>0</v>
      </c>
      <c r="X49" s="202">
        <f t="shared" si="21"/>
        <v>90000000</v>
      </c>
      <c r="Y49" s="202">
        <f>+Y47+Y48</f>
        <v>90000000</v>
      </c>
      <c r="Z49" s="202">
        <f t="shared" si="21"/>
        <v>2000000</v>
      </c>
      <c r="AA49" s="202">
        <f>+AA47+AA48</f>
        <v>14804600</v>
      </c>
      <c r="AB49" s="202">
        <f t="shared" si="21"/>
        <v>57810000</v>
      </c>
      <c r="AC49" s="202">
        <f>+AC47+AC48</f>
        <v>93844664</v>
      </c>
      <c r="AD49" s="202">
        <f t="shared" si="21"/>
        <v>116621000</v>
      </c>
      <c r="AE49" s="202">
        <f>+AE47+AE48</f>
        <v>224696084</v>
      </c>
      <c r="AF49" s="202">
        <f t="shared" si="21"/>
        <v>6516000</v>
      </c>
      <c r="AG49" s="202">
        <f>+AG47+AG48</f>
        <v>15042972</v>
      </c>
      <c r="AH49" s="202">
        <f t="shared" si="21"/>
        <v>3340000</v>
      </c>
      <c r="AI49" s="202">
        <f>+AI47+AI48</f>
        <v>3252569</v>
      </c>
      <c r="AJ49" s="202">
        <f t="shared" si="21"/>
        <v>36784071</v>
      </c>
      <c r="AK49" s="202">
        <f>+AK47+AK48</f>
        <v>0</v>
      </c>
      <c r="AL49" s="202">
        <f t="shared" si="21"/>
        <v>1016000</v>
      </c>
      <c r="AM49" s="202">
        <f>+AM47+AM48</f>
        <v>2061350</v>
      </c>
      <c r="AN49" s="202">
        <f t="shared" ref="AN49:AO49" si="22">+AN47+AN48</f>
        <v>0</v>
      </c>
      <c r="AO49" s="202">
        <f t="shared" si="22"/>
        <v>37292</v>
      </c>
      <c r="AP49" s="202">
        <f t="shared" si="21"/>
        <v>10260000</v>
      </c>
      <c r="AQ49" s="202">
        <f>+AQ47+AQ48</f>
        <v>36074407</v>
      </c>
      <c r="AR49" s="202">
        <f t="shared" si="0"/>
        <v>1438032186</v>
      </c>
      <c r="AS49" s="202">
        <f>E49+G49+I49+K49+M49+O49+Q49+S49+U49+W49+Y49+AC49+AA49+AE49+AG49+AI49+AK49+AQ49+AM49+AO49</f>
        <v>1673137281</v>
      </c>
    </row>
    <row r="50" spans="1:46" ht="21.75" customHeight="1" x14ac:dyDescent="0.25">
      <c r="A50" s="29" t="s">
        <v>284</v>
      </c>
      <c r="B50" s="414" t="s">
        <v>437</v>
      </c>
      <c r="C50" s="207"/>
      <c r="D50" s="202"/>
      <c r="E50" s="202"/>
      <c r="F50" s="202">
        <v>11</v>
      </c>
      <c r="G50" s="202">
        <f>+F50</f>
        <v>11</v>
      </c>
      <c r="H50" s="202">
        <v>1</v>
      </c>
      <c r="I50" s="202">
        <f>+H50</f>
        <v>1</v>
      </c>
      <c r="J50" s="202">
        <v>4</v>
      </c>
      <c r="K50" s="202">
        <f>+J50</f>
        <v>4</v>
      </c>
      <c r="L50" s="202">
        <v>2</v>
      </c>
      <c r="M50" s="202">
        <f>+L50</f>
        <v>2</v>
      </c>
      <c r="N50" s="202"/>
      <c r="O50" s="202"/>
      <c r="P50" s="202"/>
      <c r="Q50" s="202"/>
      <c r="R50" s="202">
        <v>1</v>
      </c>
      <c r="S50" s="202">
        <f>+R50</f>
        <v>1</v>
      </c>
      <c r="T50" s="202">
        <v>2</v>
      </c>
      <c r="U50" s="202">
        <f>+T50</f>
        <v>2</v>
      </c>
      <c r="V50" s="202">
        <v>2</v>
      </c>
      <c r="W50" s="202">
        <f>+V50</f>
        <v>2</v>
      </c>
      <c r="X50" s="202">
        <v>10</v>
      </c>
      <c r="Y50" s="202">
        <f>+X50</f>
        <v>10</v>
      </c>
      <c r="Z50" s="202">
        <v>3</v>
      </c>
      <c r="AA50" s="202">
        <f>+Z50</f>
        <v>3</v>
      </c>
      <c r="AB50" s="202"/>
      <c r="AC50" s="202"/>
      <c r="AD50" s="202">
        <v>1</v>
      </c>
      <c r="AE50" s="202">
        <f>+AD50</f>
        <v>1</v>
      </c>
      <c r="AF50" s="202"/>
      <c r="AG50" s="202"/>
      <c r="AH50" s="202"/>
      <c r="AI50" s="202"/>
      <c r="AJ50" s="202"/>
      <c r="AK50" s="202"/>
      <c r="AL50" s="202"/>
      <c r="AM50" s="202"/>
      <c r="AN50" s="202"/>
      <c r="AO50" s="202"/>
      <c r="AP50" s="202"/>
      <c r="AQ50" s="202"/>
      <c r="AR50" s="202">
        <f t="shared" si="0"/>
        <v>37</v>
      </c>
      <c r="AS50" s="202">
        <f t="shared" si="1"/>
        <v>37</v>
      </c>
      <c r="AT50" s="94">
        <f>AR49-AR30</f>
        <v>0</v>
      </c>
    </row>
    <row r="51" spans="1:46" ht="21.75" customHeight="1" x14ac:dyDescent="0.25">
      <c r="A51" s="29" t="s">
        <v>285</v>
      </c>
      <c r="B51" s="55" t="s">
        <v>1346</v>
      </c>
      <c r="C51" s="207"/>
      <c r="D51" s="242"/>
      <c r="E51" s="242"/>
      <c r="F51" s="242"/>
      <c r="G51" s="242"/>
      <c r="H51" s="242"/>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2"/>
      <c r="AG51" s="242"/>
      <c r="AH51" s="242"/>
      <c r="AI51" s="242"/>
      <c r="AJ51" s="242"/>
      <c r="AK51" s="242"/>
      <c r="AL51" s="242"/>
      <c r="AM51" s="242"/>
      <c r="AN51" s="242"/>
      <c r="AO51" s="242"/>
      <c r="AP51" s="242"/>
      <c r="AQ51" s="242"/>
      <c r="AR51" s="201">
        <f t="shared" si="0"/>
        <v>0</v>
      </c>
      <c r="AS51" s="201">
        <f t="shared" si="1"/>
        <v>0</v>
      </c>
      <c r="AT51" s="94"/>
    </row>
  </sheetData>
  <mergeCells count="58">
    <mergeCell ref="AJ2:AM2"/>
    <mergeCell ref="AK6:AK7"/>
    <mergeCell ref="AM6:AM7"/>
    <mergeCell ref="AQ6:AQ7"/>
    <mergeCell ref="AS4:AS7"/>
    <mergeCell ref="AP6:AP7"/>
    <mergeCell ref="AR4:AR7"/>
    <mergeCell ref="AJ6:AJ7"/>
    <mergeCell ref="AL6:AL7"/>
    <mergeCell ref="AN6:AN7"/>
    <mergeCell ref="AO6:AO7"/>
    <mergeCell ref="AN2:AQ2"/>
    <mergeCell ref="AR2:AS2"/>
    <mergeCell ref="AC6:AC7"/>
    <mergeCell ref="AE6:AE7"/>
    <mergeCell ref="AF2:AI2"/>
    <mergeCell ref="AG6:AG7"/>
    <mergeCell ref="AI6:AI7"/>
    <mergeCell ref="AD6:AD7"/>
    <mergeCell ref="AH6:AH7"/>
    <mergeCell ref="AF6:AF7"/>
    <mergeCell ref="AB2:AE2"/>
    <mergeCell ref="AB6:AB7"/>
    <mergeCell ref="X2:AA2"/>
    <mergeCell ref="Y6:Y7"/>
    <mergeCell ref="AA6:AA7"/>
    <mergeCell ref="T6:T7"/>
    <mergeCell ref="V6:V7"/>
    <mergeCell ref="X6:X7"/>
    <mergeCell ref="Z6:Z7"/>
    <mergeCell ref="M6:M7"/>
    <mergeCell ref="O6:O7"/>
    <mergeCell ref="Q6:Q7"/>
    <mergeCell ref="T2:W2"/>
    <mergeCell ref="U6:U7"/>
    <mergeCell ref="W6:W7"/>
    <mergeCell ref="S6:S7"/>
    <mergeCell ref="A4:A7"/>
    <mergeCell ref="B4:C4"/>
    <mergeCell ref="J6:J7"/>
    <mergeCell ref="R6:R7"/>
    <mergeCell ref="P6:P7"/>
    <mergeCell ref="B6:C6"/>
    <mergeCell ref="B5:C5"/>
    <mergeCell ref="F6:F7"/>
    <mergeCell ref="L6:L7"/>
    <mergeCell ref="N6:N7"/>
    <mergeCell ref="D6:D7"/>
    <mergeCell ref="E6:E7"/>
    <mergeCell ref="G6:G7"/>
    <mergeCell ref="H6:H7"/>
    <mergeCell ref="I6:I7"/>
    <mergeCell ref="K6:K7"/>
    <mergeCell ref="A2:C3"/>
    <mergeCell ref="D2:G2"/>
    <mergeCell ref="H2:K2"/>
    <mergeCell ref="L2:O2"/>
    <mergeCell ref="P2:S2"/>
  </mergeCells>
  <phoneticPr fontId="50" type="noConversion"/>
  <printOptions horizontalCentered="1" verticalCentered="1"/>
  <pageMargins left="0.35433070866141736" right="0.35433070866141736" top="0.39370078740157483" bottom="0.39370078740157483" header="0.51181102362204722" footer="0.51181102362204722"/>
  <pageSetup paperSize="9" scale="55" orientation="portrait" r:id="rId1"/>
  <headerFooter alignWithMargins="0">
    <oddHeader>&amp;C2023. évi költségvetés&amp;R&amp;A</oddHeader>
    <oddFooter>&amp;C&amp;P/&amp;N</oddFooter>
  </headerFooter>
  <colBreaks count="10" manualBreakCount="10">
    <brk id="7" max="50" man="1"/>
    <brk id="11" max="50" man="1"/>
    <brk id="15" max="50" man="1"/>
    <brk id="19" max="50" man="1"/>
    <brk id="23" max="50" man="1"/>
    <brk id="27" max="50" man="1"/>
    <brk id="31" max="50" man="1"/>
    <brk id="35" max="50" man="1"/>
    <brk id="39" max="50" man="1"/>
    <brk id="43" max="50"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Y51"/>
  <sheetViews>
    <sheetView view="pageBreakPreview" zoomScale="80" zoomScaleNormal="71" zoomScaleSheetLayoutView="80" workbookViewId="0">
      <pane xSplit="3" ySplit="8" topLeftCell="D9" activePane="bottomRight" state="frozen"/>
      <selection pane="topRight" activeCell="D1" sqref="D1"/>
      <selection pane="bottomLeft" activeCell="A8" sqref="A8"/>
      <selection pane="bottomRight" activeCell="K11" sqref="K11"/>
    </sheetView>
  </sheetViews>
  <sheetFormatPr defaultRowHeight="12.75" x14ac:dyDescent="0.2"/>
  <cols>
    <col min="1" max="1" width="6.42578125" style="23" customWidth="1"/>
    <col min="2" max="2" width="64.85546875" style="23" customWidth="1"/>
    <col min="3" max="3" width="7.85546875" style="23" customWidth="1"/>
    <col min="4" max="4" width="18.7109375" style="24" customWidth="1"/>
    <col min="5" max="5" width="17.28515625" style="24" customWidth="1"/>
    <col min="6" max="7" width="19.140625" style="24" customWidth="1"/>
    <col min="8" max="9" width="18.28515625" style="24" customWidth="1"/>
    <col min="10" max="10" width="18.85546875" style="24" customWidth="1"/>
    <col min="11" max="11" width="17.28515625" style="24" customWidth="1"/>
    <col min="12" max="12" width="18.42578125" style="24" customWidth="1"/>
    <col min="13" max="13" width="17.28515625" style="24" customWidth="1"/>
    <col min="14" max="14" width="19.140625" style="24" customWidth="1"/>
    <col min="15" max="15" width="17.7109375" style="24" customWidth="1"/>
    <col min="16" max="22" width="18.42578125" style="24" customWidth="1"/>
    <col min="23" max="24" width="17.7109375" style="23" customWidth="1"/>
    <col min="25" max="16384" width="9.140625" style="23"/>
  </cols>
  <sheetData>
    <row r="1" spans="1:25" ht="15.75" x14ac:dyDescent="0.25">
      <c r="A1" s="195"/>
      <c r="B1" s="195"/>
      <c r="C1" s="195"/>
      <c r="D1" s="197"/>
      <c r="E1" s="197"/>
      <c r="F1" s="197"/>
      <c r="G1" s="198" t="s">
        <v>431</v>
      </c>
      <c r="H1" s="197"/>
      <c r="I1" s="197"/>
      <c r="K1" s="198" t="s">
        <v>431</v>
      </c>
      <c r="L1" s="198"/>
      <c r="M1" s="198"/>
      <c r="N1" s="197"/>
      <c r="O1" s="198" t="s">
        <v>431</v>
      </c>
      <c r="S1" s="198" t="s">
        <v>431</v>
      </c>
      <c r="W1" s="198" t="s">
        <v>431</v>
      </c>
    </row>
    <row r="2" spans="1:25" ht="42" customHeight="1" x14ac:dyDescent="0.2">
      <c r="A2" s="1739" t="s">
        <v>137</v>
      </c>
      <c r="B2" s="1740"/>
      <c r="C2" s="1741"/>
      <c r="D2" s="1745" t="s">
        <v>2750</v>
      </c>
      <c r="E2" s="1746"/>
      <c r="F2" s="1746"/>
      <c r="G2" s="1747"/>
      <c r="H2" s="1745" t="s">
        <v>2750</v>
      </c>
      <c r="I2" s="1746"/>
      <c r="J2" s="1746"/>
      <c r="K2" s="1747"/>
      <c r="L2" s="1745" t="s">
        <v>2750</v>
      </c>
      <c r="M2" s="1746"/>
      <c r="N2" s="1746"/>
      <c r="O2" s="1747"/>
      <c r="P2" s="1745" t="s">
        <v>2750</v>
      </c>
      <c r="Q2" s="1746"/>
      <c r="R2" s="1746"/>
      <c r="S2" s="1747"/>
      <c r="T2" s="1745" t="s">
        <v>2750</v>
      </c>
      <c r="U2" s="1746"/>
      <c r="V2" s="1746"/>
      <c r="W2" s="1747"/>
      <c r="X2" s="881"/>
      <c r="Y2" s="881"/>
    </row>
    <row r="3" spans="1:25" ht="60" customHeight="1" x14ac:dyDescent="0.2">
      <c r="A3" s="1742"/>
      <c r="B3" s="1743"/>
      <c r="C3" s="1744"/>
      <c r="D3" s="1611" t="s">
        <v>273</v>
      </c>
      <c r="E3" s="1611" t="s">
        <v>1561</v>
      </c>
      <c r="F3" s="1611" t="s">
        <v>273</v>
      </c>
      <c r="G3" s="1611" t="s">
        <v>1561</v>
      </c>
      <c r="H3" s="1611" t="s">
        <v>273</v>
      </c>
      <c r="I3" s="1611" t="s">
        <v>1561</v>
      </c>
      <c r="J3" s="1611" t="s">
        <v>273</v>
      </c>
      <c r="K3" s="1611" t="s">
        <v>1561</v>
      </c>
      <c r="L3" s="1611" t="s">
        <v>273</v>
      </c>
      <c r="M3" s="1611" t="s">
        <v>1561</v>
      </c>
      <c r="N3" s="1611" t="s">
        <v>273</v>
      </c>
      <c r="O3" s="1611" t="s">
        <v>1561</v>
      </c>
      <c r="P3" s="1611" t="s">
        <v>273</v>
      </c>
      <c r="Q3" s="1611" t="s">
        <v>1561</v>
      </c>
      <c r="R3" s="1611" t="s">
        <v>273</v>
      </c>
      <c r="S3" s="1611" t="s">
        <v>1561</v>
      </c>
      <c r="T3" s="1611" t="s">
        <v>273</v>
      </c>
      <c r="U3" s="1611" t="s">
        <v>1561</v>
      </c>
      <c r="V3" s="1611" t="s">
        <v>273</v>
      </c>
      <c r="W3" s="1611" t="s">
        <v>1561</v>
      </c>
      <c r="X3" s="881"/>
      <c r="Y3" s="881"/>
    </row>
    <row r="4" spans="1:25" ht="84" customHeight="1" x14ac:dyDescent="0.2">
      <c r="A4" s="1748" t="s">
        <v>186</v>
      </c>
      <c r="B4" s="1749" t="s">
        <v>244</v>
      </c>
      <c r="C4" s="1749"/>
      <c r="D4" s="1604" t="s">
        <v>490</v>
      </c>
      <c r="E4" s="1604" t="s">
        <v>490</v>
      </c>
      <c r="F4" s="1605" t="s">
        <v>489</v>
      </c>
      <c r="G4" s="1605" t="s">
        <v>489</v>
      </c>
      <c r="H4" s="1605" t="s">
        <v>872</v>
      </c>
      <c r="I4" s="1605" t="s">
        <v>872</v>
      </c>
      <c r="J4" s="1605" t="s">
        <v>353</v>
      </c>
      <c r="K4" s="1605" t="s">
        <v>353</v>
      </c>
      <c r="L4" s="1611" t="s">
        <v>1459</v>
      </c>
      <c r="M4" s="1611" t="s">
        <v>1459</v>
      </c>
      <c r="N4" s="1605" t="s">
        <v>185</v>
      </c>
      <c r="O4" s="1605" t="s">
        <v>185</v>
      </c>
      <c r="P4" s="200" t="s">
        <v>506</v>
      </c>
      <c r="Q4" s="200" t="s">
        <v>506</v>
      </c>
      <c r="R4" s="200" t="s">
        <v>506</v>
      </c>
      <c r="S4" s="200" t="s">
        <v>506</v>
      </c>
      <c r="T4" s="1605" t="s">
        <v>353</v>
      </c>
      <c r="U4" s="1605" t="s">
        <v>353</v>
      </c>
      <c r="V4" s="1738" t="s">
        <v>139</v>
      </c>
      <c r="W4" s="1738" t="s">
        <v>139</v>
      </c>
    </row>
    <row r="5" spans="1:25" ht="25.5" customHeight="1" x14ac:dyDescent="0.2">
      <c r="A5" s="1748"/>
      <c r="B5" s="1749" t="s">
        <v>11</v>
      </c>
      <c r="C5" s="1749"/>
      <c r="D5" s="1604" t="s">
        <v>222</v>
      </c>
      <c r="E5" s="1604" t="s">
        <v>222</v>
      </c>
      <c r="F5" s="1604" t="s">
        <v>222</v>
      </c>
      <c r="G5" s="1604" t="s">
        <v>222</v>
      </c>
      <c r="H5" s="1604" t="s">
        <v>222</v>
      </c>
      <c r="I5" s="1604" t="s">
        <v>222</v>
      </c>
      <c r="J5" s="1604" t="s">
        <v>222</v>
      </c>
      <c r="K5" s="1604" t="s">
        <v>222</v>
      </c>
      <c r="L5" s="1604" t="s">
        <v>222</v>
      </c>
      <c r="M5" s="1604" t="s">
        <v>222</v>
      </c>
      <c r="N5" s="1604" t="s">
        <v>222</v>
      </c>
      <c r="O5" s="1604" t="s">
        <v>222</v>
      </c>
      <c r="P5" s="1604" t="s">
        <v>222</v>
      </c>
      <c r="Q5" s="1604" t="s">
        <v>222</v>
      </c>
      <c r="R5" s="1604" t="s">
        <v>222</v>
      </c>
      <c r="S5" s="1604" t="s">
        <v>222</v>
      </c>
      <c r="T5" s="1604" t="s">
        <v>222</v>
      </c>
      <c r="U5" s="1604" t="s">
        <v>222</v>
      </c>
      <c r="V5" s="1738"/>
      <c r="W5" s="1738"/>
    </row>
    <row r="6" spans="1:25" ht="15.75" customHeight="1" x14ac:dyDescent="0.2">
      <c r="A6" s="1748"/>
      <c r="B6" s="1719" t="s">
        <v>713</v>
      </c>
      <c r="C6" s="1719"/>
      <c r="D6" s="1738" t="s">
        <v>346</v>
      </c>
      <c r="E6" s="1738" t="s">
        <v>346</v>
      </c>
      <c r="F6" s="1738" t="s">
        <v>351</v>
      </c>
      <c r="G6" s="1738" t="s">
        <v>351</v>
      </c>
      <c r="H6" s="1738" t="s">
        <v>350</v>
      </c>
      <c r="I6" s="1738" t="s">
        <v>350</v>
      </c>
      <c r="J6" s="1738" t="s">
        <v>352</v>
      </c>
      <c r="K6" s="1738" t="s">
        <v>352</v>
      </c>
      <c r="L6" s="1756" t="s">
        <v>1461</v>
      </c>
      <c r="M6" s="1756" t="s">
        <v>1461</v>
      </c>
      <c r="N6" s="1738" t="s">
        <v>498</v>
      </c>
      <c r="O6" s="1738" t="s">
        <v>498</v>
      </c>
      <c r="P6" s="1751" t="s">
        <v>507</v>
      </c>
      <c r="Q6" s="1751" t="s">
        <v>507</v>
      </c>
      <c r="R6" s="1751" t="s">
        <v>1932</v>
      </c>
      <c r="S6" s="1751" t="s">
        <v>1933</v>
      </c>
      <c r="T6" s="1738" t="s">
        <v>177</v>
      </c>
      <c r="U6" s="1738" t="s">
        <v>177</v>
      </c>
      <c r="V6" s="1738"/>
      <c r="W6" s="1738"/>
    </row>
    <row r="7" spans="1:25" ht="91.5" customHeight="1" x14ac:dyDescent="0.2">
      <c r="A7" s="1748"/>
      <c r="B7" s="1606" t="s">
        <v>187</v>
      </c>
      <c r="C7" s="144" t="s">
        <v>245</v>
      </c>
      <c r="D7" s="1738"/>
      <c r="E7" s="1738"/>
      <c r="F7" s="1738"/>
      <c r="G7" s="1738"/>
      <c r="H7" s="1738"/>
      <c r="I7" s="1738"/>
      <c r="J7" s="1738"/>
      <c r="K7" s="1738"/>
      <c r="L7" s="1756"/>
      <c r="M7" s="1756"/>
      <c r="N7" s="1738"/>
      <c r="O7" s="1738"/>
      <c r="P7" s="1751"/>
      <c r="Q7" s="1751"/>
      <c r="R7" s="1751"/>
      <c r="S7" s="1751"/>
      <c r="T7" s="1738"/>
      <c r="U7" s="1738"/>
      <c r="V7" s="1738"/>
      <c r="W7" s="1738"/>
    </row>
    <row r="8" spans="1:25" ht="15.75" x14ac:dyDescent="0.2">
      <c r="A8" s="27" t="s">
        <v>188</v>
      </c>
      <c r="B8" s="28" t="s">
        <v>189</v>
      </c>
      <c r="C8" s="28" t="s">
        <v>190</v>
      </c>
      <c r="D8" s="419" t="s">
        <v>191</v>
      </c>
      <c r="E8" s="419" t="s">
        <v>192</v>
      </c>
      <c r="F8" s="419" t="s">
        <v>193</v>
      </c>
      <c r="G8" s="419" t="s">
        <v>194</v>
      </c>
      <c r="H8" s="419" t="s">
        <v>195</v>
      </c>
      <c r="I8" s="419" t="s">
        <v>196</v>
      </c>
      <c r="J8" s="419" t="s">
        <v>197</v>
      </c>
      <c r="K8" s="419" t="s">
        <v>198</v>
      </c>
      <c r="L8" s="419" t="s">
        <v>225</v>
      </c>
      <c r="M8" s="419" t="s">
        <v>226</v>
      </c>
      <c r="N8" s="419" t="s">
        <v>227</v>
      </c>
      <c r="O8" s="419" t="s">
        <v>228</v>
      </c>
      <c r="P8" s="419" t="s">
        <v>229</v>
      </c>
      <c r="Q8" s="419" t="s">
        <v>230</v>
      </c>
      <c r="R8" s="419" t="s">
        <v>231</v>
      </c>
      <c r="S8" s="419" t="s">
        <v>232</v>
      </c>
      <c r="T8" s="419" t="s">
        <v>233</v>
      </c>
      <c r="U8" s="419" t="s">
        <v>260</v>
      </c>
      <c r="V8" s="419" t="s">
        <v>261</v>
      </c>
      <c r="W8" s="419" t="s">
        <v>262</v>
      </c>
    </row>
    <row r="9" spans="1:25" ht="21.75" customHeight="1" x14ac:dyDescent="0.25">
      <c r="A9" s="29" t="s">
        <v>188</v>
      </c>
      <c r="B9" s="26" t="s">
        <v>329</v>
      </c>
      <c r="C9" s="30" t="s">
        <v>199</v>
      </c>
      <c r="D9" s="201"/>
      <c r="E9" s="201"/>
      <c r="F9" s="201"/>
      <c r="G9" s="201"/>
      <c r="H9" s="201"/>
      <c r="I9" s="201"/>
      <c r="J9" s="201">
        <f>58225296-6834720</f>
        <v>51390576</v>
      </c>
      <c r="K9" s="201">
        <f>+J9+1200000+700000-359685+359685-4000000+4000000-1700000-350000-251447+1894462+200000+96993</f>
        <v>53180584</v>
      </c>
      <c r="L9" s="201">
        <v>6834720</v>
      </c>
      <c r="M9" s="201">
        <f>+L9</f>
        <v>6834720</v>
      </c>
      <c r="N9" s="201"/>
      <c r="O9" s="201"/>
      <c r="P9" s="201"/>
      <c r="Q9" s="201"/>
      <c r="R9" s="201"/>
      <c r="S9" s="201"/>
      <c r="T9" s="201"/>
      <c r="U9" s="201"/>
      <c r="V9" s="201">
        <f>D9+F9+H9+J9+N9+P9+T9+L9</f>
        <v>58225296</v>
      </c>
      <c r="W9" s="201">
        <f>E9+G9+I9+K9+O9+Q9+U9+M9+S9</f>
        <v>60015304</v>
      </c>
      <c r="X9" s="94"/>
    </row>
    <row r="10" spans="1:25" ht="21.75" customHeight="1" x14ac:dyDescent="0.25">
      <c r="A10" s="29" t="s">
        <v>189</v>
      </c>
      <c r="B10" s="31" t="s">
        <v>200</v>
      </c>
      <c r="C10" s="30" t="s">
        <v>201</v>
      </c>
      <c r="D10" s="201"/>
      <c r="E10" s="201"/>
      <c r="F10" s="201"/>
      <c r="G10" s="201"/>
      <c r="H10" s="201"/>
      <c r="I10" s="201"/>
      <c r="J10" s="201">
        <f>8088538-888514</f>
        <v>7200024</v>
      </c>
      <c r="K10" s="201">
        <f>+J10+156000+196000+109992</f>
        <v>7662016</v>
      </c>
      <c r="L10" s="201">
        <v>888514</v>
      </c>
      <c r="M10" s="201">
        <f>+L10</f>
        <v>888514</v>
      </c>
      <c r="N10" s="201"/>
      <c r="O10" s="201"/>
      <c r="P10" s="201"/>
      <c r="Q10" s="201"/>
      <c r="R10" s="201"/>
      <c r="S10" s="201"/>
      <c r="T10" s="201"/>
      <c r="U10" s="201"/>
      <c r="V10" s="201">
        <f>D10+F10+H10+J10+N10+P10+T10+L10</f>
        <v>8088538</v>
      </c>
      <c r="W10" s="201">
        <f t="shared" ref="W10:W51" si="0">E10+G10+I10+K10+O10+Q10+U10+M10+S10</f>
        <v>8550530</v>
      </c>
      <c r="X10" s="94"/>
    </row>
    <row r="11" spans="1:25" ht="21.75" customHeight="1" x14ac:dyDescent="0.25">
      <c r="A11" s="29" t="s">
        <v>190</v>
      </c>
      <c r="B11" s="31" t="s">
        <v>330</v>
      </c>
      <c r="C11" s="30" t="s">
        <v>202</v>
      </c>
      <c r="D11" s="201"/>
      <c r="E11" s="201"/>
      <c r="F11" s="201">
        <v>10078450</v>
      </c>
      <c r="G11" s="201">
        <f>+F11-100000+100000+51776-1561900+1561900-80000+80000</f>
        <v>10130226</v>
      </c>
      <c r="H11" s="201"/>
      <c r="I11" s="201"/>
      <c r="J11" s="201">
        <f>+(20166440)+184600+142951</f>
        <v>20493991</v>
      </c>
      <c r="K11" s="201">
        <f>+J11+587449+15000+629921+170079+236220+63780+800000+216000-400000+400000-346507-157677</f>
        <v>22708256</v>
      </c>
      <c r="L11" s="201"/>
      <c r="M11" s="201"/>
      <c r="N11" s="201"/>
      <c r="O11" s="201"/>
      <c r="P11" s="201"/>
      <c r="Q11" s="201">
        <f>507993+756</f>
        <v>508749</v>
      </c>
      <c r="R11" s="201"/>
      <c r="S11" s="201">
        <f>78740+21260+15748+4252-14488-24559+39047</f>
        <v>120000</v>
      </c>
      <c r="T11" s="201">
        <v>127000</v>
      </c>
      <c r="U11" s="201">
        <f>+T11-100000-27000</f>
        <v>0</v>
      </c>
      <c r="V11" s="201">
        <f t="shared" ref="V11:V50" si="1">D11+F11+H11+J11+N11+P11+T11</f>
        <v>30699441</v>
      </c>
      <c r="W11" s="201">
        <f>E11+G11+I11+K11+O11+Q11+U11+M11+S11</f>
        <v>33467231</v>
      </c>
      <c r="X11" s="94"/>
    </row>
    <row r="12" spans="1:25" ht="21.75" customHeight="1" x14ac:dyDescent="0.25">
      <c r="A12" s="29" t="s">
        <v>191</v>
      </c>
      <c r="B12" s="32" t="s">
        <v>331</v>
      </c>
      <c r="C12" s="30" t="s">
        <v>203</v>
      </c>
      <c r="D12" s="201"/>
      <c r="E12" s="201"/>
      <c r="F12" s="201"/>
      <c r="G12" s="201"/>
      <c r="H12" s="201"/>
      <c r="I12" s="201"/>
      <c r="J12" s="201"/>
      <c r="K12" s="201"/>
      <c r="L12" s="201"/>
      <c r="M12" s="201"/>
      <c r="N12" s="201"/>
      <c r="O12" s="201"/>
      <c r="P12" s="201"/>
      <c r="Q12" s="201"/>
      <c r="R12" s="201"/>
      <c r="S12" s="201"/>
      <c r="T12" s="201"/>
      <c r="U12" s="201"/>
      <c r="V12" s="201">
        <f t="shared" si="1"/>
        <v>0</v>
      </c>
      <c r="W12" s="201">
        <f t="shared" si="0"/>
        <v>0</v>
      </c>
    </row>
    <row r="13" spans="1:25" ht="21.75" customHeight="1" x14ac:dyDescent="0.25">
      <c r="A13" s="29" t="s">
        <v>192</v>
      </c>
      <c r="B13" s="32" t="s">
        <v>234</v>
      </c>
      <c r="C13" s="30" t="s">
        <v>204</v>
      </c>
      <c r="D13" s="201">
        <f t="shared" ref="D13:U13" si="2">SUM(D14:D16)</f>
        <v>0</v>
      </c>
      <c r="E13" s="201">
        <f t="shared" si="2"/>
        <v>4638105</v>
      </c>
      <c r="F13" s="201">
        <f t="shared" si="2"/>
        <v>0</v>
      </c>
      <c r="G13" s="201">
        <f t="shared" si="2"/>
        <v>0</v>
      </c>
      <c r="H13" s="201">
        <f t="shared" si="2"/>
        <v>0</v>
      </c>
      <c r="I13" s="201">
        <f t="shared" si="2"/>
        <v>0</v>
      </c>
      <c r="J13" s="201">
        <f t="shared" si="2"/>
        <v>0</v>
      </c>
      <c r="K13" s="201">
        <f t="shared" si="2"/>
        <v>0</v>
      </c>
      <c r="L13" s="201">
        <f t="shared" si="2"/>
        <v>0</v>
      </c>
      <c r="M13" s="201">
        <f t="shared" si="2"/>
        <v>0</v>
      </c>
      <c r="N13" s="201">
        <f t="shared" si="2"/>
        <v>0</v>
      </c>
      <c r="O13" s="201">
        <f t="shared" si="2"/>
        <v>0</v>
      </c>
      <c r="P13" s="201">
        <f t="shared" si="2"/>
        <v>0</v>
      </c>
      <c r="Q13" s="201">
        <f t="shared" si="2"/>
        <v>0</v>
      </c>
      <c r="R13" s="201">
        <f t="shared" si="2"/>
        <v>0</v>
      </c>
      <c r="S13" s="201">
        <f t="shared" si="2"/>
        <v>0</v>
      </c>
      <c r="T13" s="201">
        <f t="shared" si="2"/>
        <v>0</v>
      </c>
      <c r="U13" s="201">
        <f t="shared" si="2"/>
        <v>0</v>
      </c>
      <c r="V13" s="201">
        <f t="shared" si="1"/>
        <v>0</v>
      </c>
      <c r="W13" s="201">
        <f t="shared" si="0"/>
        <v>4638105</v>
      </c>
    </row>
    <row r="14" spans="1:25" ht="21.75" customHeight="1" x14ac:dyDescent="0.25">
      <c r="A14" s="29" t="s">
        <v>193</v>
      </c>
      <c r="B14" s="33" t="s">
        <v>126</v>
      </c>
      <c r="C14" s="30"/>
      <c r="D14" s="201"/>
      <c r="E14" s="201"/>
      <c r="F14" s="201"/>
      <c r="G14" s="201"/>
      <c r="H14" s="201"/>
      <c r="I14" s="201"/>
      <c r="J14" s="201"/>
      <c r="K14" s="201"/>
      <c r="L14" s="201"/>
      <c r="M14" s="201"/>
      <c r="N14" s="201"/>
      <c r="O14" s="201"/>
      <c r="P14" s="201"/>
      <c r="Q14" s="201"/>
      <c r="R14" s="201"/>
      <c r="S14" s="201"/>
      <c r="T14" s="201"/>
      <c r="U14" s="201"/>
      <c r="V14" s="201">
        <f t="shared" si="1"/>
        <v>0</v>
      </c>
      <c r="W14" s="201">
        <f t="shared" si="0"/>
        <v>0</v>
      </c>
    </row>
    <row r="15" spans="1:25" ht="21.75" customHeight="1" x14ac:dyDescent="0.25">
      <c r="A15" s="29" t="s">
        <v>194</v>
      </c>
      <c r="B15" s="33" t="s">
        <v>116</v>
      </c>
      <c r="C15" s="34"/>
      <c r="D15" s="201"/>
      <c r="E15" s="201"/>
      <c r="F15" s="201"/>
      <c r="G15" s="201"/>
      <c r="H15" s="201"/>
      <c r="I15" s="201"/>
      <c r="J15" s="201"/>
      <c r="K15" s="201"/>
      <c r="L15" s="201"/>
      <c r="M15" s="201"/>
      <c r="N15" s="201"/>
      <c r="O15" s="201"/>
      <c r="P15" s="201"/>
      <c r="Q15" s="201"/>
      <c r="R15" s="201"/>
      <c r="S15" s="201"/>
      <c r="T15" s="201"/>
      <c r="U15" s="201"/>
      <c r="V15" s="201">
        <f t="shared" si="1"/>
        <v>0</v>
      </c>
      <c r="W15" s="201">
        <f t="shared" si="0"/>
        <v>0</v>
      </c>
    </row>
    <row r="16" spans="1:25" ht="21.75" customHeight="1" x14ac:dyDescent="0.25">
      <c r="A16" s="29" t="s">
        <v>195</v>
      </c>
      <c r="B16" s="103" t="s">
        <v>550</v>
      </c>
      <c r="C16" s="34"/>
      <c r="D16" s="201"/>
      <c r="E16" s="201">
        <v>4638105</v>
      </c>
      <c r="F16" s="201"/>
      <c r="G16" s="201"/>
      <c r="H16" s="201"/>
      <c r="I16" s="201"/>
      <c r="J16" s="201"/>
      <c r="K16" s="201"/>
      <c r="L16" s="201"/>
      <c r="M16" s="201"/>
      <c r="N16" s="201"/>
      <c r="O16" s="201"/>
      <c r="P16" s="201"/>
      <c r="Q16" s="201"/>
      <c r="R16" s="201"/>
      <c r="S16" s="201"/>
      <c r="T16" s="201"/>
      <c r="U16" s="201"/>
      <c r="V16" s="201">
        <f t="shared" si="1"/>
        <v>0</v>
      </c>
      <c r="W16" s="201">
        <f t="shared" si="0"/>
        <v>4638105</v>
      </c>
    </row>
    <row r="17" spans="1:23" ht="21.75" customHeight="1" x14ac:dyDescent="0.25">
      <c r="A17" s="29" t="s">
        <v>196</v>
      </c>
      <c r="B17" s="35" t="s">
        <v>241</v>
      </c>
      <c r="C17" s="30" t="s">
        <v>205</v>
      </c>
      <c r="D17" s="201"/>
      <c r="E17" s="201"/>
      <c r="F17" s="201"/>
      <c r="G17" s="201"/>
      <c r="H17" s="201"/>
      <c r="I17" s="201"/>
      <c r="J17" s="201">
        <f>+'6.sz. Beruházások'!D175</f>
        <v>762000</v>
      </c>
      <c r="K17" s="201">
        <f>+J17</f>
        <v>762000</v>
      </c>
      <c r="L17" s="201"/>
      <c r="M17" s="201"/>
      <c r="N17" s="201"/>
      <c r="O17" s="201"/>
      <c r="P17" s="201">
        <f>+'6.sz. Beruházások'!D176</f>
        <v>209139</v>
      </c>
      <c r="Q17" s="201">
        <f>+P17-15323+14567</f>
        <v>208383</v>
      </c>
      <c r="R17" s="201"/>
      <c r="S17" s="201"/>
      <c r="T17" s="201"/>
      <c r="U17" s="201"/>
      <c r="V17" s="201">
        <f t="shared" si="1"/>
        <v>971139</v>
      </c>
      <c r="W17" s="201">
        <f>E17+G17+I17+K17+O17+Q17+U17+M17+S17</f>
        <v>970383</v>
      </c>
    </row>
    <row r="18" spans="1:23" ht="21.75" customHeight="1" x14ac:dyDescent="0.25">
      <c r="A18" s="29" t="s">
        <v>197</v>
      </c>
      <c r="B18" s="32" t="s">
        <v>332</v>
      </c>
      <c r="C18" s="30" t="s">
        <v>206</v>
      </c>
      <c r="D18" s="201"/>
      <c r="E18" s="201"/>
      <c r="F18" s="201"/>
      <c r="G18" s="201"/>
      <c r="H18" s="201"/>
      <c r="I18" s="201"/>
      <c r="J18" s="201"/>
      <c r="K18" s="201"/>
      <c r="L18" s="201"/>
      <c r="M18" s="201"/>
      <c r="N18" s="201"/>
      <c r="O18" s="201"/>
      <c r="P18" s="201"/>
      <c r="Q18" s="201"/>
      <c r="R18" s="201"/>
      <c r="S18" s="201"/>
      <c r="T18" s="201"/>
      <c r="U18" s="201"/>
      <c r="V18" s="201">
        <f t="shared" si="1"/>
        <v>0</v>
      </c>
      <c r="W18" s="201">
        <f t="shared" si="0"/>
        <v>0</v>
      </c>
    </row>
    <row r="19" spans="1:23" ht="21.75" customHeight="1" x14ac:dyDescent="0.25">
      <c r="A19" s="29" t="s">
        <v>198</v>
      </c>
      <c r="B19" s="32" t="s">
        <v>235</v>
      </c>
      <c r="C19" s="30" t="s">
        <v>207</v>
      </c>
      <c r="D19" s="201"/>
      <c r="E19" s="201"/>
      <c r="F19" s="201"/>
      <c r="G19" s="201"/>
      <c r="H19" s="201"/>
      <c r="I19" s="201"/>
      <c r="J19" s="201"/>
      <c r="K19" s="201"/>
      <c r="L19" s="201"/>
      <c r="M19" s="201"/>
      <c r="N19" s="201"/>
      <c r="O19" s="201"/>
      <c r="P19" s="201"/>
      <c r="Q19" s="201"/>
      <c r="R19" s="201"/>
      <c r="S19" s="201"/>
      <c r="T19" s="201"/>
      <c r="U19" s="201"/>
      <c r="V19" s="201">
        <f t="shared" si="1"/>
        <v>0</v>
      </c>
      <c r="W19" s="201">
        <f t="shared" si="0"/>
        <v>0</v>
      </c>
    </row>
    <row r="20" spans="1:23" ht="21.75" customHeight="1" x14ac:dyDescent="0.25">
      <c r="A20" s="29" t="s">
        <v>225</v>
      </c>
      <c r="B20" s="32" t="s">
        <v>125</v>
      </c>
      <c r="C20" s="30"/>
      <c r="D20" s="201"/>
      <c r="E20" s="201"/>
      <c r="F20" s="201"/>
      <c r="G20" s="201"/>
      <c r="H20" s="201"/>
      <c r="I20" s="201"/>
      <c r="J20" s="201"/>
      <c r="K20" s="201"/>
      <c r="L20" s="201"/>
      <c r="M20" s="201"/>
      <c r="N20" s="201"/>
      <c r="O20" s="201"/>
      <c r="P20" s="201"/>
      <c r="Q20" s="201"/>
      <c r="R20" s="201"/>
      <c r="S20" s="201"/>
      <c r="T20" s="201"/>
      <c r="U20" s="201"/>
      <c r="V20" s="201">
        <f t="shared" si="1"/>
        <v>0</v>
      </c>
      <c r="W20" s="201">
        <f t="shared" si="0"/>
        <v>0</v>
      </c>
    </row>
    <row r="21" spans="1:23" ht="21.75" customHeight="1" x14ac:dyDescent="0.25">
      <c r="A21" s="29" t="s">
        <v>226</v>
      </c>
      <c r="B21" s="35" t="s">
        <v>236</v>
      </c>
      <c r="C21" s="30" t="s">
        <v>208</v>
      </c>
      <c r="D21" s="202">
        <f t="shared" ref="D21:T21" si="3">+D9+D10+D11+D12+D13+D17+D18+D19</f>
        <v>0</v>
      </c>
      <c r="E21" s="202">
        <f>+E9+E10+E11+E12+E13+E17+E18+E19</f>
        <v>4638105</v>
      </c>
      <c r="F21" s="202">
        <f t="shared" si="3"/>
        <v>10078450</v>
      </c>
      <c r="G21" s="202">
        <f>+G9+G10+G11+G12+G13+G17+G18+G19</f>
        <v>10130226</v>
      </c>
      <c r="H21" s="202">
        <f t="shared" si="3"/>
        <v>0</v>
      </c>
      <c r="I21" s="202">
        <f>+I9+I10+I11+I12+I13+I17+I18+I19</f>
        <v>0</v>
      </c>
      <c r="J21" s="202">
        <f t="shared" si="3"/>
        <v>79846591</v>
      </c>
      <c r="K21" s="202">
        <f>+K9+K10+K11+K12+K13+K17+K18+K19</f>
        <v>84312856</v>
      </c>
      <c r="L21" s="202">
        <f>+L9+L10+L11+L12+L13+L17+L18+L19</f>
        <v>7723234</v>
      </c>
      <c r="M21" s="202">
        <f>+M9+M10+M11+M12+M13+M17+M18+M19</f>
        <v>7723234</v>
      </c>
      <c r="N21" s="202">
        <f t="shared" si="3"/>
        <v>0</v>
      </c>
      <c r="O21" s="202">
        <f>+O9+O10+O11+O12+O13+O17+O18+O19</f>
        <v>0</v>
      </c>
      <c r="P21" s="202">
        <f t="shared" si="3"/>
        <v>209139</v>
      </c>
      <c r="Q21" s="202">
        <f>+Q9+Q10+Q11+Q12+Q13+Q17+Q18+Q19</f>
        <v>717132</v>
      </c>
      <c r="R21" s="202">
        <f t="shared" ref="R21:S21" si="4">+R9+R10+R11+R12+R13+R17+R18+R19</f>
        <v>0</v>
      </c>
      <c r="S21" s="202">
        <f t="shared" si="4"/>
        <v>120000</v>
      </c>
      <c r="T21" s="202">
        <f t="shared" si="3"/>
        <v>127000</v>
      </c>
      <c r="U21" s="202">
        <f>+U9+U10+U11+U12+U13+U17+U18+U19</f>
        <v>0</v>
      </c>
      <c r="V21" s="202">
        <f>D21+F21+H21+J21+N21+P21+T21+L21</f>
        <v>97984414</v>
      </c>
      <c r="W21" s="202">
        <f>E21+G21+I21+K21+O21+Q21+U21+M21+S21</f>
        <v>107641553</v>
      </c>
    </row>
    <row r="22" spans="1:23" ht="21.75" customHeight="1" x14ac:dyDescent="0.25">
      <c r="A22" s="29" t="s">
        <v>227</v>
      </c>
      <c r="B22" s="35" t="s">
        <v>221</v>
      </c>
      <c r="C22" s="30" t="s">
        <v>217</v>
      </c>
      <c r="D22" s="201">
        <f>SUM(D23:D26)</f>
        <v>0</v>
      </c>
      <c r="E22" s="201">
        <f>SUM(E23:E26)</f>
        <v>0</v>
      </c>
      <c r="F22" s="201">
        <f t="shared" ref="F22:T22" si="5">SUM(F23:F26)</f>
        <v>0</v>
      </c>
      <c r="G22" s="201">
        <f>SUM(G23:G26)</f>
        <v>0</v>
      </c>
      <c r="H22" s="201">
        <f t="shared" si="5"/>
        <v>0</v>
      </c>
      <c r="I22" s="201">
        <f>SUM(I23:I26)</f>
        <v>0</v>
      </c>
      <c r="J22" s="201">
        <f t="shared" si="5"/>
        <v>0</v>
      </c>
      <c r="K22" s="201">
        <f>SUM(K23:K26)</f>
        <v>0</v>
      </c>
      <c r="L22" s="201">
        <f>SUM(L23:L26)</f>
        <v>0</v>
      </c>
      <c r="M22" s="201">
        <f>SUM(M23:M26)</f>
        <v>0</v>
      </c>
      <c r="N22" s="201">
        <f t="shared" si="5"/>
        <v>0</v>
      </c>
      <c r="O22" s="201">
        <f>SUM(O23:O26)</f>
        <v>0</v>
      </c>
      <c r="P22" s="201">
        <f t="shared" si="5"/>
        <v>0</v>
      </c>
      <c r="Q22" s="201">
        <f>SUM(Q23:Q26)</f>
        <v>0</v>
      </c>
      <c r="R22" s="201">
        <f t="shared" ref="R22:S22" si="6">SUM(R23:R26)</f>
        <v>0</v>
      </c>
      <c r="S22" s="201">
        <f t="shared" si="6"/>
        <v>0</v>
      </c>
      <c r="T22" s="201">
        <f t="shared" si="5"/>
        <v>0</v>
      </c>
      <c r="U22" s="201">
        <f>SUM(U23:U26)</f>
        <v>0</v>
      </c>
      <c r="V22" s="201">
        <f t="shared" si="1"/>
        <v>0</v>
      </c>
      <c r="W22" s="201">
        <f t="shared" si="0"/>
        <v>0</v>
      </c>
    </row>
    <row r="23" spans="1:23" ht="21.75" customHeight="1" x14ac:dyDescent="0.25">
      <c r="A23" s="29" t="s">
        <v>228</v>
      </c>
      <c r="B23" s="105" t="s">
        <v>183</v>
      </c>
      <c r="C23" s="34"/>
      <c r="D23" s="201"/>
      <c r="E23" s="201"/>
      <c r="F23" s="201"/>
      <c r="G23" s="201"/>
      <c r="H23" s="201"/>
      <c r="I23" s="201"/>
      <c r="J23" s="201"/>
      <c r="K23" s="201"/>
      <c r="L23" s="201"/>
      <c r="M23" s="201"/>
      <c r="N23" s="201"/>
      <c r="O23" s="201"/>
      <c r="P23" s="201"/>
      <c r="Q23" s="201"/>
      <c r="R23" s="201"/>
      <c r="S23" s="201"/>
      <c r="T23" s="201"/>
      <c r="U23" s="201"/>
      <c r="V23" s="201">
        <f t="shared" si="1"/>
        <v>0</v>
      </c>
      <c r="W23" s="201">
        <f t="shared" si="0"/>
        <v>0</v>
      </c>
    </row>
    <row r="24" spans="1:23" ht="21.75" customHeight="1" x14ac:dyDescent="0.25">
      <c r="A24" s="29" t="s">
        <v>229</v>
      </c>
      <c r="B24" s="36" t="s">
        <v>553</v>
      </c>
      <c r="C24" s="34"/>
      <c r="D24" s="201"/>
      <c r="E24" s="201"/>
      <c r="F24" s="201"/>
      <c r="G24" s="201"/>
      <c r="H24" s="201"/>
      <c r="I24" s="201"/>
      <c r="J24" s="201"/>
      <c r="K24" s="201"/>
      <c r="L24" s="201"/>
      <c r="M24" s="201"/>
      <c r="N24" s="201"/>
      <c r="O24" s="201"/>
      <c r="P24" s="201"/>
      <c r="Q24" s="201"/>
      <c r="R24" s="201"/>
      <c r="S24" s="201"/>
      <c r="T24" s="201"/>
      <c r="U24" s="201"/>
      <c r="V24" s="201">
        <f t="shared" si="1"/>
        <v>0</v>
      </c>
      <c r="W24" s="201">
        <f t="shared" si="0"/>
        <v>0</v>
      </c>
    </row>
    <row r="25" spans="1:23" ht="21.75" customHeight="1" x14ac:dyDescent="0.25">
      <c r="A25" s="29" t="s">
        <v>230</v>
      </c>
      <c r="B25" s="36" t="s">
        <v>554</v>
      </c>
      <c r="C25" s="34"/>
      <c r="D25" s="201"/>
      <c r="E25" s="201"/>
      <c r="F25" s="201"/>
      <c r="G25" s="201"/>
      <c r="H25" s="201"/>
      <c r="I25" s="201"/>
      <c r="J25" s="201"/>
      <c r="K25" s="201"/>
      <c r="L25" s="201"/>
      <c r="M25" s="201"/>
      <c r="N25" s="201"/>
      <c r="O25" s="201"/>
      <c r="P25" s="201"/>
      <c r="Q25" s="201"/>
      <c r="R25" s="201"/>
      <c r="S25" s="201"/>
      <c r="T25" s="201"/>
      <c r="U25" s="201"/>
      <c r="V25" s="201">
        <f t="shared" si="1"/>
        <v>0</v>
      </c>
      <c r="W25" s="201">
        <f t="shared" si="0"/>
        <v>0</v>
      </c>
    </row>
    <row r="26" spans="1:23" ht="21.75" customHeight="1" x14ac:dyDescent="0.25">
      <c r="A26" s="29" t="s">
        <v>231</v>
      </c>
      <c r="B26" s="36" t="s">
        <v>127</v>
      </c>
      <c r="C26" s="34"/>
      <c r="D26" s="201"/>
      <c r="E26" s="201"/>
      <c r="F26" s="201"/>
      <c r="G26" s="201"/>
      <c r="H26" s="201"/>
      <c r="I26" s="201"/>
      <c r="J26" s="201"/>
      <c r="K26" s="201"/>
      <c r="L26" s="201"/>
      <c r="M26" s="201"/>
      <c r="N26" s="201"/>
      <c r="O26" s="201"/>
      <c r="P26" s="201"/>
      <c r="Q26" s="201"/>
      <c r="R26" s="201"/>
      <c r="S26" s="201"/>
      <c r="T26" s="201"/>
      <c r="U26" s="201"/>
      <c r="V26" s="201">
        <f t="shared" si="1"/>
        <v>0</v>
      </c>
      <c r="W26" s="201">
        <f t="shared" si="0"/>
        <v>0</v>
      </c>
    </row>
    <row r="27" spans="1:23" ht="21.75" customHeight="1" x14ac:dyDescent="0.25">
      <c r="A27" s="29" t="s">
        <v>232</v>
      </c>
      <c r="B27" s="267" t="s">
        <v>816</v>
      </c>
      <c r="C27" s="34"/>
      <c r="D27" s="201"/>
      <c r="E27" s="201"/>
      <c r="F27" s="201"/>
      <c r="G27" s="201"/>
      <c r="H27" s="201"/>
      <c r="I27" s="201"/>
      <c r="J27" s="201"/>
      <c r="K27" s="201"/>
      <c r="L27" s="201"/>
      <c r="M27" s="201"/>
      <c r="N27" s="201"/>
      <c r="O27" s="201"/>
      <c r="P27" s="201"/>
      <c r="Q27" s="201"/>
      <c r="R27" s="201"/>
      <c r="S27" s="201"/>
      <c r="T27" s="201"/>
      <c r="U27" s="201"/>
      <c r="V27" s="201">
        <f t="shared" si="1"/>
        <v>0</v>
      </c>
      <c r="W27" s="201">
        <f t="shared" si="0"/>
        <v>0</v>
      </c>
    </row>
    <row r="28" spans="1:23" s="38" customFormat="1" ht="21.75" customHeight="1" x14ac:dyDescent="0.25">
      <c r="A28" s="29" t="s">
        <v>233</v>
      </c>
      <c r="B28" s="37" t="s">
        <v>32</v>
      </c>
      <c r="C28" s="30"/>
      <c r="D28" s="202">
        <f t="shared" ref="D28:T28" si="7">+D9+D10+D11+D12+D13+D23+D24</f>
        <v>0</v>
      </c>
      <c r="E28" s="202">
        <f>+E9+E10+E11+E12+E13+E23+E24</f>
        <v>4638105</v>
      </c>
      <c r="F28" s="202">
        <f t="shared" si="7"/>
        <v>10078450</v>
      </c>
      <c r="G28" s="202">
        <f>+G9+G10+G11+G12+G13+G23+G24</f>
        <v>10130226</v>
      </c>
      <c r="H28" s="202">
        <f t="shared" si="7"/>
        <v>0</v>
      </c>
      <c r="I28" s="202">
        <f>+I9+I10+I11+I12+I13+I23+I24</f>
        <v>0</v>
      </c>
      <c r="J28" s="202">
        <f t="shared" si="7"/>
        <v>79084591</v>
      </c>
      <c r="K28" s="202">
        <f>+K9+K10+K11+K12+K13+K23+K24</f>
        <v>83550856</v>
      </c>
      <c r="L28" s="202">
        <f>+L9+L10+L11+L12+L13+L23+L24</f>
        <v>7723234</v>
      </c>
      <c r="M28" s="202">
        <f>+M9+M10+M11+M12+M13+M23+M24</f>
        <v>7723234</v>
      </c>
      <c r="N28" s="202">
        <f t="shared" si="7"/>
        <v>0</v>
      </c>
      <c r="O28" s="202">
        <f>+O9+O10+O11+O12+O13+O23+O24</f>
        <v>0</v>
      </c>
      <c r="P28" s="202">
        <f t="shared" si="7"/>
        <v>0</v>
      </c>
      <c r="Q28" s="202">
        <f>+Q9+Q10+Q11+Q12+Q13+Q23+Q24</f>
        <v>508749</v>
      </c>
      <c r="R28" s="202">
        <f t="shared" ref="R28:S28" si="8">+R9+R10+R11+R12+R13+R23+R24</f>
        <v>0</v>
      </c>
      <c r="S28" s="202">
        <f t="shared" si="8"/>
        <v>120000</v>
      </c>
      <c r="T28" s="202">
        <f t="shared" si="7"/>
        <v>127000</v>
      </c>
      <c r="U28" s="202">
        <f>+U9+U10+U11+U12+U13+U23+U24</f>
        <v>0</v>
      </c>
      <c r="V28" s="202">
        <f>D28+F28+H28+J28+N28+P28+T28+L28</f>
        <v>97013275</v>
      </c>
      <c r="W28" s="202">
        <f t="shared" si="0"/>
        <v>106671170</v>
      </c>
    </row>
    <row r="29" spans="1:23" s="38" customFormat="1" ht="21.75" customHeight="1" x14ac:dyDescent="0.25">
      <c r="A29" s="29" t="s">
        <v>260</v>
      </c>
      <c r="B29" s="37" t="s">
        <v>33</v>
      </c>
      <c r="C29" s="30"/>
      <c r="D29" s="202">
        <f>+D17+D18+D19+D25+D26</f>
        <v>0</v>
      </c>
      <c r="E29" s="202">
        <f>+E17+E18+E19+E25+E26</f>
        <v>0</v>
      </c>
      <c r="F29" s="202">
        <f t="shared" ref="F29:T29" si="9">+F17+F18+F19+F25+F26</f>
        <v>0</v>
      </c>
      <c r="G29" s="202">
        <f>+G17+G18+G19+G25+G26</f>
        <v>0</v>
      </c>
      <c r="H29" s="202">
        <f t="shared" si="9"/>
        <v>0</v>
      </c>
      <c r="I29" s="202">
        <f>+I17+I18+I19+I25+I26</f>
        <v>0</v>
      </c>
      <c r="J29" s="202">
        <f t="shared" si="9"/>
        <v>762000</v>
      </c>
      <c r="K29" s="202">
        <f>+K17+K18+K19+K25+K26</f>
        <v>762000</v>
      </c>
      <c r="L29" s="202">
        <f>+L17+L18+L19+L25+L26</f>
        <v>0</v>
      </c>
      <c r="M29" s="202">
        <f>+M17+M18+M19+M25+M26</f>
        <v>0</v>
      </c>
      <c r="N29" s="202">
        <f t="shared" si="9"/>
        <v>0</v>
      </c>
      <c r="O29" s="202">
        <f>+O17+O18+O19+O25+O26</f>
        <v>0</v>
      </c>
      <c r="P29" s="202">
        <f t="shared" si="9"/>
        <v>209139</v>
      </c>
      <c r="Q29" s="202">
        <f>+Q17+Q18+Q19+Q25+Q26</f>
        <v>208383</v>
      </c>
      <c r="R29" s="202">
        <f t="shared" ref="R29:S29" si="10">+R17+R18+R19+R25+R26</f>
        <v>0</v>
      </c>
      <c r="S29" s="202">
        <f t="shared" si="10"/>
        <v>0</v>
      </c>
      <c r="T29" s="202">
        <f t="shared" si="9"/>
        <v>0</v>
      </c>
      <c r="U29" s="202">
        <f>+U17+U18+U19+U25+U26</f>
        <v>0</v>
      </c>
      <c r="V29" s="202">
        <f t="shared" si="1"/>
        <v>971139</v>
      </c>
      <c r="W29" s="202">
        <f t="shared" si="0"/>
        <v>970383</v>
      </c>
    </row>
    <row r="30" spans="1:23" s="38" customFormat="1" ht="21.75" customHeight="1" x14ac:dyDescent="0.25">
      <c r="A30" s="29" t="s">
        <v>261</v>
      </c>
      <c r="B30" s="37" t="s">
        <v>327</v>
      </c>
      <c r="C30" s="30" t="s">
        <v>31</v>
      </c>
      <c r="D30" s="202">
        <f>SUM(D28:D29)</f>
        <v>0</v>
      </c>
      <c r="E30" s="202">
        <f>SUM(E28:E29)</f>
        <v>4638105</v>
      </c>
      <c r="F30" s="202">
        <f t="shared" ref="F30:T30" si="11">SUM(F28:F29)</f>
        <v>10078450</v>
      </c>
      <c r="G30" s="202">
        <f>SUM(G28:G29)</f>
        <v>10130226</v>
      </c>
      <c r="H30" s="202">
        <f t="shared" si="11"/>
        <v>0</v>
      </c>
      <c r="I30" s="202">
        <f>SUM(I28:I29)</f>
        <v>0</v>
      </c>
      <c r="J30" s="202">
        <f t="shared" si="11"/>
        <v>79846591</v>
      </c>
      <c r="K30" s="202">
        <f>SUM(K28:K29)</f>
        <v>84312856</v>
      </c>
      <c r="L30" s="202">
        <f>SUM(L28:L29)</f>
        <v>7723234</v>
      </c>
      <c r="M30" s="202">
        <f>SUM(M28:M29)</f>
        <v>7723234</v>
      </c>
      <c r="N30" s="202">
        <f t="shared" si="11"/>
        <v>0</v>
      </c>
      <c r="O30" s="202">
        <f>SUM(O28:O29)</f>
        <v>0</v>
      </c>
      <c r="P30" s="202">
        <f t="shared" si="11"/>
        <v>209139</v>
      </c>
      <c r="Q30" s="202">
        <f>SUM(Q28:Q29)</f>
        <v>717132</v>
      </c>
      <c r="R30" s="202">
        <f t="shared" ref="R30:S30" si="12">SUM(R28:R29)</f>
        <v>0</v>
      </c>
      <c r="S30" s="202">
        <f t="shared" si="12"/>
        <v>120000</v>
      </c>
      <c r="T30" s="202">
        <f t="shared" si="11"/>
        <v>127000</v>
      </c>
      <c r="U30" s="202">
        <f>SUM(U28:U29)</f>
        <v>0</v>
      </c>
      <c r="V30" s="202">
        <f>D30+F30+H30+J30+N30+P30+T30+L30</f>
        <v>97984414</v>
      </c>
      <c r="W30" s="202">
        <f t="shared" si="0"/>
        <v>107641553</v>
      </c>
    </row>
    <row r="31" spans="1:23" ht="21.75" customHeight="1" x14ac:dyDescent="0.25">
      <c r="A31" s="29" t="s">
        <v>262</v>
      </c>
      <c r="B31" s="31" t="s">
        <v>52</v>
      </c>
      <c r="C31" s="35" t="s">
        <v>209</v>
      </c>
      <c r="D31" s="201"/>
      <c r="E31" s="201"/>
      <c r="F31" s="201"/>
      <c r="G31" s="201"/>
      <c r="H31" s="201"/>
      <c r="I31" s="201"/>
      <c r="J31" s="201"/>
      <c r="K31" s="201"/>
      <c r="L31" s="201"/>
      <c r="M31" s="201"/>
      <c r="N31" s="201"/>
      <c r="O31" s="201"/>
      <c r="P31" s="201"/>
      <c r="Q31" s="201"/>
      <c r="R31" s="201"/>
      <c r="S31" s="201">
        <v>20000</v>
      </c>
      <c r="T31" s="201"/>
      <c r="U31" s="201"/>
      <c r="V31" s="201">
        <f t="shared" si="1"/>
        <v>0</v>
      </c>
      <c r="W31" s="201">
        <f t="shared" si="0"/>
        <v>20000</v>
      </c>
    </row>
    <row r="32" spans="1:23" ht="21.75" customHeight="1" x14ac:dyDescent="0.25">
      <c r="A32" s="29" t="s">
        <v>263</v>
      </c>
      <c r="B32" s="31" t="s">
        <v>220</v>
      </c>
      <c r="C32" s="35" t="s">
        <v>210</v>
      </c>
      <c r="D32" s="201"/>
      <c r="E32" s="201"/>
      <c r="F32" s="201"/>
      <c r="G32" s="201"/>
      <c r="H32" s="201"/>
      <c r="I32" s="201"/>
      <c r="J32" s="201"/>
      <c r="K32" s="201"/>
      <c r="L32" s="201"/>
      <c r="M32" s="201"/>
      <c r="N32" s="201"/>
      <c r="O32" s="201"/>
      <c r="P32" s="201"/>
      <c r="Q32" s="201"/>
      <c r="R32" s="201"/>
      <c r="S32" s="201"/>
      <c r="T32" s="201"/>
      <c r="U32" s="201"/>
      <c r="V32" s="201">
        <f t="shared" si="1"/>
        <v>0</v>
      </c>
      <c r="W32" s="201">
        <f t="shared" si="0"/>
        <v>0</v>
      </c>
    </row>
    <row r="33" spans="1:25" ht="21.75" customHeight="1" x14ac:dyDescent="0.25">
      <c r="A33" s="29" t="s">
        <v>264</v>
      </c>
      <c r="B33" s="31" t="s">
        <v>219</v>
      </c>
      <c r="C33" s="35" t="s">
        <v>211</v>
      </c>
      <c r="D33" s="201"/>
      <c r="E33" s="201"/>
      <c r="F33" s="201"/>
      <c r="G33" s="201"/>
      <c r="H33" s="201"/>
      <c r="I33" s="201"/>
      <c r="J33" s="201"/>
      <c r="K33" s="201"/>
      <c r="L33" s="201"/>
      <c r="M33" s="201"/>
      <c r="N33" s="201"/>
      <c r="O33" s="201"/>
      <c r="P33" s="201"/>
      <c r="Q33" s="201"/>
      <c r="R33" s="201"/>
      <c r="S33" s="201"/>
      <c r="T33" s="201"/>
      <c r="U33" s="201"/>
      <c r="V33" s="201">
        <f t="shared" si="1"/>
        <v>0</v>
      </c>
      <c r="W33" s="201">
        <f t="shared" si="0"/>
        <v>0</v>
      </c>
    </row>
    <row r="34" spans="1:25" ht="21.75" customHeight="1" x14ac:dyDescent="0.25">
      <c r="A34" s="29" t="s">
        <v>265</v>
      </c>
      <c r="B34" s="32" t="s">
        <v>0</v>
      </c>
      <c r="C34" s="35" t="s">
        <v>212</v>
      </c>
      <c r="D34" s="201"/>
      <c r="E34" s="201"/>
      <c r="F34" s="201"/>
      <c r="G34" s="201">
        <v>51776</v>
      </c>
      <c r="H34" s="201"/>
      <c r="I34" s="201"/>
      <c r="J34" s="203">
        <v>881100</v>
      </c>
      <c r="K34" s="203">
        <f>+J34+587449+15000+800000+300000+800000+216000-1191-39282-157677-96-305938</f>
        <v>3095365</v>
      </c>
      <c r="L34" s="203"/>
      <c r="M34" s="203"/>
      <c r="N34" s="203"/>
      <c r="O34" s="203"/>
      <c r="P34" s="203"/>
      <c r="Q34" s="203"/>
      <c r="R34" s="203"/>
      <c r="S34" s="203"/>
      <c r="T34" s="203">
        <v>127000</v>
      </c>
      <c r="U34" s="203">
        <f>+T34-100000-27000</f>
        <v>0</v>
      </c>
      <c r="V34" s="201">
        <f t="shared" si="1"/>
        <v>1008100</v>
      </c>
      <c r="W34" s="201">
        <f t="shared" si="0"/>
        <v>3147141</v>
      </c>
    </row>
    <row r="35" spans="1:25" ht="21.75" customHeight="1" x14ac:dyDescent="0.25">
      <c r="A35" s="29" t="s">
        <v>266</v>
      </c>
      <c r="B35" s="31" t="s">
        <v>242</v>
      </c>
      <c r="C35" s="35" t="s">
        <v>213</v>
      </c>
      <c r="D35" s="201"/>
      <c r="E35" s="201"/>
      <c r="F35" s="201"/>
      <c r="G35" s="201"/>
      <c r="H35" s="201"/>
      <c r="I35" s="201"/>
      <c r="J35" s="201"/>
      <c r="K35" s="201"/>
      <c r="L35" s="201"/>
      <c r="M35" s="201"/>
      <c r="N35" s="201"/>
      <c r="O35" s="201"/>
      <c r="P35" s="201"/>
      <c r="Q35" s="201"/>
      <c r="R35" s="201"/>
      <c r="S35" s="201"/>
      <c r="T35" s="201"/>
      <c r="U35" s="201"/>
      <c r="V35" s="201">
        <f t="shared" si="1"/>
        <v>0</v>
      </c>
      <c r="W35" s="201">
        <f t="shared" si="0"/>
        <v>0</v>
      </c>
    </row>
    <row r="36" spans="1:25" ht="21.75" customHeight="1" x14ac:dyDescent="0.25">
      <c r="A36" s="29" t="s">
        <v>267</v>
      </c>
      <c r="B36" s="31" t="s">
        <v>237</v>
      </c>
      <c r="C36" s="35" t="s">
        <v>214</v>
      </c>
      <c r="D36" s="201"/>
      <c r="E36" s="201"/>
      <c r="F36" s="201"/>
      <c r="G36" s="201"/>
      <c r="H36" s="201"/>
      <c r="I36" s="201"/>
      <c r="J36" s="201"/>
      <c r="K36" s="201"/>
      <c r="L36" s="201"/>
      <c r="M36" s="201"/>
      <c r="N36" s="201"/>
      <c r="O36" s="201"/>
      <c r="P36" s="201"/>
      <c r="Q36" s="201">
        <v>507993</v>
      </c>
      <c r="R36" s="201"/>
      <c r="S36" s="201"/>
      <c r="T36" s="201"/>
      <c r="U36" s="201"/>
      <c r="V36" s="201">
        <f t="shared" si="1"/>
        <v>0</v>
      </c>
      <c r="W36" s="201">
        <f t="shared" si="0"/>
        <v>507993</v>
      </c>
    </row>
    <row r="37" spans="1:25" ht="21.75" customHeight="1" x14ac:dyDescent="0.25">
      <c r="A37" s="29" t="s">
        <v>268</v>
      </c>
      <c r="B37" s="31" t="s">
        <v>238</v>
      </c>
      <c r="C37" s="35" t="s">
        <v>215</v>
      </c>
      <c r="D37" s="201"/>
      <c r="E37" s="201"/>
      <c r="F37" s="201"/>
      <c r="G37" s="201"/>
      <c r="H37" s="201"/>
      <c r="I37" s="201"/>
      <c r="J37" s="201"/>
      <c r="K37" s="201"/>
      <c r="L37" s="201"/>
      <c r="M37" s="201"/>
      <c r="N37" s="201"/>
      <c r="O37" s="201"/>
      <c r="P37" s="201"/>
      <c r="Q37" s="201"/>
      <c r="R37" s="201"/>
      <c r="S37" s="201"/>
      <c r="T37" s="201"/>
      <c r="U37" s="201"/>
      <c r="V37" s="201">
        <f t="shared" si="1"/>
        <v>0</v>
      </c>
      <c r="W37" s="201">
        <f t="shared" si="0"/>
        <v>0</v>
      </c>
      <c r="Y37" s="25"/>
    </row>
    <row r="38" spans="1:25" ht="21.75" customHeight="1" x14ac:dyDescent="0.25">
      <c r="A38" s="29" t="s">
        <v>269</v>
      </c>
      <c r="B38" s="32" t="s">
        <v>239</v>
      </c>
      <c r="C38" s="35" t="s">
        <v>216</v>
      </c>
      <c r="D38" s="202">
        <f>+D31+D32+D33+D34+D35+D36+D37</f>
        <v>0</v>
      </c>
      <c r="E38" s="202">
        <f>+E31+E32+E33+E34+E35+E36+E37</f>
        <v>0</v>
      </c>
      <c r="F38" s="202">
        <f t="shared" ref="F38:T38" si="13">+F31+F32+F33+F34+F35+F36+F37</f>
        <v>0</v>
      </c>
      <c r="G38" s="202">
        <f>+G31+G32+G33+G34+G35+G36+G37</f>
        <v>51776</v>
      </c>
      <c r="H38" s="202">
        <f t="shared" si="13"/>
        <v>0</v>
      </c>
      <c r="I38" s="202">
        <f>+I31+I32+I33+I34+I35+I36+I37</f>
        <v>0</v>
      </c>
      <c r="J38" s="202">
        <f t="shared" si="13"/>
        <v>881100</v>
      </c>
      <c r="K38" s="202">
        <f>+K31+K32+K33+K34+K35+K36+K37</f>
        <v>3095365</v>
      </c>
      <c r="L38" s="202">
        <f>+L31+L32+L33+L34+L35+L36+L37</f>
        <v>0</v>
      </c>
      <c r="M38" s="202">
        <f>+M31+M32+M33+M34+M35+M36+M37</f>
        <v>0</v>
      </c>
      <c r="N38" s="202">
        <f t="shared" si="13"/>
        <v>0</v>
      </c>
      <c r="O38" s="202">
        <f>+O31+O32+O33+O34+O35+O36+O37</f>
        <v>0</v>
      </c>
      <c r="P38" s="202">
        <f t="shared" si="13"/>
        <v>0</v>
      </c>
      <c r="Q38" s="202">
        <f>+Q31+Q32+Q33+Q34+Q35+Q36+Q37</f>
        <v>507993</v>
      </c>
      <c r="R38" s="202">
        <f t="shared" ref="R38:S38" si="14">+R31+R32+R33+R34+R35+R36+R37</f>
        <v>0</v>
      </c>
      <c r="S38" s="202">
        <f t="shared" si="14"/>
        <v>20000</v>
      </c>
      <c r="T38" s="202">
        <f t="shared" si="13"/>
        <v>127000</v>
      </c>
      <c r="U38" s="202">
        <f>+U31+U32+U33+U34+U35+U36+U37</f>
        <v>0</v>
      </c>
      <c r="V38" s="202">
        <f t="shared" si="1"/>
        <v>1008100</v>
      </c>
      <c r="W38" s="202">
        <f t="shared" si="0"/>
        <v>3675134</v>
      </c>
    </row>
    <row r="39" spans="1:25" ht="21.75" customHeight="1" x14ac:dyDescent="0.25">
      <c r="A39" s="29" t="s">
        <v>270</v>
      </c>
      <c r="B39" s="35" t="s">
        <v>240</v>
      </c>
      <c r="C39" s="30" t="s">
        <v>218</v>
      </c>
      <c r="D39" s="201">
        <f>SUM(D41:D45)</f>
        <v>96976314</v>
      </c>
      <c r="E39" s="201">
        <f>SUM(E41:E45)</f>
        <v>103966419</v>
      </c>
      <c r="F39" s="201">
        <f t="shared" ref="F39:T39" si="15">SUM(F41:F45)</f>
        <v>0</v>
      </c>
      <c r="G39" s="201">
        <f>SUM(G41:G45)</f>
        <v>0</v>
      </c>
      <c r="H39" s="201">
        <f t="shared" si="15"/>
        <v>0</v>
      </c>
      <c r="I39" s="201">
        <f>SUM(I41:I45)</f>
        <v>0</v>
      </c>
      <c r="J39" s="201">
        <f t="shared" si="15"/>
        <v>0</v>
      </c>
      <c r="K39" s="201">
        <f>SUM(K41:K45)</f>
        <v>0</v>
      </c>
      <c r="L39" s="201">
        <f>SUM(L41:L45)</f>
        <v>0</v>
      </c>
      <c r="M39" s="201">
        <f>SUM(M41:M45)</f>
        <v>0</v>
      </c>
      <c r="N39" s="201">
        <f t="shared" si="15"/>
        <v>0</v>
      </c>
      <c r="O39" s="201">
        <f>SUM(O41:O45)</f>
        <v>0</v>
      </c>
      <c r="P39" s="201">
        <f t="shared" si="15"/>
        <v>0</v>
      </c>
      <c r="Q39" s="201">
        <f>SUM(Q41:Q45)</f>
        <v>0</v>
      </c>
      <c r="R39" s="201">
        <f t="shared" ref="R39:S39" si="16">SUM(R41:R45)</f>
        <v>0</v>
      </c>
      <c r="S39" s="201">
        <f t="shared" si="16"/>
        <v>0</v>
      </c>
      <c r="T39" s="201">
        <f t="shared" si="15"/>
        <v>0</v>
      </c>
      <c r="U39" s="201">
        <f>SUM(U41:U45)</f>
        <v>0</v>
      </c>
      <c r="V39" s="201">
        <f t="shared" si="1"/>
        <v>96976314</v>
      </c>
      <c r="W39" s="201">
        <f t="shared" si="0"/>
        <v>103966419</v>
      </c>
    </row>
    <row r="40" spans="1:25" ht="21.75" customHeight="1" x14ac:dyDescent="0.25">
      <c r="A40" s="29" t="s">
        <v>271</v>
      </c>
      <c r="B40" s="105" t="s">
        <v>566</v>
      </c>
      <c r="C40" s="30"/>
      <c r="D40" s="201"/>
      <c r="E40" s="201"/>
      <c r="F40" s="201"/>
      <c r="G40" s="201"/>
      <c r="H40" s="201"/>
      <c r="I40" s="201"/>
      <c r="J40" s="201"/>
      <c r="K40" s="201"/>
      <c r="L40" s="201"/>
      <c r="M40" s="201"/>
      <c r="N40" s="201"/>
      <c r="O40" s="201"/>
      <c r="P40" s="201"/>
      <c r="Q40" s="201"/>
      <c r="R40" s="201"/>
      <c r="S40" s="201"/>
      <c r="T40" s="201"/>
      <c r="U40" s="201"/>
      <c r="V40" s="201">
        <f t="shared" si="1"/>
        <v>0</v>
      </c>
      <c r="W40" s="201">
        <f t="shared" si="0"/>
        <v>0</v>
      </c>
    </row>
    <row r="41" spans="1:25" ht="21.75" customHeight="1" x14ac:dyDescent="0.25">
      <c r="A41" s="29" t="s">
        <v>272</v>
      </c>
      <c r="B41" s="36" t="s">
        <v>846</v>
      </c>
      <c r="C41" s="34"/>
      <c r="D41" s="201">
        <f>184600+142951</f>
        <v>327551</v>
      </c>
      <c r="E41" s="201">
        <f>+D41+4638105</f>
        <v>4965656</v>
      </c>
      <c r="F41" s="201"/>
      <c r="G41" s="201"/>
      <c r="H41" s="201"/>
      <c r="I41" s="201"/>
      <c r="J41" s="201"/>
      <c r="K41" s="201"/>
      <c r="L41" s="201"/>
      <c r="M41" s="201"/>
      <c r="N41" s="201"/>
      <c r="O41" s="201"/>
      <c r="P41" s="201"/>
      <c r="Q41" s="201"/>
      <c r="R41" s="201"/>
      <c r="S41" s="201"/>
      <c r="T41" s="201"/>
      <c r="U41" s="201"/>
      <c r="V41" s="201">
        <f t="shared" si="1"/>
        <v>327551</v>
      </c>
      <c r="W41" s="201">
        <f t="shared" si="0"/>
        <v>4965656</v>
      </c>
    </row>
    <row r="42" spans="1:25" ht="21.75" customHeight="1" x14ac:dyDescent="0.25">
      <c r="A42" s="29" t="s">
        <v>276</v>
      </c>
      <c r="B42" s="36" t="s">
        <v>847</v>
      </c>
      <c r="C42" s="34"/>
      <c r="D42" s="201">
        <v>209139</v>
      </c>
      <c r="E42" s="201">
        <f>+D42</f>
        <v>209139</v>
      </c>
      <c r="F42" s="201"/>
      <c r="G42" s="201"/>
      <c r="H42" s="201"/>
      <c r="I42" s="201"/>
      <c r="J42" s="201"/>
      <c r="K42" s="201"/>
      <c r="L42" s="201"/>
      <c r="M42" s="201"/>
      <c r="N42" s="201"/>
      <c r="O42" s="201"/>
      <c r="P42" s="201"/>
      <c r="Q42" s="201"/>
      <c r="R42" s="201"/>
      <c r="S42" s="201"/>
      <c r="T42" s="201"/>
      <c r="U42" s="201"/>
      <c r="V42" s="201">
        <f t="shared" si="1"/>
        <v>209139</v>
      </c>
      <c r="W42" s="201">
        <f t="shared" si="0"/>
        <v>209139</v>
      </c>
    </row>
    <row r="43" spans="1:25" ht="21.75" customHeight="1" x14ac:dyDescent="0.25">
      <c r="A43" s="29" t="s">
        <v>277</v>
      </c>
      <c r="B43" s="36" t="s">
        <v>539</v>
      </c>
      <c r="C43" s="34"/>
      <c r="D43" s="201">
        <f>+V28-V31-V33-V34-V36-V41</f>
        <v>95677624</v>
      </c>
      <c r="E43" s="201">
        <f>+W28-W31-W33-W34-W36-W41</f>
        <v>98030380</v>
      </c>
      <c r="F43" s="201"/>
      <c r="G43" s="201"/>
      <c r="H43" s="201"/>
      <c r="I43" s="201"/>
      <c r="J43" s="201"/>
      <c r="K43" s="201"/>
      <c r="L43" s="201"/>
      <c r="M43" s="201"/>
      <c r="N43" s="201"/>
      <c r="O43" s="201"/>
      <c r="P43" s="201"/>
      <c r="Q43" s="201"/>
      <c r="R43" s="201"/>
      <c r="S43" s="201"/>
      <c r="T43" s="201"/>
      <c r="U43" s="201"/>
      <c r="V43" s="201">
        <f t="shared" si="1"/>
        <v>95677624</v>
      </c>
      <c r="W43" s="201">
        <f t="shared" si="0"/>
        <v>98030380</v>
      </c>
    </row>
    <row r="44" spans="1:25" ht="21.75" customHeight="1" x14ac:dyDescent="0.25">
      <c r="A44" s="29" t="s">
        <v>278</v>
      </c>
      <c r="B44" s="36" t="s">
        <v>540</v>
      </c>
      <c r="C44" s="34"/>
      <c r="D44" s="201">
        <f>+V29-V32-V35-V37-V42</f>
        <v>762000</v>
      </c>
      <c r="E44" s="201">
        <f>+W29-W32-W35-W37-W42</f>
        <v>761244</v>
      </c>
      <c r="F44" s="201"/>
      <c r="G44" s="201"/>
      <c r="H44" s="201"/>
      <c r="I44" s="201"/>
      <c r="J44" s="201"/>
      <c r="K44" s="201"/>
      <c r="L44" s="201"/>
      <c r="M44" s="201"/>
      <c r="N44" s="201"/>
      <c r="O44" s="201"/>
      <c r="P44" s="201"/>
      <c r="Q44" s="201"/>
      <c r="R44" s="201"/>
      <c r="S44" s="201"/>
      <c r="T44" s="201"/>
      <c r="U44" s="201"/>
      <c r="V44" s="201">
        <f t="shared" si="1"/>
        <v>762000</v>
      </c>
      <c r="W44" s="201">
        <f t="shared" si="0"/>
        <v>761244</v>
      </c>
    </row>
    <row r="45" spans="1:25" ht="21.75" customHeight="1" x14ac:dyDescent="0.25">
      <c r="A45" s="29" t="s">
        <v>279</v>
      </c>
      <c r="B45" s="36" t="s">
        <v>574</v>
      </c>
      <c r="C45" s="34"/>
      <c r="D45" s="201"/>
      <c r="E45" s="201"/>
      <c r="F45" s="201"/>
      <c r="G45" s="201"/>
      <c r="H45" s="201"/>
      <c r="I45" s="201"/>
      <c r="J45" s="201"/>
      <c r="K45" s="201"/>
      <c r="L45" s="201"/>
      <c r="M45" s="201"/>
      <c r="N45" s="201"/>
      <c r="O45" s="201"/>
      <c r="P45" s="201"/>
      <c r="Q45" s="201"/>
      <c r="R45" s="201"/>
      <c r="S45" s="201"/>
      <c r="T45" s="201"/>
      <c r="U45" s="201"/>
      <c r="V45" s="201">
        <f t="shared" si="1"/>
        <v>0</v>
      </c>
      <c r="W45" s="201">
        <f t="shared" si="0"/>
        <v>0</v>
      </c>
    </row>
    <row r="46" spans="1:25" ht="21.75" customHeight="1" x14ac:dyDescent="0.25">
      <c r="A46" s="29" t="s">
        <v>280</v>
      </c>
      <c r="B46" s="267" t="s">
        <v>815</v>
      </c>
      <c r="C46" s="34"/>
      <c r="D46" s="201"/>
      <c r="E46" s="201"/>
      <c r="F46" s="201"/>
      <c r="G46" s="201"/>
      <c r="H46" s="201"/>
      <c r="I46" s="201"/>
      <c r="J46" s="201"/>
      <c r="K46" s="201"/>
      <c r="L46" s="201"/>
      <c r="M46" s="201"/>
      <c r="N46" s="201"/>
      <c r="O46" s="201"/>
      <c r="P46" s="201"/>
      <c r="Q46" s="201"/>
      <c r="R46" s="201"/>
      <c r="S46" s="201"/>
      <c r="T46" s="201"/>
      <c r="U46" s="201"/>
      <c r="V46" s="201">
        <f t="shared" si="1"/>
        <v>0</v>
      </c>
      <c r="W46" s="201">
        <f t="shared" si="0"/>
        <v>0</v>
      </c>
    </row>
    <row r="47" spans="1:25" ht="21.75" customHeight="1" x14ac:dyDescent="0.25">
      <c r="A47" s="29" t="s">
        <v>281</v>
      </c>
      <c r="B47" s="37" t="s">
        <v>113</v>
      </c>
      <c r="C47" s="30"/>
      <c r="D47" s="202">
        <f>+D31+D33+D34+D36+D41+D43</f>
        <v>96005175</v>
      </c>
      <c r="E47" s="202">
        <f>+E31+E33+E34+E36+E41+E43</f>
        <v>102996036</v>
      </c>
      <c r="F47" s="202">
        <f t="shared" ref="F47:T47" si="17">+F31+F33+F34+F36+F41+F43</f>
        <v>0</v>
      </c>
      <c r="G47" s="202">
        <f>+G31+G33+G34+G36+G41+G43</f>
        <v>51776</v>
      </c>
      <c r="H47" s="202">
        <f t="shared" si="17"/>
        <v>0</v>
      </c>
      <c r="I47" s="202">
        <f>+I31+I33+I34+I36+I41+I43</f>
        <v>0</v>
      </c>
      <c r="J47" s="202">
        <f t="shared" si="17"/>
        <v>881100</v>
      </c>
      <c r="K47" s="202">
        <f>+K31+K33+K34+K36+K41+K43</f>
        <v>3095365</v>
      </c>
      <c r="L47" s="202">
        <f>+L31+L33+L34+L36+L41+L43</f>
        <v>0</v>
      </c>
      <c r="M47" s="202">
        <f>+M31+M33+M34+M36+M41+M43</f>
        <v>0</v>
      </c>
      <c r="N47" s="202">
        <f t="shared" si="17"/>
        <v>0</v>
      </c>
      <c r="O47" s="202">
        <f>+O31+O33+O34+O36+O41+O43</f>
        <v>0</v>
      </c>
      <c r="P47" s="202">
        <f t="shared" si="17"/>
        <v>0</v>
      </c>
      <c r="Q47" s="202">
        <f>+Q31+Q33+Q34+Q36+Q41+Q43</f>
        <v>507993</v>
      </c>
      <c r="R47" s="202">
        <f t="shared" ref="R47:S47" si="18">+R31+R33+R34+R36+R41+R43</f>
        <v>0</v>
      </c>
      <c r="S47" s="202">
        <f t="shared" si="18"/>
        <v>20000</v>
      </c>
      <c r="T47" s="202">
        <f t="shared" si="17"/>
        <v>127000</v>
      </c>
      <c r="U47" s="202">
        <f>+U31+U33+U34+U36+U41+U43</f>
        <v>0</v>
      </c>
      <c r="V47" s="202">
        <f t="shared" si="1"/>
        <v>97013275</v>
      </c>
      <c r="W47" s="202">
        <f t="shared" si="0"/>
        <v>106671170</v>
      </c>
    </row>
    <row r="48" spans="1:25" ht="21.75" customHeight="1" x14ac:dyDescent="0.25">
      <c r="A48" s="29" t="s">
        <v>282</v>
      </c>
      <c r="B48" s="37" t="s">
        <v>114</v>
      </c>
      <c r="C48" s="30"/>
      <c r="D48" s="202">
        <f>+D32+D35+D37+D42+D429+D45+D44</f>
        <v>971139</v>
      </c>
      <c r="E48" s="202">
        <f>+E32+E35+E37+E42+E429+E45+E44</f>
        <v>970383</v>
      </c>
      <c r="F48" s="202">
        <f t="shared" ref="F48:T48" si="19">+F32+F35+F37+F42+F429+F45+F44</f>
        <v>0</v>
      </c>
      <c r="G48" s="202">
        <f>+G32+G35+G37+G42+G429+G45+G44</f>
        <v>0</v>
      </c>
      <c r="H48" s="202">
        <f t="shared" si="19"/>
        <v>0</v>
      </c>
      <c r="I48" s="202">
        <f>+I32+I35+I37+I42+I429+I45+I44</f>
        <v>0</v>
      </c>
      <c r="J48" s="202">
        <f t="shared" si="19"/>
        <v>0</v>
      </c>
      <c r="K48" s="202">
        <f>+K32+K35+K37+K42+K429+K45+K44</f>
        <v>0</v>
      </c>
      <c r="L48" s="202">
        <f>+L32+L35+L37+L42+L429+L45+L44</f>
        <v>0</v>
      </c>
      <c r="M48" s="202">
        <f>+M32+M35+M37+M42+M429+M45+M44</f>
        <v>0</v>
      </c>
      <c r="N48" s="202">
        <f t="shared" si="19"/>
        <v>0</v>
      </c>
      <c r="O48" s="202">
        <f>+O32+O35+O37+O42+O429+O45+O44</f>
        <v>0</v>
      </c>
      <c r="P48" s="202">
        <f t="shared" si="19"/>
        <v>0</v>
      </c>
      <c r="Q48" s="202">
        <f>+Q32+Q35+Q37+Q42+Q429+Q45+Q44</f>
        <v>0</v>
      </c>
      <c r="R48" s="202">
        <f t="shared" ref="R48:S48" si="20">+R32+R35+R37+R42+R429+R45+R44</f>
        <v>0</v>
      </c>
      <c r="S48" s="202">
        <f t="shared" si="20"/>
        <v>0</v>
      </c>
      <c r="T48" s="202">
        <f t="shared" si="19"/>
        <v>0</v>
      </c>
      <c r="U48" s="202">
        <f>+U32+U35+U37+U42+U429+U45+U44</f>
        <v>0</v>
      </c>
      <c r="V48" s="202">
        <f t="shared" si="1"/>
        <v>971139</v>
      </c>
      <c r="W48" s="202">
        <f t="shared" si="0"/>
        <v>970383</v>
      </c>
    </row>
    <row r="49" spans="1:24" ht="21.75" customHeight="1" x14ac:dyDescent="0.25">
      <c r="A49" s="29" t="s">
        <v>283</v>
      </c>
      <c r="B49" s="37" t="s">
        <v>328</v>
      </c>
      <c r="C49" s="30"/>
      <c r="D49" s="202">
        <f>+D47+D48</f>
        <v>96976314</v>
      </c>
      <c r="E49" s="202">
        <f>+E47+E48</f>
        <v>103966419</v>
      </c>
      <c r="F49" s="202">
        <f t="shared" ref="F49:T49" si="21">+F47+F48</f>
        <v>0</v>
      </c>
      <c r="G49" s="202">
        <f>+G47+G48</f>
        <v>51776</v>
      </c>
      <c r="H49" s="202">
        <f t="shared" si="21"/>
        <v>0</v>
      </c>
      <c r="I49" s="202">
        <f>+I47+I48</f>
        <v>0</v>
      </c>
      <c r="J49" s="202">
        <f t="shared" si="21"/>
        <v>881100</v>
      </c>
      <c r="K49" s="202">
        <f>+K47+K48</f>
        <v>3095365</v>
      </c>
      <c r="L49" s="202">
        <f>+L47+L48</f>
        <v>0</v>
      </c>
      <c r="M49" s="202">
        <f>+M47+M48</f>
        <v>0</v>
      </c>
      <c r="N49" s="202">
        <f t="shared" si="21"/>
        <v>0</v>
      </c>
      <c r="O49" s="202">
        <f>+O47+O48</f>
        <v>0</v>
      </c>
      <c r="P49" s="202">
        <f t="shared" si="21"/>
        <v>0</v>
      </c>
      <c r="Q49" s="202">
        <f>+Q47+Q48</f>
        <v>507993</v>
      </c>
      <c r="R49" s="202">
        <f t="shared" ref="R49:S49" si="22">+R47+R48</f>
        <v>0</v>
      </c>
      <c r="S49" s="202">
        <f t="shared" si="22"/>
        <v>20000</v>
      </c>
      <c r="T49" s="202">
        <f t="shared" si="21"/>
        <v>127000</v>
      </c>
      <c r="U49" s="202">
        <f>+U47+U48</f>
        <v>0</v>
      </c>
      <c r="V49" s="202">
        <f t="shared" si="1"/>
        <v>97984414</v>
      </c>
      <c r="W49" s="202">
        <f t="shared" si="0"/>
        <v>107641553</v>
      </c>
    </row>
    <row r="50" spans="1:24" ht="21.75" customHeight="1" x14ac:dyDescent="0.25">
      <c r="A50" s="29" t="s">
        <v>284</v>
      </c>
      <c r="B50" s="414" t="s">
        <v>437</v>
      </c>
      <c r="C50" s="207"/>
      <c r="D50" s="201"/>
      <c r="E50" s="201"/>
      <c r="F50" s="201"/>
      <c r="G50" s="201"/>
      <c r="H50" s="201"/>
      <c r="I50" s="201"/>
      <c r="J50" s="201">
        <v>7</v>
      </c>
      <c r="K50" s="201">
        <f>+J50</f>
        <v>7</v>
      </c>
      <c r="L50" s="201"/>
      <c r="M50" s="201"/>
      <c r="N50" s="201"/>
      <c r="O50" s="201"/>
      <c r="P50" s="201"/>
      <c r="Q50" s="201"/>
      <c r="R50" s="201"/>
      <c r="S50" s="201"/>
      <c r="T50" s="201"/>
      <c r="U50" s="201"/>
      <c r="V50" s="201">
        <f t="shared" si="1"/>
        <v>7</v>
      </c>
      <c r="W50" s="201">
        <f t="shared" si="0"/>
        <v>7</v>
      </c>
      <c r="X50" s="94">
        <f>V49-V30</f>
        <v>0</v>
      </c>
    </row>
    <row r="51" spans="1:24" ht="21.75" customHeight="1" x14ac:dyDescent="0.25">
      <c r="A51" s="29" t="s">
        <v>285</v>
      </c>
      <c r="B51" s="55" t="s">
        <v>1346</v>
      </c>
      <c r="C51" s="207"/>
      <c r="D51" s="242"/>
      <c r="E51" s="242"/>
      <c r="F51" s="242"/>
      <c r="G51" s="242"/>
      <c r="H51" s="242"/>
      <c r="I51" s="242"/>
      <c r="J51" s="242"/>
      <c r="K51" s="242"/>
      <c r="L51" s="242"/>
      <c r="M51" s="242"/>
      <c r="N51" s="242"/>
      <c r="O51" s="242"/>
      <c r="P51" s="242"/>
      <c r="Q51" s="242"/>
      <c r="R51" s="242"/>
      <c r="S51" s="242"/>
      <c r="T51" s="242"/>
      <c r="U51" s="242"/>
      <c r="V51" s="242"/>
      <c r="W51" s="201">
        <f t="shared" si="0"/>
        <v>0</v>
      </c>
      <c r="X51" s="94"/>
    </row>
  </sheetData>
  <mergeCells count="30">
    <mergeCell ref="T2:W2"/>
    <mergeCell ref="W4:W7"/>
    <mergeCell ref="L2:O2"/>
    <mergeCell ref="M6:M7"/>
    <mergeCell ref="O6:O7"/>
    <mergeCell ref="Q6:Q7"/>
    <mergeCell ref="U6:U7"/>
    <mergeCell ref="V4:V7"/>
    <mergeCell ref="L6:L7"/>
    <mergeCell ref="P6:P7"/>
    <mergeCell ref="N6:N7"/>
    <mergeCell ref="T6:T7"/>
    <mergeCell ref="R6:R7"/>
    <mergeCell ref="S6:S7"/>
    <mergeCell ref="P2:S2"/>
    <mergeCell ref="A2:C3"/>
    <mergeCell ref="D2:G2"/>
    <mergeCell ref="E6:E7"/>
    <mergeCell ref="G6:G7"/>
    <mergeCell ref="H2:K2"/>
    <mergeCell ref="I6:I7"/>
    <mergeCell ref="K6:K7"/>
    <mergeCell ref="A4:A7"/>
    <mergeCell ref="B4:C4"/>
    <mergeCell ref="H6:H7"/>
    <mergeCell ref="B5:C5"/>
    <mergeCell ref="B6:C6"/>
    <mergeCell ref="D6:D7"/>
    <mergeCell ref="F6:F7"/>
    <mergeCell ref="J6:J7"/>
  </mergeCells>
  <phoneticPr fontId="50" type="noConversion"/>
  <printOptions horizontalCentered="1" verticalCentered="1"/>
  <pageMargins left="0.35433070866141736" right="0.35433070866141736" top="0.39370078740157483" bottom="0.39370078740157483" header="0.51181102362204722" footer="0.51181102362204722"/>
  <pageSetup paperSize="9" scale="55" orientation="portrait" r:id="rId1"/>
  <headerFooter alignWithMargins="0">
    <oddHeader>&amp;C2023. évi költségvetés&amp;R&amp;A</oddHeader>
    <oddFooter>&amp;C&amp;P/&amp;N</oddFooter>
  </headerFooter>
  <colBreaks count="4" manualBreakCount="4">
    <brk id="7" max="50" man="1"/>
    <brk id="11" max="50" man="1"/>
    <brk id="15" max="50" man="1"/>
    <brk id="19" max="50"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57</vt:i4>
      </vt:variant>
      <vt:variant>
        <vt:lpstr>Névvel ellátott tartományok</vt:lpstr>
      </vt:variant>
      <vt:variant>
        <vt:i4>75</vt:i4>
      </vt:variant>
    </vt:vector>
  </HeadingPairs>
  <TitlesOfParts>
    <vt:vector size="132" baseType="lpstr">
      <vt:lpstr>1.a sz. Önkormányzat  </vt:lpstr>
      <vt:lpstr>1.b sz. Önkormányzat  </vt:lpstr>
      <vt:lpstr>2.1. sz. PMH</vt:lpstr>
      <vt:lpstr>2.2. sz. Hétszínvirág Óvoda</vt:lpstr>
      <vt:lpstr>2.3. sz. Mese Óvoda</vt:lpstr>
      <vt:lpstr>2.4. sz. Bölcsőde</vt:lpstr>
      <vt:lpstr>2.5. sz. Gyermekjóléti</vt:lpstr>
      <vt:lpstr>2.6 sz. Területi</vt:lpstr>
      <vt:lpstr>2.7. sz. Könyvtár</vt:lpstr>
      <vt:lpstr>2.8. sz. Műv.Ház</vt:lpstr>
      <vt:lpstr>2.9. sz. Szivárvány Ó.</vt:lpstr>
      <vt:lpstr>2.10. sz. Intézmények összesen</vt:lpstr>
      <vt:lpstr>3. sz.Városi szintű összesen</vt:lpstr>
      <vt:lpstr>4.sz.Felhalm.c.pe.átadás</vt:lpstr>
      <vt:lpstr>5.sz.Műk.c.pe.átadás</vt:lpstr>
      <vt:lpstr>6.sz. Beruházások</vt:lpstr>
      <vt:lpstr>7. sz. Felújítások</vt:lpstr>
      <vt:lpstr>8.sz.Tartalékok</vt:lpstr>
      <vt:lpstr>9.sz. Szociális</vt:lpstr>
      <vt:lpstr>10.sz.Intézményfinanszírozás</vt:lpstr>
      <vt:lpstr>11.a.sz. Műk.célú tám.ÁHbelül</vt:lpstr>
      <vt:lpstr>11.b.sz.Állami támogatás</vt:lpstr>
      <vt:lpstr>12.sz. Felh.célú tám.ÁHbelül</vt:lpstr>
      <vt:lpstr>13.sz. Közhatalmi bevételek</vt:lpstr>
      <vt:lpstr>14.sz. Felhalm. bevételek</vt:lpstr>
      <vt:lpstr>15.sz.mell. Létszámtábla</vt:lpstr>
      <vt:lpstr>1.sz.tájék.tábla Közvetett tám</vt:lpstr>
      <vt:lpstr>2.sz.tájék.táblaMérlegszerű</vt:lpstr>
      <vt:lpstr>3.sz.tájék.táblaGördülő</vt:lpstr>
      <vt:lpstr>4.sz.tájék.táb. Többéves </vt:lpstr>
      <vt:lpstr>5.sz.tájék.táb Adósságszolg</vt:lpstr>
      <vt:lpstr>6.sz.tájék.tábla Hitelképes</vt:lpstr>
      <vt:lpstr>7.sztájék.táblaLikviditási terv</vt:lpstr>
      <vt:lpstr>8.sztájék.tábla Ütemterv</vt:lpstr>
      <vt:lpstr>9.sz.tájék.EU-s pály.</vt:lpstr>
      <vt:lpstr>10. sz.tájék.Nem EU-s pály.</vt:lpstr>
      <vt:lpstr>1.sz.függ.Önkormány bev-kiad</vt:lpstr>
      <vt:lpstr>2.sz.függ.PMH bev-kiad</vt:lpstr>
      <vt:lpstr>3.sz.függ.Ter.Gond</vt:lpstr>
      <vt:lpstr>4.sz.függ.Könyvtár</vt:lpstr>
      <vt:lpstr>5.sz.függ.Hétszínvirág Ó.</vt:lpstr>
      <vt:lpstr>6.sz.függ.Mese Ó.</vt:lpstr>
      <vt:lpstr>7.sz.függ.Bölcsőde</vt:lpstr>
      <vt:lpstr>8.sz.függ.Gyermekjóléti</vt:lpstr>
      <vt:lpstr>9.sz.függ.Szivárvány Ó.</vt:lpstr>
      <vt:lpstr>10.sz.függ.József A. MűvHáz</vt:lpstr>
      <vt:lpstr>11.sz.függ.Mindösszesen</vt:lpstr>
      <vt:lpstr>12.sz.függ.Tartalékok vált.</vt:lpstr>
      <vt:lpstr>2.sz.tájék.tábla Mérlegszerű</vt:lpstr>
      <vt:lpstr>3.sz.tájék.tábla Gördülő</vt:lpstr>
      <vt:lpstr>4.sz.tájék.táb. Többéves</vt:lpstr>
      <vt:lpstr>5.sz.tájék.táb Adósságszolgálat</vt:lpstr>
      <vt:lpstr>6.sz.tájék.tábla Hitelképes </vt:lpstr>
      <vt:lpstr>7.sz.tájék.táb.Likviditási terv</vt:lpstr>
      <vt:lpstr>8.sz.tájék.tábla Ütemterv</vt:lpstr>
      <vt:lpstr>9. sz. tájék.tábla EU-s pály.</vt:lpstr>
      <vt:lpstr>10. sz.tájék.Nem EU-s pály. </vt:lpstr>
      <vt:lpstr>'1.a sz. Önkormányzat  '!Nyomtatási_cím</vt:lpstr>
      <vt:lpstr>'1.b sz. Önkormányzat  '!Nyomtatási_cím</vt:lpstr>
      <vt:lpstr>'12.sz.függ.Tartalékok vált.'!Nyomtatási_cím</vt:lpstr>
      <vt:lpstr>'15.sz.mell. Létszámtábla'!Nyomtatási_cím</vt:lpstr>
      <vt:lpstr>'2.1. sz. PMH'!Nyomtatási_cím</vt:lpstr>
      <vt:lpstr>'2.10. sz. Intézmények összesen'!Nyomtatási_cím</vt:lpstr>
      <vt:lpstr>'2.2. sz. Hétszínvirág Óvoda'!Nyomtatási_cím</vt:lpstr>
      <vt:lpstr>'2.3. sz. Mese Óvoda'!Nyomtatási_cím</vt:lpstr>
      <vt:lpstr>'2.4. sz. Bölcsőde'!Nyomtatási_cím</vt:lpstr>
      <vt:lpstr>'2.5. sz. Gyermekjóléti'!Nyomtatási_cím</vt:lpstr>
      <vt:lpstr>'2.6 sz. Területi'!Nyomtatási_cím</vt:lpstr>
      <vt:lpstr>'2.7. sz. Könyvtár'!Nyomtatási_cím</vt:lpstr>
      <vt:lpstr>'2.8. sz. Műv.Ház'!Nyomtatási_cím</vt:lpstr>
      <vt:lpstr>'2.9. sz. Szivárvány Ó.'!Nyomtatási_cím</vt:lpstr>
      <vt:lpstr>'3. sz.Városi szintű összesen'!Nyomtatási_cím</vt:lpstr>
      <vt:lpstr>'4.sz.Felhalm.c.pe.átadás'!Nyomtatási_cím</vt:lpstr>
      <vt:lpstr>'6.sz. Beruházások'!Nyomtatási_cím</vt:lpstr>
      <vt:lpstr>'6.sz.tájék.tábla Hitelképes'!Nyomtatási_cím</vt:lpstr>
      <vt:lpstr>'6.sz.tájék.tábla Hitelképes '!Nyomtatási_cím</vt:lpstr>
      <vt:lpstr>'7. sz. Felújítások'!Nyomtatási_cím</vt:lpstr>
      <vt:lpstr>'8.sz.Tartalékok'!Nyomtatási_cím</vt:lpstr>
      <vt:lpstr>'1.a sz. Önkormányzat  '!Nyomtatási_terület</vt:lpstr>
      <vt:lpstr>'1.b sz. Önkormányzat  '!Nyomtatási_terület</vt:lpstr>
      <vt:lpstr>'1.sz.függ.Önkormány bev-kiad'!Nyomtatási_terület</vt:lpstr>
      <vt:lpstr>'1.sz.tájék.tábla Közvetett tám'!Nyomtatási_terület</vt:lpstr>
      <vt:lpstr>'10.sz.függ.József A. MűvHáz'!Nyomtatási_terület</vt:lpstr>
      <vt:lpstr>'10.sz.Intézményfinanszírozás'!Nyomtatási_terület</vt:lpstr>
      <vt:lpstr>'11.a.sz. Műk.célú tám.ÁHbelül'!Nyomtatási_terület</vt:lpstr>
      <vt:lpstr>'11.b.sz.Állami támogatás'!Nyomtatási_terület</vt:lpstr>
      <vt:lpstr>'11.sz.függ.Mindösszesen'!Nyomtatási_terület</vt:lpstr>
      <vt:lpstr>'12.sz. Felh.célú tám.ÁHbelül'!Nyomtatási_terület</vt:lpstr>
      <vt:lpstr>'12.sz.függ.Tartalékok vált.'!Nyomtatási_terület</vt:lpstr>
      <vt:lpstr>'13.sz. Közhatalmi bevételek'!Nyomtatási_terület</vt:lpstr>
      <vt:lpstr>'14.sz. Felhalm. bevételek'!Nyomtatási_terület</vt:lpstr>
      <vt:lpstr>'2.1. sz. PMH'!Nyomtatási_terület</vt:lpstr>
      <vt:lpstr>'2.10. sz. Intézmények összesen'!Nyomtatási_terület</vt:lpstr>
      <vt:lpstr>'2.2. sz. Hétszínvirág Óvoda'!Nyomtatási_terület</vt:lpstr>
      <vt:lpstr>'2.3. sz. Mese Óvoda'!Nyomtatási_terület</vt:lpstr>
      <vt:lpstr>'2.4. sz. Bölcsőde'!Nyomtatási_terület</vt:lpstr>
      <vt:lpstr>'2.5. sz. Gyermekjóléti'!Nyomtatási_terület</vt:lpstr>
      <vt:lpstr>'2.6 sz. Területi'!Nyomtatási_terület</vt:lpstr>
      <vt:lpstr>'2.7. sz. Könyvtár'!Nyomtatási_terület</vt:lpstr>
      <vt:lpstr>'2.8. sz. Műv.Ház'!Nyomtatási_terület</vt:lpstr>
      <vt:lpstr>'2.9. sz. Szivárvány Ó.'!Nyomtatási_terület</vt:lpstr>
      <vt:lpstr>'2.sz.függ.PMH bev-kiad'!Nyomtatási_terület</vt:lpstr>
      <vt:lpstr>'2.sz.tájék.tábla Mérlegszerű'!Nyomtatási_terület</vt:lpstr>
      <vt:lpstr>'2.sz.tájék.táblaMérlegszerű'!Nyomtatási_terület</vt:lpstr>
      <vt:lpstr>'3. sz.Városi szintű összesen'!Nyomtatási_terület</vt:lpstr>
      <vt:lpstr>'3.sz.függ.Ter.Gond'!Nyomtatási_terület</vt:lpstr>
      <vt:lpstr>'3.sz.tájék.tábla Gördülő'!Nyomtatási_terület</vt:lpstr>
      <vt:lpstr>'3.sz.tájék.táblaGördülő'!Nyomtatási_terület</vt:lpstr>
      <vt:lpstr>'4.sz.Felhalm.c.pe.átadás'!Nyomtatási_terület</vt:lpstr>
      <vt:lpstr>'4.sz.függ.Könyvtár'!Nyomtatási_terület</vt:lpstr>
      <vt:lpstr>'4.sz.tájék.táb. Többéves'!Nyomtatási_terület</vt:lpstr>
      <vt:lpstr>'4.sz.tájék.táb. Többéves '!Nyomtatási_terület</vt:lpstr>
      <vt:lpstr>'5.sz.függ.Hétszínvirág Ó.'!Nyomtatási_terület</vt:lpstr>
      <vt:lpstr>'5.sz.Műk.c.pe.átadás'!Nyomtatási_terület</vt:lpstr>
      <vt:lpstr>'5.sz.tájék.táb Adósságszolg'!Nyomtatási_terület</vt:lpstr>
      <vt:lpstr>'5.sz.tájék.táb Adósságszolgálat'!Nyomtatási_terület</vt:lpstr>
      <vt:lpstr>'6.sz. Beruházások'!Nyomtatási_terület</vt:lpstr>
      <vt:lpstr>'6.sz.függ.Mese Ó.'!Nyomtatási_terület</vt:lpstr>
      <vt:lpstr>'6.sz.tájék.tábla Hitelképes'!Nyomtatási_terület</vt:lpstr>
      <vt:lpstr>'6.sz.tájék.tábla Hitelképes '!Nyomtatási_terület</vt:lpstr>
      <vt:lpstr>'7. sz. Felújítások'!Nyomtatási_terület</vt:lpstr>
      <vt:lpstr>'7.sz.függ.Bölcsőde'!Nyomtatási_terület</vt:lpstr>
      <vt:lpstr>'7.sz.tájék.táb.Likviditási terv'!Nyomtatási_terület</vt:lpstr>
      <vt:lpstr>'7.sztájék.táblaLikviditási terv'!Nyomtatási_terület</vt:lpstr>
      <vt:lpstr>'8.sz.függ.Gyermekjóléti'!Nyomtatási_terület</vt:lpstr>
      <vt:lpstr>'8.sz.tájék.tábla Ütemterv'!Nyomtatási_terület</vt:lpstr>
      <vt:lpstr>'8.sz.Tartalékok'!Nyomtatási_terület</vt:lpstr>
      <vt:lpstr>'8.sztájék.tábla Ütemterv'!Nyomtatási_terület</vt:lpstr>
      <vt:lpstr>'9. sz. tájék.tábla EU-s pály.'!Nyomtatási_terület</vt:lpstr>
      <vt:lpstr>'9.sz. Szociális'!Nyomtatási_terület</vt:lpstr>
      <vt:lpstr>'9.sz.függ.Szivárvány Ó.'!Nyomtatási_terület</vt:lpstr>
      <vt:lpstr>'9.sz.tájék.EU-s pály.'!Nyomtatási_terület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paskoneeva</dc:creator>
  <cp:lastModifiedBy>László Rozgonyi</cp:lastModifiedBy>
  <cp:lastPrinted>2024-02-14T12:07:15Z</cp:lastPrinted>
  <dcterms:created xsi:type="dcterms:W3CDTF">2014-01-08T13:04:31Z</dcterms:created>
  <dcterms:modified xsi:type="dcterms:W3CDTF">2024-02-14T12:25:08Z</dcterms:modified>
</cp:coreProperties>
</file>